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trlProps/ctrlProp6.xml" ContentType="application/vnd.ms-excel.controlproperties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intra.lund.se\GroupData\302175\Kävlingeån\Recipientkontroll\Månadsrapporter\2025\"/>
    </mc:Choice>
  </mc:AlternateContent>
  <xr:revisionPtr revIDLastSave="0" documentId="8_{9735E20A-3782-4DBC-95EE-BA9E135F4921}" xr6:coauthVersionLast="47" xr6:coauthVersionMax="47" xr10:uidLastSave="{00000000-0000-0000-0000-000000000000}"/>
  <bookViews>
    <workbookView xWindow="-25320" yWindow="360" windowWidth="25440" windowHeight="15270" tabRatio="816" xr2:uid="{00000000-000D-0000-FFFF-FFFF00000000}"/>
  </bookViews>
  <sheets>
    <sheet name="Start" sheetId="6" r:id="rId1"/>
    <sheet name="Indata" sheetId="23419" state="veryHidden" r:id="rId2"/>
    <sheet name="Resultat" sheetId="7" r:id="rId3"/>
    <sheet name="RS" sheetId="23427" state="veryHidden" r:id="rId4"/>
    <sheet name="Sorterat" sheetId="2" r:id="rId5"/>
    <sheet name="Metaller" sheetId="23437" r:id="rId6"/>
    <sheet name="Syreprofiler" sheetId="23438" r:id="rId7"/>
    <sheet name="Vattenföring" sheetId="23418" r:id="rId8"/>
    <sheet name="Statistik" sheetId="23424" r:id="rId9"/>
    <sheet name="Diagram" sheetId="23420" r:id="rId10"/>
    <sheet name="Hist_data" sheetId="23422" state="veryHidden" r:id="rId11"/>
    <sheet name="Rapport" sheetId="23436" r:id="rId12"/>
    <sheet name="Kommentarer" sheetId="23416" r:id="rId13"/>
    <sheet name="Kontakt" sheetId="244" r:id="rId14"/>
    <sheet name="Länkar" sheetId="8" r:id="rId15"/>
    <sheet name="Förklaring" sheetId="1" r:id="rId16"/>
    <sheet name="Problemhantering" sheetId="23435" state="veryHidden" r:id="rId17"/>
    <sheet name="Provpunkter" sheetId="23426" state="veryHidden" r:id="rId18"/>
    <sheet name="Formler" sheetId="23432" state="veryHidden" r:id="rId19"/>
  </sheets>
  <definedNames>
    <definedName name="_xlnm._FilterDatabase" localSheetId="10" hidden="1">Hist_data!$B$5:$B$222</definedName>
    <definedName name="_xlnm.Print_Area" localSheetId="1">Indata!$B$10:$R$30</definedName>
    <definedName name="_xlnm.Print_Area" localSheetId="12">Kommentarer!$A$101:$C$110</definedName>
    <definedName name="_xlnm.Print_Area" localSheetId="11">Rapport!$B$66:$Q$76</definedName>
    <definedName name="_xlnm.Print_Area" localSheetId="6">Syreprofiler!$B$7:$AD$48</definedName>
    <definedName name="_xlnm.Print_Titles" localSheetId="1">Indata!$3:$8</definedName>
    <definedName name="_xlnm.Print_Titles" localSheetId="11">Rapport!$3:$8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0" i="23419" l="1"/>
  <c r="F129" i="23419"/>
  <c r="F128" i="23419"/>
  <c r="F127" i="23419"/>
  <c r="F126" i="23419"/>
  <c r="F125" i="23419"/>
  <c r="F124" i="23419"/>
  <c r="F123" i="23419"/>
  <c r="F122" i="23419"/>
  <c r="F121" i="23419"/>
  <c r="F120" i="23419"/>
  <c r="F119" i="23419"/>
  <c r="F118" i="23419"/>
  <c r="F117" i="23419"/>
  <c r="F116" i="23419"/>
  <c r="CP189" i="23424" l="1"/>
  <c r="CO189" i="23424"/>
  <c r="CN189" i="23424"/>
  <c r="CM189" i="23424"/>
  <c r="CL189" i="23424"/>
  <c r="CK189" i="23424"/>
  <c r="CJ189" i="23424"/>
  <c r="CI189" i="23424"/>
  <c r="CH189" i="23424"/>
  <c r="CG189" i="23424"/>
  <c r="CF189" i="23424"/>
  <c r="CE189" i="23424"/>
  <c r="CD189" i="23424"/>
  <c r="BO189" i="23424"/>
  <c r="BJ189" i="23424"/>
  <c r="BL189" i="23424" s="1"/>
  <c r="CP188" i="23424"/>
  <c r="CO188" i="23424"/>
  <c r="CN188" i="23424"/>
  <c r="CM188" i="23424"/>
  <c r="CL188" i="23424"/>
  <c r="CK188" i="23424"/>
  <c r="CJ188" i="23424"/>
  <c r="CI188" i="23424"/>
  <c r="CH188" i="23424"/>
  <c r="CG188" i="23424"/>
  <c r="CF188" i="23424"/>
  <c r="CE188" i="23424"/>
  <c r="CD188" i="23424"/>
  <c r="BO188" i="23424"/>
  <c r="BJ188" i="23424"/>
  <c r="CP187" i="23424"/>
  <c r="CO187" i="23424"/>
  <c r="CN187" i="23424"/>
  <c r="CM187" i="23424"/>
  <c r="CL187" i="23424"/>
  <c r="CK187" i="23424"/>
  <c r="CJ187" i="23424"/>
  <c r="CI187" i="23424"/>
  <c r="CH187" i="23424"/>
  <c r="CG187" i="23424"/>
  <c r="CF187" i="23424"/>
  <c r="CE187" i="23424"/>
  <c r="CD187" i="23424"/>
  <c r="BO187" i="23424"/>
  <c r="BL187" i="23424"/>
  <c r="BK187" i="23424"/>
  <c r="BJ187" i="23424"/>
  <c r="CP186" i="23424"/>
  <c r="CO186" i="23424"/>
  <c r="CN186" i="23424"/>
  <c r="CM186" i="23424"/>
  <c r="CL186" i="23424"/>
  <c r="CK186" i="23424"/>
  <c r="CJ186" i="23424"/>
  <c r="CI186" i="23424"/>
  <c r="CH186" i="23424"/>
  <c r="CG186" i="23424"/>
  <c r="CF186" i="23424"/>
  <c r="CE186" i="23424"/>
  <c r="CD186" i="23424"/>
  <c r="BO186" i="23424"/>
  <c r="BJ186" i="23424"/>
  <c r="CP185" i="23424"/>
  <c r="CO185" i="23424"/>
  <c r="CN185" i="23424"/>
  <c r="CM185" i="23424"/>
  <c r="CL185" i="23424"/>
  <c r="CK185" i="23424"/>
  <c r="CJ185" i="23424"/>
  <c r="CI185" i="23424"/>
  <c r="CH185" i="23424"/>
  <c r="CG185" i="23424"/>
  <c r="CF185" i="23424"/>
  <c r="CE185" i="23424"/>
  <c r="CD185" i="23424"/>
  <c r="BO185" i="23424"/>
  <c r="BL185" i="23424"/>
  <c r="BK185" i="23424"/>
  <c r="BJ185" i="23424"/>
  <c r="CP184" i="23424"/>
  <c r="CO184" i="23424"/>
  <c r="CN184" i="23424"/>
  <c r="CM184" i="23424"/>
  <c r="CL184" i="23424"/>
  <c r="CK184" i="23424"/>
  <c r="CJ184" i="23424"/>
  <c r="CI184" i="23424"/>
  <c r="CH184" i="23424"/>
  <c r="CG184" i="23424"/>
  <c r="CF184" i="23424"/>
  <c r="CE184" i="23424"/>
  <c r="CD184" i="23424"/>
  <c r="BO184" i="23424"/>
  <c r="BK184" i="23424"/>
  <c r="BJ184" i="23424"/>
  <c r="BL184" i="23424" s="1"/>
  <c r="CP183" i="23424"/>
  <c r="CO183" i="23424"/>
  <c r="CN183" i="23424"/>
  <c r="CM183" i="23424"/>
  <c r="CL183" i="23424"/>
  <c r="CK183" i="23424"/>
  <c r="CJ183" i="23424"/>
  <c r="CI183" i="23424"/>
  <c r="CH183" i="23424"/>
  <c r="CG183" i="23424"/>
  <c r="CF183" i="23424"/>
  <c r="CE183" i="23424"/>
  <c r="CD183" i="23424"/>
  <c r="BO183" i="23424"/>
  <c r="BK183" i="23424"/>
  <c r="BJ183" i="23424"/>
  <c r="BL183" i="23424" s="1"/>
  <c r="CP182" i="23424"/>
  <c r="CO182" i="23424"/>
  <c r="CN182" i="23424"/>
  <c r="CM182" i="23424"/>
  <c r="CL182" i="23424"/>
  <c r="CK182" i="23424"/>
  <c r="CJ182" i="23424"/>
  <c r="CI182" i="23424"/>
  <c r="CH182" i="23424"/>
  <c r="CG182" i="23424"/>
  <c r="CF182" i="23424"/>
  <c r="CE182" i="23424"/>
  <c r="CD182" i="23424"/>
  <c r="BO182" i="23424"/>
  <c r="BJ182" i="23424"/>
  <c r="BK182" i="23424" s="1"/>
  <c r="CP181" i="23424"/>
  <c r="CO181" i="23424"/>
  <c r="CN181" i="23424"/>
  <c r="CM181" i="23424"/>
  <c r="CL181" i="23424"/>
  <c r="CK181" i="23424"/>
  <c r="CJ181" i="23424"/>
  <c r="CI181" i="23424"/>
  <c r="CH181" i="23424"/>
  <c r="CG181" i="23424"/>
  <c r="CF181" i="23424"/>
  <c r="CE181" i="23424"/>
  <c r="CD181" i="23424"/>
  <c r="BO181" i="23424"/>
  <c r="BL181" i="23424"/>
  <c r="BK181" i="23424"/>
  <c r="BJ181" i="23424"/>
  <c r="CP180" i="23424"/>
  <c r="CO180" i="23424"/>
  <c r="CN180" i="23424"/>
  <c r="CM180" i="23424"/>
  <c r="CL180" i="23424"/>
  <c r="CK180" i="23424"/>
  <c r="CJ180" i="23424"/>
  <c r="CI180" i="23424"/>
  <c r="CH180" i="23424"/>
  <c r="CG180" i="23424"/>
  <c r="CF180" i="23424"/>
  <c r="CE180" i="23424"/>
  <c r="CD180" i="23424"/>
  <c r="BO180" i="23424"/>
  <c r="BL180" i="23424"/>
  <c r="BK180" i="23424"/>
  <c r="BJ180" i="23424"/>
  <c r="CP179" i="23424"/>
  <c r="CO179" i="23424"/>
  <c r="CN179" i="23424"/>
  <c r="CM179" i="23424"/>
  <c r="CL179" i="23424"/>
  <c r="CK179" i="23424"/>
  <c r="CJ179" i="23424"/>
  <c r="CI179" i="23424"/>
  <c r="CH179" i="23424"/>
  <c r="CG179" i="23424"/>
  <c r="CF179" i="23424"/>
  <c r="CE179" i="23424"/>
  <c r="CD179" i="23424"/>
  <c r="BO179" i="23424"/>
  <c r="BJ179" i="23424"/>
  <c r="BL179" i="23424" s="1"/>
  <c r="CP178" i="23424"/>
  <c r="CO178" i="23424"/>
  <c r="CN178" i="23424"/>
  <c r="CM178" i="23424"/>
  <c r="CL178" i="23424"/>
  <c r="CK178" i="23424"/>
  <c r="CJ178" i="23424"/>
  <c r="CI178" i="23424"/>
  <c r="CH178" i="23424"/>
  <c r="CG178" i="23424"/>
  <c r="CF178" i="23424"/>
  <c r="CE178" i="23424"/>
  <c r="CD178" i="23424"/>
  <c r="BO178" i="23424"/>
  <c r="BL178" i="23424"/>
  <c r="BK178" i="23424"/>
  <c r="BJ178" i="23424"/>
  <c r="CP177" i="23424"/>
  <c r="CO177" i="23424"/>
  <c r="CN177" i="23424"/>
  <c r="CM177" i="23424"/>
  <c r="CL177" i="23424"/>
  <c r="CK177" i="23424"/>
  <c r="CJ177" i="23424"/>
  <c r="CI177" i="23424"/>
  <c r="CH177" i="23424"/>
  <c r="CG177" i="23424"/>
  <c r="CF177" i="23424"/>
  <c r="CE177" i="23424"/>
  <c r="CD177" i="23424"/>
  <c r="BO177" i="23424"/>
  <c r="BL177" i="23424"/>
  <c r="BK177" i="23424"/>
  <c r="BJ177" i="23424"/>
  <c r="CP176" i="23424"/>
  <c r="CO176" i="23424"/>
  <c r="CN176" i="23424"/>
  <c r="CM176" i="23424"/>
  <c r="CL176" i="23424"/>
  <c r="CK176" i="23424"/>
  <c r="CJ176" i="23424"/>
  <c r="CI176" i="23424"/>
  <c r="CH176" i="23424"/>
  <c r="CG176" i="23424"/>
  <c r="CF176" i="23424"/>
  <c r="CE176" i="23424"/>
  <c r="CD176" i="23424"/>
  <c r="BO176" i="23424"/>
  <c r="BL176" i="23424"/>
  <c r="BK176" i="23424"/>
  <c r="BJ176" i="23424"/>
  <c r="CP175" i="23424"/>
  <c r="CO175" i="23424"/>
  <c r="CN175" i="23424"/>
  <c r="CM175" i="23424"/>
  <c r="CL175" i="23424"/>
  <c r="CK175" i="23424"/>
  <c r="CJ175" i="23424"/>
  <c r="CI175" i="23424"/>
  <c r="CH175" i="23424"/>
  <c r="CG175" i="23424"/>
  <c r="CF175" i="23424"/>
  <c r="CE175" i="23424"/>
  <c r="CD175" i="23424"/>
  <c r="BO175" i="23424"/>
  <c r="BK175" i="23424"/>
  <c r="BJ175" i="23424"/>
  <c r="BL175" i="23424" s="1"/>
  <c r="CP174" i="23424"/>
  <c r="CO174" i="23424"/>
  <c r="CN174" i="23424"/>
  <c r="CM174" i="23424"/>
  <c r="CL174" i="23424"/>
  <c r="CK174" i="23424"/>
  <c r="CJ174" i="23424"/>
  <c r="CI174" i="23424"/>
  <c r="CH174" i="23424"/>
  <c r="CG174" i="23424"/>
  <c r="CF174" i="23424"/>
  <c r="CE174" i="23424"/>
  <c r="CD174" i="23424"/>
  <c r="BO174" i="23424"/>
  <c r="BL174" i="23424"/>
  <c r="BJ174" i="23424"/>
  <c r="BK174" i="23424" s="1"/>
  <c r="CP173" i="23424"/>
  <c r="CO173" i="23424"/>
  <c r="CN173" i="23424"/>
  <c r="CM173" i="23424"/>
  <c r="CL173" i="23424"/>
  <c r="CK173" i="23424"/>
  <c r="CJ173" i="23424"/>
  <c r="CI173" i="23424"/>
  <c r="CH173" i="23424"/>
  <c r="CG173" i="23424"/>
  <c r="CF173" i="23424"/>
  <c r="CE173" i="23424"/>
  <c r="CD173" i="23424"/>
  <c r="BO173" i="23424"/>
  <c r="BJ173" i="23424"/>
  <c r="CP172" i="23424"/>
  <c r="CO172" i="23424"/>
  <c r="CN172" i="23424"/>
  <c r="CM172" i="23424"/>
  <c r="CL172" i="23424"/>
  <c r="CK172" i="23424"/>
  <c r="CJ172" i="23424"/>
  <c r="CI172" i="23424"/>
  <c r="CH172" i="23424"/>
  <c r="CG172" i="23424"/>
  <c r="CF172" i="23424"/>
  <c r="CE172" i="23424"/>
  <c r="CD172" i="23424"/>
  <c r="BO172" i="23424"/>
  <c r="BL172" i="23424"/>
  <c r="BK172" i="23424"/>
  <c r="BJ172" i="23424"/>
  <c r="CP171" i="23424"/>
  <c r="CO171" i="23424"/>
  <c r="CN171" i="23424"/>
  <c r="CM171" i="23424"/>
  <c r="CL171" i="23424"/>
  <c r="CK171" i="23424"/>
  <c r="CJ171" i="23424"/>
  <c r="CI171" i="23424"/>
  <c r="CH171" i="23424"/>
  <c r="CG171" i="23424"/>
  <c r="CF171" i="23424"/>
  <c r="CE171" i="23424"/>
  <c r="CD171" i="23424"/>
  <c r="BO171" i="23424"/>
  <c r="BK171" i="23424"/>
  <c r="BJ171" i="23424"/>
  <c r="BL171" i="23424" s="1"/>
  <c r="CP170" i="23424"/>
  <c r="CO170" i="23424"/>
  <c r="CN170" i="23424"/>
  <c r="CM170" i="23424"/>
  <c r="CL170" i="23424"/>
  <c r="CK170" i="23424"/>
  <c r="CJ170" i="23424"/>
  <c r="CI170" i="23424"/>
  <c r="CH170" i="23424"/>
  <c r="CG170" i="23424"/>
  <c r="CF170" i="23424"/>
  <c r="CE170" i="23424"/>
  <c r="CD170" i="23424"/>
  <c r="BO170" i="23424"/>
  <c r="BL170" i="23424"/>
  <c r="BK170" i="23424"/>
  <c r="BJ170" i="23424"/>
  <c r="CP169" i="23424"/>
  <c r="CO169" i="23424"/>
  <c r="CN169" i="23424"/>
  <c r="CM169" i="23424"/>
  <c r="CL169" i="23424"/>
  <c r="CK169" i="23424"/>
  <c r="CJ169" i="23424"/>
  <c r="CI169" i="23424"/>
  <c r="CH169" i="23424"/>
  <c r="CG169" i="23424"/>
  <c r="CF169" i="23424"/>
  <c r="CE169" i="23424"/>
  <c r="CD169" i="23424"/>
  <c r="BO169" i="23424"/>
  <c r="BL169" i="23424"/>
  <c r="BJ169" i="23424"/>
  <c r="BK169" i="23424" s="1"/>
  <c r="CP168" i="23424"/>
  <c r="CO168" i="23424"/>
  <c r="CN168" i="23424"/>
  <c r="CM168" i="23424"/>
  <c r="CL168" i="23424"/>
  <c r="CK168" i="23424"/>
  <c r="CJ168" i="23424"/>
  <c r="CI168" i="23424"/>
  <c r="CH168" i="23424"/>
  <c r="CG168" i="23424"/>
  <c r="CF168" i="23424"/>
  <c r="CE168" i="23424"/>
  <c r="CD168" i="23424"/>
  <c r="BO168" i="23424"/>
  <c r="BJ168" i="23424"/>
  <c r="CP167" i="23424"/>
  <c r="CO167" i="23424"/>
  <c r="CN167" i="23424"/>
  <c r="CM167" i="23424"/>
  <c r="CL167" i="23424"/>
  <c r="CK167" i="23424"/>
  <c r="CJ167" i="23424"/>
  <c r="CI167" i="23424"/>
  <c r="CH167" i="23424"/>
  <c r="CG167" i="23424"/>
  <c r="CF167" i="23424"/>
  <c r="CE167" i="23424"/>
  <c r="CD167" i="23424"/>
  <c r="BO167" i="23424"/>
  <c r="BL167" i="23424"/>
  <c r="BJ167" i="23424"/>
  <c r="BK167" i="23424" s="1"/>
  <c r="CP166" i="23424"/>
  <c r="CO166" i="23424"/>
  <c r="CN166" i="23424"/>
  <c r="CM166" i="23424"/>
  <c r="CL166" i="23424"/>
  <c r="CK166" i="23424"/>
  <c r="CJ166" i="23424"/>
  <c r="CI166" i="23424"/>
  <c r="CH166" i="23424"/>
  <c r="CG166" i="23424"/>
  <c r="CF166" i="23424"/>
  <c r="CE166" i="23424"/>
  <c r="CD166" i="23424"/>
  <c r="BO166" i="23424"/>
  <c r="BL166" i="23424"/>
  <c r="BJ166" i="23424"/>
  <c r="BK166" i="23424" s="1"/>
  <c r="CP165" i="23424"/>
  <c r="CO165" i="23424"/>
  <c r="CN165" i="23424"/>
  <c r="CM165" i="23424"/>
  <c r="CL165" i="23424"/>
  <c r="CK165" i="23424"/>
  <c r="CJ165" i="23424"/>
  <c r="CI165" i="23424"/>
  <c r="CH165" i="23424"/>
  <c r="CG165" i="23424"/>
  <c r="CF165" i="23424"/>
  <c r="CE165" i="23424"/>
  <c r="CD165" i="23424"/>
  <c r="BO165" i="23424"/>
  <c r="BL165" i="23424"/>
  <c r="BK165" i="23424"/>
  <c r="BJ165" i="23424"/>
  <c r="CP164" i="23424"/>
  <c r="CO164" i="23424"/>
  <c r="CN164" i="23424"/>
  <c r="CM164" i="23424"/>
  <c r="CL164" i="23424"/>
  <c r="CK164" i="23424"/>
  <c r="CJ164" i="23424"/>
  <c r="CI164" i="23424"/>
  <c r="CH164" i="23424"/>
  <c r="CG164" i="23424"/>
  <c r="CF164" i="23424"/>
  <c r="CE164" i="23424"/>
  <c r="CD164" i="23424"/>
  <c r="BO164" i="23424"/>
  <c r="BK164" i="23424"/>
  <c r="BJ164" i="23424"/>
  <c r="BL164" i="23424" s="1"/>
  <c r="CP163" i="23424"/>
  <c r="CO163" i="23424"/>
  <c r="CN163" i="23424"/>
  <c r="CM163" i="23424"/>
  <c r="CL163" i="23424"/>
  <c r="CK163" i="23424"/>
  <c r="CJ163" i="23424"/>
  <c r="CI163" i="23424"/>
  <c r="CH163" i="23424"/>
  <c r="CG163" i="23424"/>
  <c r="CF163" i="23424"/>
  <c r="CE163" i="23424"/>
  <c r="CD163" i="23424"/>
  <c r="BO163" i="23424"/>
  <c r="BJ163" i="23424"/>
  <c r="BL163" i="23424" s="1"/>
  <c r="CP162" i="23424"/>
  <c r="CO162" i="23424"/>
  <c r="CN162" i="23424"/>
  <c r="CM162" i="23424"/>
  <c r="CL162" i="23424"/>
  <c r="CK162" i="23424"/>
  <c r="CJ162" i="23424"/>
  <c r="CI162" i="23424"/>
  <c r="CH162" i="23424"/>
  <c r="CG162" i="23424"/>
  <c r="CF162" i="23424"/>
  <c r="CE162" i="23424"/>
  <c r="CD162" i="23424"/>
  <c r="BO162" i="23424"/>
  <c r="BJ162" i="23424"/>
  <c r="CP161" i="23424"/>
  <c r="CO161" i="23424"/>
  <c r="CN161" i="23424"/>
  <c r="CM161" i="23424"/>
  <c r="CL161" i="23424"/>
  <c r="CK161" i="23424"/>
  <c r="CJ161" i="23424"/>
  <c r="CI161" i="23424"/>
  <c r="CH161" i="23424"/>
  <c r="CG161" i="23424"/>
  <c r="CF161" i="23424"/>
  <c r="CE161" i="23424"/>
  <c r="CD161" i="23424"/>
  <c r="BO161" i="23424"/>
  <c r="BK161" i="23424"/>
  <c r="BJ161" i="23424"/>
  <c r="BL161" i="23424" s="1"/>
  <c r="CP160" i="23424"/>
  <c r="CO160" i="23424"/>
  <c r="CN160" i="23424"/>
  <c r="CM160" i="23424"/>
  <c r="CL160" i="23424"/>
  <c r="CK160" i="23424"/>
  <c r="CJ160" i="23424"/>
  <c r="CI160" i="23424"/>
  <c r="CH160" i="23424"/>
  <c r="CG160" i="23424"/>
  <c r="CF160" i="23424"/>
  <c r="CE160" i="23424"/>
  <c r="CD160" i="23424"/>
  <c r="BO160" i="23424"/>
  <c r="BJ160" i="23424"/>
  <c r="BK160" i="23424" s="1"/>
  <c r="CP159" i="23424"/>
  <c r="CO159" i="23424"/>
  <c r="CN159" i="23424"/>
  <c r="CM159" i="23424"/>
  <c r="CL159" i="23424"/>
  <c r="CK159" i="23424"/>
  <c r="CJ159" i="23424"/>
  <c r="CI159" i="23424"/>
  <c r="CH159" i="23424"/>
  <c r="CG159" i="23424"/>
  <c r="CF159" i="23424"/>
  <c r="CE159" i="23424"/>
  <c r="CD159" i="23424"/>
  <c r="BO159" i="23424"/>
  <c r="BJ159" i="23424"/>
  <c r="BL159" i="23424" s="1"/>
  <c r="CP158" i="23424"/>
  <c r="CO158" i="23424"/>
  <c r="CN158" i="23424"/>
  <c r="CM158" i="23424"/>
  <c r="CL158" i="23424"/>
  <c r="CK158" i="23424"/>
  <c r="CJ158" i="23424"/>
  <c r="CI158" i="23424"/>
  <c r="CH158" i="23424"/>
  <c r="CG158" i="23424"/>
  <c r="CF158" i="23424"/>
  <c r="CE158" i="23424"/>
  <c r="CD158" i="23424"/>
  <c r="BO158" i="23424"/>
  <c r="BL158" i="23424"/>
  <c r="BJ158" i="23424"/>
  <c r="BK158" i="23424" s="1"/>
  <c r="CP157" i="23424"/>
  <c r="CO157" i="23424"/>
  <c r="CN157" i="23424"/>
  <c r="CM157" i="23424"/>
  <c r="CL157" i="23424"/>
  <c r="CK157" i="23424"/>
  <c r="CJ157" i="23424"/>
  <c r="CI157" i="23424"/>
  <c r="CH157" i="23424"/>
  <c r="CG157" i="23424"/>
  <c r="CF157" i="23424"/>
  <c r="CE157" i="23424"/>
  <c r="CD157" i="23424"/>
  <c r="BO157" i="23424"/>
  <c r="BL157" i="23424"/>
  <c r="BK157" i="23424"/>
  <c r="BJ157" i="23424"/>
  <c r="CP156" i="23424"/>
  <c r="CO156" i="23424"/>
  <c r="CN156" i="23424"/>
  <c r="CM156" i="23424"/>
  <c r="CL156" i="23424"/>
  <c r="CK156" i="23424"/>
  <c r="CJ156" i="23424"/>
  <c r="CI156" i="23424"/>
  <c r="CH156" i="23424"/>
  <c r="CG156" i="23424"/>
  <c r="CF156" i="23424"/>
  <c r="CE156" i="23424"/>
  <c r="CD156" i="23424"/>
  <c r="BO156" i="23424"/>
  <c r="BL156" i="23424"/>
  <c r="BK156" i="23424"/>
  <c r="BJ156" i="23424"/>
  <c r="CP155" i="23424"/>
  <c r="CO155" i="23424"/>
  <c r="CN155" i="23424"/>
  <c r="CM155" i="23424"/>
  <c r="CL155" i="23424"/>
  <c r="CK155" i="23424"/>
  <c r="CJ155" i="23424"/>
  <c r="CI155" i="23424"/>
  <c r="CH155" i="23424"/>
  <c r="CG155" i="23424"/>
  <c r="CF155" i="23424"/>
  <c r="CE155" i="23424"/>
  <c r="CD155" i="23424"/>
  <c r="BO155" i="23424"/>
  <c r="BL155" i="23424"/>
  <c r="BK155" i="23424"/>
  <c r="BJ155" i="23424"/>
  <c r="CP154" i="23424"/>
  <c r="CO154" i="23424"/>
  <c r="CN154" i="23424"/>
  <c r="CM154" i="23424"/>
  <c r="CL154" i="23424"/>
  <c r="CK154" i="23424"/>
  <c r="CJ154" i="23424"/>
  <c r="CI154" i="23424"/>
  <c r="CH154" i="23424"/>
  <c r="CG154" i="23424"/>
  <c r="CF154" i="23424"/>
  <c r="CE154" i="23424"/>
  <c r="CD154" i="23424"/>
  <c r="BO154" i="23424"/>
  <c r="BL154" i="23424"/>
  <c r="BJ154" i="23424"/>
  <c r="BK154" i="23424" s="1"/>
  <c r="CP153" i="23424"/>
  <c r="CO153" i="23424"/>
  <c r="CN153" i="23424"/>
  <c r="CM153" i="23424"/>
  <c r="CL153" i="23424"/>
  <c r="CK153" i="23424"/>
  <c r="CJ153" i="23424"/>
  <c r="CI153" i="23424"/>
  <c r="CH153" i="23424"/>
  <c r="CG153" i="23424"/>
  <c r="CF153" i="23424"/>
  <c r="CE153" i="23424"/>
  <c r="CD153" i="23424"/>
  <c r="BO153" i="23424"/>
  <c r="BK153" i="23424"/>
  <c r="BJ153" i="23424"/>
  <c r="BL153" i="23424" s="1"/>
  <c r="CP152" i="23424"/>
  <c r="CO152" i="23424"/>
  <c r="CN152" i="23424"/>
  <c r="CM152" i="23424"/>
  <c r="CL152" i="23424"/>
  <c r="CK152" i="23424"/>
  <c r="CJ152" i="23424"/>
  <c r="CI152" i="23424"/>
  <c r="CH152" i="23424"/>
  <c r="CG152" i="23424"/>
  <c r="CF152" i="23424"/>
  <c r="CE152" i="23424"/>
  <c r="CD152" i="23424"/>
  <c r="BO152" i="23424"/>
  <c r="BL152" i="23424"/>
  <c r="BK152" i="23424"/>
  <c r="BJ152" i="23424"/>
  <c r="CP151" i="23424"/>
  <c r="CO151" i="23424"/>
  <c r="CN151" i="23424"/>
  <c r="CM151" i="23424"/>
  <c r="CL151" i="23424"/>
  <c r="CK151" i="23424"/>
  <c r="CJ151" i="23424"/>
  <c r="CI151" i="23424"/>
  <c r="CH151" i="23424"/>
  <c r="CG151" i="23424"/>
  <c r="CF151" i="23424"/>
  <c r="CE151" i="23424"/>
  <c r="CD151" i="23424"/>
  <c r="BO151" i="23424"/>
  <c r="BJ151" i="23424"/>
  <c r="BL151" i="23424" s="1"/>
  <c r="CP150" i="23424"/>
  <c r="CO150" i="23424"/>
  <c r="CN150" i="23424"/>
  <c r="CM150" i="23424"/>
  <c r="CL150" i="23424"/>
  <c r="CK150" i="23424"/>
  <c r="CJ150" i="23424"/>
  <c r="CI150" i="23424"/>
  <c r="CH150" i="23424"/>
  <c r="CG150" i="23424"/>
  <c r="CF150" i="23424"/>
  <c r="CE150" i="23424"/>
  <c r="CD150" i="23424"/>
  <c r="BO150" i="23424"/>
  <c r="BJ150" i="23424"/>
  <c r="BL150" i="23424" s="1"/>
  <c r="CP149" i="23424"/>
  <c r="CO149" i="23424"/>
  <c r="CN149" i="23424"/>
  <c r="CM149" i="23424"/>
  <c r="CL149" i="23424"/>
  <c r="CK149" i="23424"/>
  <c r="CJ149" i="23424"/>
  <c r="CI149" i="23424"/>
  <c r="CH149" i="23424"/>
  <c r="CG149" i="23424"/>
  <c r="CF149" i="23424"/>
  <c r="CE149" i="23424"/>
  <c r="CD149" i="23424"/>
  <c r="BO149" i="23424"/>
  <c r="BL149" i="23424"/>
  <c r="BK149" i="23424"/>
  <c r="BJ149" i="23424"/>
  <c r="CP148" i="23424"/>
  <c r="CO148" i="23424"/>
  <c r="CN148" i="23424"/>
  <c r="CM148" i="23424"/>
  <c r="CL148" i="23424"/>
  <c r="CK148" i="23424"/>
  <c r="CJ148" i="23424"/>
  <c r="CI148" i="23424"/>
  <c r="CH148" i="23424"/>
  <c r="CG148" i="23424"/>
  <c r="CF148" i="23424"/>
  <c r="CE148" i="23424"/>
  <c r="CD148" i="23424"/>
  <c r="BO148" i="23424"/>
  <c r="BJ148" i="23424"/>
  <c r="CP147" i="23424"/>
  <c r="CO147" i="23424"/>
  <c r="CN147" i="23424"/>
  <c r="CM147" i="23424"/>
  <c r="CL147" i="23424"/>
  <c r="CK147" i="23424"/>
  <c r="CJ147" i="23424"/>
  <c r="CI147" i="23424"/>
  <c r="CH147" i="23424"/>
  <c r="CG147" i="23424"/>
  <c r="CF147" i="23424"/>
  <c r="CE147" i="23424"/>
  <c r="CD147" i="23424"/>
  <c r="BO147" i="23424"/>
  <c r="BL147" i="23424"/>
  <c r="BK147" i="23424"/>
  <c r="BJ147" i="23424"/>
  <c r="CP146" i="23424"/>
  <c r="CO146" i="23424"/>
  <c r="CN146" i="23424"/>
  <c r="CM146" i="23424"/>
  <c r="CL146" i="23424"/>
  <c r="CK146" i="23424"/>
  <c r="CJ146" i="23424"/>
  <c r="CI146" i="23424"/>
  <c r="CH146" i="23424"/>
  <c r="CG146" i="23424"/>
  <c r="CF146" i="23424"/>
  <c r="CE146" i="23424"/>
  <c r="CD146" i="23424"/>
  <c r="BO146" i="23424"/>
  <c r="BJ146" i="23424"/>
  <c r="CP145" i="23424"/>
  <c r="CO145" i="23424"/>
  <c r="CN145" i="23424"/>
  <c r="CM145" i="23424"/>
  <c r="CL145" i="23424"/>
  <c r="CK145" i="23424"/>
  <c r="CJ145" i="23424"/>
  <c r="CI145" i="23424"/>
  <c r="CH145" i="23424"/>
  <c r="CG145" i="23424"/>
  <c r="CF145" i="23424"/>
  <c r="CE145" i="23424"/>
  <c r="CD145" i="23424"/>
  <c r="BO145" i="23424"/>
  <c r="BL145" i="23424"/>
  <c r="BK145" i="23424"/>
  <c r="BJ145" i="23424"/>
  <c r="CP144" i="23424"/>
  <c r="CO144" i="23424"/>
  <c r="CN144" i="23424"/>
  <c r="CM144" i="23424"/>
  <c r="CL144" i="23424"/>
  <c r="CK144" i="23424"/>
  <c r="CJ144" i="23424"/>
  <c r="CI144" i="23424"/>
  <c r="CH144" i="23424"/>
  <c r="CG144" i="23424"/>
  <c r="CF144" i="23424"/>
  <c r="CE144" i="23424"/>
  <c r="CD144" i="23424"/>
  <c r="BO144" i="23424"/>
  <c r="BL144" i="23424"/>
  <c r="BK144" i="23424"/>
  <c r="BJ144" i="23424"/>
  <c r="CP143" i="23424"/>
  <c r="CO143" i="23424"/>
  <c r="CN143" i="23424"/>
  <c r="CM143" i="23424"/>
  <c r="CL143" i="23424"/>
  <c r="CK143" i="23424"/>
  <c r="CJ143" i="23424"/>
  <c r="CI143" i="23424"/>
  <c r="CH143" i="23424"/>
  <c r="CG143" i="23424"/>
  <c r="CF143" i="23424"/>
  <c r="CE143" i="23424"/>
  <c r="CD143" i="23424"/>
  <c r="BO143" i="23424"/>
  <c r="BL143" i="23424"/>
  <c r="BK143" i="23424"/>
  <c r="BJ143" i="23424"/>
  <c r="CP142" i="23424"/>
  <c r="CO142" i="23424"/>
  <c r="CN142" i="23424"/>
  <c r="CM142" i="23424"/>
  <c r="CL142" i="23424"/>
  <c r="CK142" i="23424"/>
  <c r="CJ142" i="23424"/>
  <c r="CI142" i="23424"/>
  <c r="CH142" i="23424"/>
  <c r="CG142" i="23424"/>
  <c r="CF142" i="23424"/>
  <c r="CE142" i="23424"/>
  <c r="CD142" i="23424"/>
  <c r="BO142" i="23424"/>
  <c r="BJ142" i="23424"/>
  <c r="CP141" i="23424"/>
  <c r="CO141" i="23424"/>
  <c r="CN141" i="23424"/>
  <c r="CM141" i="23424"/>
  <c r="CL141" i="23424"/>
  <c r="CK141" i="23424"/>
  <c r="CJ141" i="23424"/>
  <c r="CI141" i="23424"/>
  <c r="CH141" i="23424"/>
  <c r="CG141" i="23424"/>
  <c r="CF141" i="23424"/>
  <c r="CE141" i="23424"/>
  <c r="CD141" i="23424"/>
  <c r="BO141" i="23424"/>
  <c r="BL141" i="23424"/>
  <c r="BK141" i="23424"/>
  <c r="BJ141" i="23424"/>
  <c r="CP140" i="23424"/>
  <c r="CO140" i="23424"/>
  <c r="CN140" i="23424"/>
  <c r="CM140" i="23424"/>
  <c r="CL140" i="23424"/>
  <c r="CK140" i="23424"/>
  <c r="CJ140" i="23424"/>
  <c r="CI140" i="23424"/>
  <c r="CH140" i="23424"/>
  <c r="CG140" i="23424"/>
  <c r="CF140" i="23424"/>
  <c r="CE140" i="23424"/>
  <c r="CD140" i="23424"/>
  <c r="BO140" i="23424"/>
  <c r="BJ140" i="23424"/>
  <c r="CP139" i="23424"/>
  <c r="CO139" i="23424"/>
  <c r="CN139" i="23424"/>
  <c r="CM139" i="23424"/>
  <c r="CL139" i="23424"/>
  <c r="CK139" i="23424"/>
  <c r="CJ139" i="23424"/>
  <c r="CI139" i="23424"/>
  <c r="CH139" i="23424"/>
  <c r="CG139" i="23424"/>
  <c r="CF139" i="23424"/>
  <c r="CE139" i="23424"/>
  <c r="CD139" i="23424"/>
  <c r="BO139" i="23424"/>
  <c r="BJ139" i="23424"/>
  <c r="BL139" i="23424" s="1"/>
  <c r="CP138" i="23424"/>
  <c r="CO138" i="23424"/>
  <c r="CN138" i="23424"/>
  <c r="CM138" i="23424"/>
  <c r="CL138" i="23424"/>
  <c r="CK138" i="23424"/>
  <c r="CJ138" i="23424"/>
  <c r="CI138" i="23424"/>
  <c r="CH138" i="23424"/>
  <c r="CG138" i="23424"/>
  <c r="CF138" i="23424"/>
  <c r="CE138" i="23424"/>
  <c r="CD138" i="23424"/>
  <c r="BO138" i="23424"/>
  <c r="BJ138" i="23424"/>
  <c r="BL138" i="23424" s="1"/>
  <c r="CP137" i="23424"/>
  <c r="CO137" i="23424"/>
  <c r="CN137" i="23424"/>
  <c r="CM137" i="23424"/>
  <c r="CL137" i="23424"/>
  <c r="CK137" i="23424"/>
  <c r="CJ137" i="23424"/>
  <c r="CI137" i="23424"/>
  <c r="CH137" i="23424"/>
  <c r="CG137" i="23424"/>
  <c r="CF137" i="23424"/>
  <c r="CE137" i="23424"/>
  <c r="CD137" i="23424"/>
  <c r="BO137" i="23424"/>
  <c r="BL137" i="23424"/>
  <c r="BK137" i="23424"/>
  <c r="BJ137" i="23424"/>
  <c r="CP136" i="23424"/>
  <c r="CO136" i="23424"/>
  <c r="CN136" i="23424"/>
  <c r="CM136" i="23424"/>
  <c r="CL136" i="23424"/>
  <c r="CK136" i="23424"/>
  <c r="CJ136" i="23424"/>
  <c r="CI136" i="23424"/>
  <c r="CH136" i="23424"/>
  <c r="CG136" i="23424"/>
  <c r="CF136" i="23424"/>
  <c r="CE136" i="23424"/>
  <c r="CD136" i="23424"/>
  <c r="BO136" i="23424"/>
  <c r="BJ136" i="23424"/>
  <c r="CP135" i="23424"/>
  <c r="CO135" i="23424"/>
  <c r="CN135" i="23424"/>
  <c r="CM135" i="23424"/>
  <c r="CL135" i="23424"/>
  <c r="CK135" i="23424"/>
  <c r="CJ135" i="23424"/>
  <c r="CI135" i="23424"/>
  <c r="CH135" i="23424"/>
  <c r="CG135" i="23424"/>
  <c r="CF135" i="23424"/>
  <c r="CE135" i="23424"/>
  <c r="CD135" i="23424"/>
  <c r="BO135" i="23424"/>
  <c r="BJ135" i="23424"/>
  <c r="BK135" i="23424" s="1"/>
  <c r="CP134" i="23424"/>
  <c r="CO134" i="23424"/>
  <c r="CN134" i="23424"/>
  <c r="CM134" i="23424"/>
  <c r="CL134" i="23424"/>
  <c r="CK134" i="23424"/>
  <c r="CJ134" i="23424"/>
  <c r="CI134" i="23424"/>
  <c r="CH134" i="23424"/>
  <c r="CG134" i="23424"/>
  <c r="CF134" i="23424"/>
  <c r="CE134" i="23424"/>
  <c r="CD134" i="23424"/>
  <c r="BO134" i="23424"/>
  <c r="BJ134" i="23424"/>
  <c r="CP133" i="23424"/>
  <c r="CO133" i="23424"/>
  <c r="CN133" i="23424"/>
  <c r="CM133" i="23424"/>
  <c r="CL133" i="23424"/>
  <c r="CK133" i="23424"/>
  <c r="CJ133" i="23424"/>
  <c r="CI133" i="23424"/>
  <c r="CH133" i="23424"/>
  <c r="CG133" i="23424"/>
  <c r="CF133" i="23424"/>
  <c r="CE133" i="23424"/>
  <c r="CD133" i="23424"/>
  <c r="BO133" i="23424"/>
  <c r="BJ133" i="23424"/>
  <c r="BL133" i="23424" s="1"/>
  <c r="CP132" i="23424"/>
  <c r="CO132" i="23424"/>
  <c r="CN132" i="23424"/>
  <c r="CM132" i="23424"/>
  <c r="CL132" i="23424"/>
  <c r="CK132" i="23424"/>
  <c r="CJ132" i="23424"/>
  <c r="CI132" i="23424"/>
  <c r="CH132" i="23424"/>
  <c r="CG132" i="23424"/>
  <c r="CF132" i="23424"/>
  <c r="CE132" i="23424"/>
  <c r="CD132" i="23424"/>
  <c r="BO132" i="23424"/>
  <c r="BL132" i="23424"/>
  <c r="BK132" i="23424"/>
  <c r="BJ132" i="23424"/>
  <c r="CP131" i="23424"/>
  <c r="CO131" i="23424"/>
  <c r="CN131" i="23424"/>
  <c r="CM131" i="23424"/>
  <c r="CL131" i="23424"/>
  <c r="CK131" i="23424"/>
  <c r="CJ131" i="23424"/>
  <c r="CI131" i="23424"/>
  <c r="CH131" i="23424"/>
  <c r="CG131" i="23424"/>
  <c r="CF131" i="23424"/>
  <c r="CE131" i="23424"/>
  <c r="CD131" i="23424"/>
  <c r="BO131" i="23424"/>
  <c r="BL131" i="23424"/>
  <c r="BJ131" i="23424"/>
  <c r="BK131" i="23424" s="1"/>
  <c r="CP130" i="23424"/>
  <c r="CO130" i="23424"/>
  <c r="CN130" i="23424"/>
  <c r="CM130" i="23424"/>
  <c r="CL130" i="23424"/>
  <c r="CK130" i="23424"/>
  <c r="CJ130" i="23424"/>
  <c r="CI130" i="23424"/>
  <c r="CH130" i="23424"/>
  <c r="CG130" i="23424"/>
  <c r="CF130" i="23424"/>
  <c r="CE130" i="23424"/>
  <c r="CD130" i="23424"/>
  <c r="BO130" i="23424"/>
  <c r="BL130" i="23424"/>
  <c r="BK130" i="23424"/>
  <c r="BJ130" i="23424"/>
  <c r="CP129" i="23424"/>
  <c r="CO129" i="23424"/>
  <c r="CN129" i="23424"/>
  <c r="CM129" i="23424"/>
  <c r="CL129" i="23424"/>
  <c r="CK129" i="23424"/>
  <c r="CJ129" i="23424"/>
  <c r="CI129" i="23424"/>
  <c r="CH129" i="23424"/>
  <c r="CG129" i="23424"/>
  <c r="CF129" i="23424"/>
  <c r="CE129" i="23424"/>
  <c r="CD129" i="23424"/>
  <c r="BO129" i="23424"/>
  <c r="BL129" i="23424"/>
  <c r="BJ129" i="23424"/>
  <c r="BK129" i="23424" s="1"/>
  <c r="CP128" i="23424"/>
  <c r="CO128" i="23424"/>
  <c r="CN128" i="23424"/>
  <c r="CM128" i="23424"/>
  <c r="CL128" i="23424"/>
  <c r="CK128" i="23424"/>
  <c r="CJ128" i="23424"/>
  <c r="CI128" i="23424"/>
  <c r="CH128" i="23424"/>
  <c r="CG128" i="23424"/>
  <c r="CF128" i="23424"/>
  <c r="CE128" i="23424"/>
  <c r="CD128" i="23424"/>
  <c r="BO128" i="23424"/>
  <c r="BJ128" i="23424"/>
  <c r="CP127" i="23424"/>
  <c r="CO127" i="23424"/>
  <c r="CN127" i="23424"/>
  <c r="CM127" i="23424"/>
  <c r="CL127" i="23424"/>
  <c r="CK127" i="23424"/>
  <c r="CJ127" i="23424"/>
  <c r="CI127" i="23424"/>
  <c r="CH127" i="23424"/>
  <c r="CG127" i="23424"/>
  <c r="CF127" i="23424"/>
  <c r="CE127" i="23424"/>
  <c r="CD127" i="23424"/>
  <c r="BO127" i="23424"/>
  <c r="BL127" i="23424"/>
  <c r="BJ127" i="23424"/>
  <c r="BK127" i="23424" s="1"/>
  <c r="CP126" i="23424"/>
  <c r="CO126" i="23424"/>
  <c r="CN126" i="23424"/>
  <c r="CM126" i="23424"/>
  <c r="CL126" i="23424"/>
  <c r="CK126" i="23424"/>
  <c r="CJ126" i="23424"/>
  <c r="CI126" i="23424"/>
  <c r="CH126" i="23424"/>
  <c r="CG126" i="23424"/>
  <c r="CF126" i="23424"/>
  <c r="CE126" i="23424"/>
  <c r="CD126" i="23424"/>
  <c r="BO126" i="23424"/>
  <c r="BJ126" i="23424"/>
  <c r="BK126" i="23424" s="1"/>
  <c r="CP125" i="23424"/>
  <c r="CO125" i="23424"/>
  <c r="CN125" i="23424"/>
  <c r="CM125" i="23424"/>
  <c r="CL125" i="23424"/>
  <c r="CK125" i="23424"/>
  <c r="CJ125" i="23424"/>
  <c r="CI125" i="23424"/>
  <c r="CH125" i="23424"/>
  <c r="CG125" i="23424"/>
  <c r="CF125" i="23424"/>
  <c r="CE125" i="23424"/>
  <c r="CD125" i="23424"/>
  <c r="BO125" i="23424"/>
  <c r="BL125" i="23424"/>
  <c r="BK125" i="23424"/>
  <c r="BJ125" i="23424"/>
  <c r="CP124" i="23424"/>
  <c r="CO124" i="23424"/>
  <c r="CN124" i="23424"/>
  <c r="CM124" i="23424"/>
  <c r="CL124" i="23424"/>
  <c r="CK124" i="23424"/>
  <c r="CJ124" i="23424"/>
  <c r="CI124" i="23424"/>
  <c r="CH124" i="23424"/>
  <c r="CG124" i="23424"/>
  <c r="CF124" i="23424"/>
  <c r="CE124" i="23424"/>
  <c r="CD124" i="23424"/>
  <c r="BO124" i="23424"/>
  <c r="BL124" i="23424"/>
  <c r="BJ124" i="23424"/>
  <c r="BK124" i="23424" s="1"/>
  <c r="CP123" i="23424"/>
  <c r="CO123" i="23424"/>
  <c r="CN123" i="23424"/>
  <c r="CM123" i="23424"/>
  <c r="CL123" i="23424"/>
  <c r="CK123" i="23424"/>
  <c r="CJ123" i="23424"/>
  <c r="CI123" i="23424"/>
  <c r="CH123" i="23424"/>
  <c r="CG123" i="23424"/>
  <c r="CF123" i="23424"/>
  <c r="CE123" i="23424"/>
  <c r="CD123" i="23424"/>
  <c r="BO123" i="23424"/>
  <c r="BK123" i="23424"/>
  <c r="BJ123" i="23424"/>
  <c r="BL123" i="23424" s="1"/>
  <c r="CP122" i="23424"/>
  <c r="CO122" i="23424"/>
  <c r="CN122" i="23424"/>
  <c r="CM122" i="23424"/>
  <c r="CL122" i="23424"/>
  <c r="CK122" i="23424"/>
  <c r="CJ122" i="23424"/>
  <c r="CI122" i="23424"/>
  <c r="CH122" i="23424"/>
  <c r="CG122" i="23424"/>
  <c r="CF122" i="23424"/>
  <c r="CE122" i="23424"/>
  <c r="CD122" i="23424"/>
  <c r="BO122" i="23424"/>
  <c r="BL122" i="23424"/>
  <c r="BJ122" i="23424"/>
  <c r="BK122" i="23424" s="1"/>
  <c r="CP121" i="23424"/>
  <c r="CO121" i="23424"/>
  <c r="CN121" i="23424"/>
  <c r="CM121" i="23424"/>
  <c r="CL121" i="23424"/>
  <c r="CK121" i="23424"/>
  <c r="CJ121" i="23424"/>
  <c r="CI121" i="23424"/>
  <c r="CH121" i="23424"/>
  <c r="CG121" i="23424"/>
  <c r="CF121" i="23424"/>
  <c r="CE121" i="23424"/>
  <c r="CD121" i="23424"/>
  <c r="BO121" i="23424"/>
  <c r="BK121" i="23424"/>
  <c r="BJ121" i="23424"/>
  <c r="BL121" i="23424" s="1"/>
  <c r="CP120" i="23424"/>
  <c r="CO120" i="23424"/>
  <c r="CN120" i="23424"/>
  <c r="CM120" i="23424"/>
  <c r="CL120" i="23424"/>
  <c r="CK120" i="23424"/>
  <c r="CJ120" i="23424"/>
  <c r="CI120" i="23424"/>
  <c r="CH120" i="23424"/>
  <c r="CG120" i="23424"/>
  <c r="CF120" i="23424"/>
  <c r="CE120" i="23424"/>
  <c r="CD120" i="23424"/>
  <c r="BO120" i="23424"/>
  <c r="BL120" i="23424"/>
  <c r="BK120" i="23424"/>
  <c r="BJ120" i="23424"/>
  <c r="CP119" i="23424"/>
  <c r="CO119" i="23424"/>
  <c r="CN119" i="23424"/>
  <c r="CM119" i="23424"/>
  <c r="CL119" i="23424"/>
  <c r="CK119" i="23424"/>
  <c r="CJ119" i="23424"/>
  <c r="CI119" i="23424"/>
  <c r="CH119" i="23424"/>
  <c r="CG119" i="23424"/>
  <c r="CF119" i="23424"/>
  <c r="CE119" i="23424"/>
  <c r="CD119" i="23424"/>
  <c r="BO119" i="23424"/>
  <c r="BL119" i="23424"/>
  <c r="BJ119" i="23424"/>
  <c r="BK119" i="23424" s="1"/>
  <c r="CP118" i="23424"/>
  <c r="CO118" i="23424"/>
  <c r="CN118" i="23424"/>
  <c r="CM118" i="23424"/>
  <c r="CL118" i="23424"/>
  <c r="CK118" i="23424"/>
  <c r="CJ118" i="23424"/>
  <c r="CI118" i="23424"/>
  <c r="CH118" i="23424"/>
  <c r="CG118" i="23424"/>
  <c r="CF118" i="23424"/>
  <c r="CE118" i="23424"/>
  <c r="CD118" i="23424"/>
  <c r="BO118" i="23424"/>
  <c r="BJ118" i="23424"/>
  <c r="BL118" i="23424" s="1"/>
  <c r="CP117" i="23424"/>
  <c r="CO117" i="23424"/>
  <c r="CN117" i="23424"/>
  <c r="CM117" i="23424"/>
  <c r="CL117" i="23424"/>
  <c r="CK117" i="23424"/>
  <c r="CJ117" i="23424"/>
  <c r="CI117" i="23424"/>
  <c r="CH117" i="23424"/>
  <c r="CG117" i="23424"/>
  <c r="CF117" i="23424"/>
  <c r="CE117" i="23424"/>
  <c r="CD117" i="23424"/>
  <c r="BO117" i="23424"/>
  <c r="BL117" i="23424"/>
  <c r="BJ117" i="23424"/>
  <c r="BK117" i="23424" s="1"/>
  <c r="CP116" i="23424"/>
  <c r="CO116" i="23424"/>
  <c r="CN116" i="23424"/>
  <c r="CM116" i="23424"/>
  <c r="CL116" i="23424"/>
  <c r="CK116" i="23424"/>
  <c r="CJ116" i="23424"/>
  <c r="CI116" i="23424"/>
  <c r="CH116" i="23424"/>
  <c r="CG116" i="23424"/>
  <c r="CF116" i="23424"/>
  <c r="CE116" i="23424"/>
  <c r="CD116" i="23424"/>
  <c r="BO116" i="23424"/>
  <c r="BJ116" i="23424"/>
  <c r="CP115" i="23424"/>
  <c r="CO115" i="23424"/>
  <c r="CN115" i="23424"/>
  <c r="CM115" i="23424"/>
  <c r="CL115" i="23424"/>
  <c r="CK115" i="23424"/>
  <c r="CJ115" i="23424"/>
  <c r="CI115" i="23424"/>
  <c r="CH115" i="23424"/>
  <c r="CG115" i="23424"/>
  <c r="CF115" i="23424"/>
  <c r="CE115" i="23424"/>
  <c r="CD115" i="23424"/>
  <c r="BO115" i="23424"/>
  <c r="BL115" i="23424"/>
  <c r="BJ115" i="23424"/>
  <c r="BK115" i="23424" s="1"/>
  <c r="CP114" i="23424"/>
  <c r="CO114" i="23424"/>
  <c r="CN114" i="23424"/>
  <c r="CM114" i="23424"/>
  <c r="CL114" i="23424"/>
  <c r="CK114" i="23424"/>
  <c r="CJ114" i="23424"/>
  <c r="CI114" i="23424"/>
  <c r="CH114" i="23424"/>
  <c r="CG114" i="23424"/>
  <c r="CF114" i="23424"/>
  <c r="CE114" i="23424"/>
  <c r="CD114" i="23424"/>
  <c r="BO114" i="23424"/>
  <c r="BJ114" i="23424"/>
  <c r="CP113" i="23424"/>
  <c r="CO113" i="23424"/>
  <c r="CN113" i="23424"/>
  <c r="CM113" i="23424"/>
  <c r="CL113" i="23424"/>
  <c r="CK113" i="23424"/>
  <c r="CJ113" i="23424"/>
  <c r="CI113" i="23424"/>
  <c r="CH113" i="23424"/>
  <c r="CG113" i="23424"/>
  <c r="CF113" i="23424"/>
  <c r="CE113" i="23424"/>
  <c r="CD113" i="23424"/>
  <c r="BO113" i="23424"/>
  <c r="BJ113" i="23424"/>
  <c r="BL113" i="23424" s="1"/>
  <c r="CP112" i="23424"/>
  <c r="CO112" i="23424"/>
  <c r="CN112" i="23424"/>
  <c r="CM112" i="23424"/>
  <c r="CL112" i="23424"/>
  <c r="CK112" i="23424"/>
  <c r="CJ112" i="23424"/>
  <c r="CI112" i="23424"/>
  <c r="CH112" i="23424"/>
  <c r="CG112" i="23424"/>
  <c r="CF112" i="23424"/>
  <c r="CE112" i="23424"/>
  <c r="CD112" i="23424"/>
  <c r="BO112" i="23424"/>
  <c r="BL112" i="23424"/>
  <c r="BK112" i="23424"/>
  <c r="BJ112" i="23424"/>
  <c r="CP111" i="23424"/>
  <c r="CO111" i="23424"/>
  <c r="CN111" i="23424"/>
  <c r="CM111" i="23424"/>
  <c r="CL111" i="23424"/>
  <c r="CK111" i="23424"/>
  <c r="CJ111" i="23424"/>
  <c r="CI111" i="23424"/>
  <c r="CH111" i="23424"/>
  <c r="CG111" i="23424"/>
  <c r="CF111" i="23424"/>
  <c r="CE111" i="23424"/>
  <c r="CD111" i="23424"/>
  <c r="BO111" i="23424"/>
  <c r="BL111" i="23424"/>
  <c r="BJ111" i="23424"/>
  <c r="BK111" i="23424" s="1"/>
  <c r="CP110" i="23424"/>
  <c r="CO110" i="23424"/>
  <c r="CN110" i="23424"/>
  <c r="CM110" i="23424"/>
  <c r="CL110" i="23424"/>
  <c r="CK110" i="23424"/>
  <c r="CJ110" i="23424"/>
  <c r="CI110" i="23424"/>
  <c r="CH110" i="23424"/>
  <c r="CG110" i="23424"/>
  <c r="CF110" i="23424"/>
  <c r="CE110" i="23424"/>
  <c r="CD110" i="23424"/>
  <c r="BO110" i="23424"/>
  <c r="BJ110" i="23424"/>
  <c r="BK110" i="23424" s="1"/>
  <c r="CP109" i="23424"/>
  <c r="CO109" i="23424"/>
  <c r="CN109" i="23424"/>
  <c r="CM109" i="23424"/>
  <c r="CL109" i="23424"/>
  <c r="CK109" i="23424"/>
  <c r="CJ109" i="23424"/>
  <c r="CI109" i="23424"/>
  <c r="CH109" i="23424"/>
  <c r="CG109" i="23424"/>
  <c r="CF109" i="23424"/>
  <c r="CE109" i="23424"/>
  <c r="CD109" i="23424"/>
  <c r="BO109" i="23424"/>
  <c r="BJ109" i="23424"/>
  <c r="BK109" i="23424" s="1"/>
  <c r="CP108" i="23424"/>
  <c r="CO108" i="23424"/>
  <c r="CN108" i="23424"/>
  <c r="CM108" i="23424"/>
  <c r="CL108" i="23424"/>
  <c r="CK108" i="23424"/>
  <c r="CJ108" i="23424"/>
  <c r="CI108" i="23424"/>
  <c r="CH108" i="23424"/>
  <c r="CG108" i="23424"/>
  <c r="CF108" i="23424"/>
  <c r="CE108" i="23424"/>
  <c r="CD108" i="23424"/>
  <c r="BO108" i="23424"/>
  <c r="BL108" i="23424"/>
  <c r="BJ108" i="23424"/>
  <c r="BK108" i="23424" s="1"/>
  <c r="CP107" i="23424"/>
  <c r="CO107" i="23424"/>
  <c r="CN107" i="23424"/>
  <c r="CM107" i="23424"/>
  <c r="CL107" i="23424"/>
  <c r="CK107" i="23424"/>
  <c r="CJ107" i="23424"/>
  <c r="CI107" i="23424"/>
  <c r="CH107" i="23424"/>
  <c r="CG107" i="23424"/>
  <c r="CF107" i="23424"/>
  <c r="CE107" i="23424"/>
  <c r="CD107" i="23424"/>
  <c r="BO107" i="23424"/>
  <c r="BL107" i="23424"/>
  <c r="BK107" i="23424"/>
  <c r="BJ107" i="23424"/>
  <c r="CP106" i="23424"/>
  <c r="CO106" i="23424"/>
  <c r="CN106" i="23424"/>
  <c r="CM106" i="23424"/>
  <c r="CL106" i="23424"/>
  <c r="CK106" i="23424"/>
  <c r="CJ106" i="23424"/>
  <c r="CI106" i="23424"/>
  <c r="CH106" i="23424"/>
  <c r="CG106" i="23424"/>
  <c r="CF106" i="23424"/>
  <c r="CE106" i="23424"/>
  <c r="CD106" i="23424"/>
  <c r="BO106" i="23424"/>
  <c r="BJ106" i="23424"/>
  <c r="CP105" i="23424"/>
  <c r="CO105" i="23424"/>
  <c r="CN105" i="23424"/>
  <c r="CM105" i="23424"/>
  <c r="CL105" i="23424"/>
  <c r="CK105" i="23424"/>
  <c r="CJ105" i="23424"/>
  <c r="CI105" i="23424"/>
  <c r="CH105" i="23424"/>
  <c r="CG105" i="23424"/>
  <c r="CF105" i="23424"/>
  <c r="CE105" i="23424"/>
  <c r="CD105" i="23424"/>
  <c r="BO105" i="23424"/>
  <c r="BJ105" i="23424"/>
  <c r="CP104" i="23424"/>
  <c r="CO104" i="23424"/>
  <c r="CN104" i="23424"/>
  <c r="CM104" i="23424"/>
  <c r="CL104" i="23424"/>
  <c r="CK104" i="23424"/>
  <c r="CJ104" i="23424"/>
  <c r="CI104" i="23424"/>
  <c r="CH104" i="23424"/>
  <c r="CG104" i="23424"/>
  <c r="CF104" i="23424"/>
  <c r="CE104" i="23424"/>
  <c r="CD104" i="23424"/>
  <c r="BO104" i="23424"/>
  <c r="BL104" i="23424"/>
  <c r="BJ104" i="23424"/>
  <c r="BK104" i="23424" s="1"/>
  <c r="CP103" i="23424"/>
  <c r="CO103" i="23424"/>
  <c r="CN103" i="23424"/>
  <c r="CM103" i="23424"/>
  <c r="CL103" i="23424"/>
  <c r="CK103" i="23424"/>
  <c r="CJ103" i="23424"/>
  <c r="CI103" i="23424"/>
  <c r="CH103" i="23424"/>
  <c r="CG103" i="23424"/>
  <c r="CF103" i="23424"/>
  <c r="CE103" i="23424"/>
  <c r="CD103" i="23424"/>
  <c r="BO103" i="23424"/>
  <c r="BL103" i="23424"/>
  <c r="BK103" i="23424"/>
  <c r="BJ103" i="23424"/>
  <c r="CP102" i="23424"/>
  <c r="CO102" i="23424"/>
  <c r="CN102" i="23424"/>
  <c r="CM102" i="23424"/>
  <c r="CL102" i="23424"/>
  <c r="CK102" i="23424"/>
  <c r="CJ102" i="23424"/>
  <c r="CI102" i="23424"/>
  <c r="CH102" i="23424"/>
  <c r="CG102" i="23424"/>
  <c r="CF102" i="23424"/>
  <c r="CE102" i="23424"/>
  <c r="CD102" i="23424"/>
  <c r="BO102" i="23424"/>
  <c r="BL102" i="23424"/>
  <c r="BK102" i="23424"/>
  <c r="BJ102" i="23424"/>
  <c r="CP101" i="23424"/>
  <c r="CO101" i="23424"/>
  <c r="CN101" i="23424"/>
  <c r="CM101" i="23424"/>
  <c r="CL101" i="23424"/>
  <c r="CK101" i="23424"/>
  <c r="CJ101" i="23424"/>
  <c r="CI101" i="23424"/>
  <c r="CH101" i="23424"/>
  <c r="CG101" i="23424"/>
  <c r="CF101" i="23424"/>
  <c r="CE101" i="23424"/>
  <c r="CD101" i="23424"/>
  <c r="BO101" i="23424"/>
  <c r="BJ101" i="23424"/>
  <c r="BL101" i="23424" s="1"/>
  <c r="CP100" i="23424"/>
  <c r="CO100" i="23424"/>
  <c r="CN100" i="23424"/>
  <c r="CM100" i="23424"/>
  <c r="CL100" i="23424"/>
  <c r="CK100" i="23424"/>
  <c r="CJ100" i="23424"/>
  <c r="CI100" i="23424"/>
  <c r="CH100" i="23424"/>
  <c r="CG100" i="23424"/>
  <c r="CF100" i="23424"/>
  <c r="CE100" i="23424"/>
  <c r="CD100" i="23424"/>
  <c r="BO100" i="23424"/>
  <c r="BL100" i="23424"/>
  <c r="BJ100" i="23424"/>
  <c r="BK100" i="23424" s="1"/>
  <c r="CP99" i="23424"/>
  <c r="CO99" i="23424"/>
  <c r="CN99" i="23424"/>
  <c r="CM99" i="23424"/>
  <c r="CL99" i="23424"/>
  <c r="CK99" i="23424"/>
  <c r="CJ99" i="23424"/>
  <c r="CI99" i="23424"/>
  <c r="CH99" i="23424"/>
  <c r="CG99" i="23424"/>
  <c r="CF99" i="23424"/>
  <c r="CE99" i="23424"/>
  <c r="CD99" i="23424"/>
  <c r="BO99" i="23424"/>
  <c r="BJ99" i="23424"/>
  <c r="CP98" i="23424"/>
  <c r="CO98" i="23424"/>
  <c r="CN98" i="23424"/>
  <c r="CM98" i="23424"/>
  <c r="CL98" i="23424"/>
  <c r="CK98" i="23424"/>
  <c r="CJ98" i="23424"/>
  <c r="CI98" i="23424"/>
  <c r="CH98" i="23424"/>
  <c r="CG98" i="23424"/>
  <c r="CF98" i="23424"/>
  <c r="CE98" i="23424"/>
  <c r="CD98" i="23424"/>
  <c r="BO98" i="23424"/>
  <c r="BJ98" i="23424"/>
  <c r="BL98" i="23424" s="1"/>
  <c r="CP97" i="23424"/>
  <c r="CO97" i="23424"/>
  <c r="CN97" i="23424"/>
  <c r="CM97" i="23424"/>
  <c r="CL97" i="23424"/>
  <c r="CK97" i="23424"/>
  <c r="CJ97" i="23424"/>
  <c r="CI97" i="23424"/>
  <c r="CH97" i="23424"/>
  <c r="CG97" i="23424"/>
  <c r="CF97" i="23424"/>
  <c r="CE97" i="23424"/>
  <c r="CD97" i="23424"/>
  <c r="BO97" i="23424"/>
  <c r="BL97" i="23424"/>
  <c r="BK97" i="23424"/>
  <c r="BJ97" i="23424"/>
  <c r="CP96" i="23424"/>
  <c r="CO96" i="23424"/>
  <c r="CN96" i="23424"/>
  <c r="CM96" i="23424"/>
  <c r="CL96" i="23424"/>
  <c r="CK96" i="23424"/>
  <c r="CJ96" i="23424"/>
  <c r="CI96" i="23424"/>
  <c r="CH96" i="23424"/>
  <c r="CG96" i="23424"/>
  <c r="CF96" i="23424"/>
  <c r="CE96" i="23424"/>
  <c r="CD96" i="23424"/>
  <c r="BO96" i="23424"/>
  <c r="BL96" i="23424"/>
  <c r="BK96" i="23424"/>
  <c r="BJ96" i="23424"/>
  <c r="CP95" i="23424"/>
  <c r="CO95" i="23424"/>
  <c r="CN95" i="23424"/>
  <c r="CM95" i="23424"/>
  <c r="CL95" i="23424"/>
  <c r="CK95" i="23424"/>
  <c r="CJ95" i="23424"/>
  <c r="CI95" i="23424"/>
  <c r="CH95" i="23424"/>
  <c r="CG95" i="23424"/>
  <c r="CF95" i="23424"/>
  <c r="CE95" i="23424"/>
  <c r="CD95" i="23424"/>
  <c r="BO95" i="23424"/>
  <c r="BJ95" i="23424"/>
  <c r="CP94" i="23424"/>
  <c r="CO94" i="23424"/>
  <c r="CN94" i="23424"/>
  <c r="CM94" i="23424"/>
  <c r="CL94" i="23424"/>
  <c r="CK94" i="23424"/>
  <c r="CJ94" i="23424"/>
  <c r="CI94" i="23424"/>
  <c r="CH94" i="23424"/>
  <c r="CG94" i="23424"/>
  <c r="CF94" i="23424"/>
  <c r="CE94" i="23424"/>
  <c r="CD94" i="23424"/>
  <c r="BO94" i="23424"/>
  <c r="BJ94" i="23424"/>
  <c r="CP93" i="23424"/>
  <c r="CO93" i="23424"/>
  <c r="CN93" i="23424"/>
  <c r="CM93" i="23424"/>
  <c r="CL93" i="23424"/>
  <c r="CK93" i="23424"/>
  <c r="CJ93" i="23424"/>
  <c r="CI93" i="23424"/>
  <c r="CH93" i="23424"/>
  <c r="CG93" i="23424"/>
  <c r="CF93" i="23424"/>
  <c r="CE93" i="23424"/>
  <c r="CD93" i="23424"/>
  <c r="BO93" i="23424"/>
  <c r="BJ93" i="23424"/>
  <c r="CP92" i="23424"/>
  <c r="CO92" i="23424"/>
  <c r="CN92" i="23424"/>
  <c r="CM92" i="23424"/>
  <c r="CL92" i="23424"/>
  <c r="CK92" i="23424"/>
  <c r="CJ92" i="23424"/>
  <c r="CI92" i="23424"/>
  <c r="CH92" i="23424"/>
  <c r="CG92" i="23424"/>
  <c r="CF92" i="23424"/>
  <c r="CE92" i="23424"/>
  <c r="CD92" i="23424"/>
  <c r="BO92" i="23424"/>
  <c r="BL92" i="23424"/>
  <c r="BJ92" i="23424"/>
  <c r="BK92" i="23424" s="1"/>
  <c r="CP91" i="23424"/>
  <c r="CO91" i="23424"/>
  <c r="CN91" i="23424"/>
  <c r="CM91" i="23424"/>
  <c r="CL91" i="23424"/>
  <c r="CK91" i="23424"/>
  <c r="CJ91" i="23424"/>
  <c r="CI91" i="23424"/>
  <c r="CH91" i="23424"/>
  <c r="CG91" i="23424"/>
  <c r="CF91" i="23424"/>
  <c r="CE91" i="23424"/>
  <c r="CD91" i="23424"/>
  <c r="BO91" i="23424"/>
  <c r="BK91" i="23424"/>
  <c r="BJ91" i="23424"/>
  <c r="BL91" i="23424" s="1"/>
  <c r="CP90" i="23424"/>
  <c r="CO90" i="23424"/>
  <c r="CN90" i="23424"/>
  <c r="CM90" i="23424"/>
  <c r="CL90" i="23424"/>
  <c r="CK90" i="23424"/>
  <c r="CJ90" i="23424"/>
  <c r="CI90" i="23424"/>
  <c r="CH90" i="23424"/>
  <c r="CG90" i="23424"/>
  <c r="CF90" i="23424"/>
  <c r="CE90" i="23424"/>
  <c r="CD90" i="23424"/>
  <c r="BO90" i="23424"/>
  <c r="BK90" i="23424"/>
  <c r="BJ90" i="23424"/>
  <c r="BL90" i="23424" s="1"/>
  <c r="CP89" i="23424"/>
  <c r="CO89" i="23424"/>
  <c r="CN89" i="23424"/>
  <c r="CM89" i="23424"/>
  <c r="CL89" i="23424"/>
  <c r="CK89" i="23424"/>
  <c r="CJ89" i="23424"/>
  <c r="CI89" i="23424"/>
  <c r="CH89" i="23424"/>
  <c r="CG89" i="23424"/>
  <c r="CF89" i="23424"/>
  <c r="CE89" i="23424"/>
  <c r="CD89" i="23424"/>
  <c r="BO89" i="23424"/>
  <c r="BL89" i="23424"/>
  <c r="BK89" i="23424"/>
  <c r="BJ89" i="23424"/>
  <c r="CP88" i="23424"/>
  <c r="CO88" i="23424"/>
  <c r="CN88" i="23424"/>
  <c r="CM88" i="23424"/>
  <c r="CL88" i="23424"/>
  <c r="CK88" i="23424"/>
  <c r="CJ88" i="23424"/>
  <c r="CI88" i="23424"/>
  <c r="CH88" i="23424"/>
  <c r="CG88" i="23424"/>
  <c r="CF88" i="23424"/>
  <c r="CE88" i="23424"/>
  <c r="CD88" i="23424"/>
  <c r="BO88" i="23424"/>
  <c r="BJ88" i="23424"/>
  <c r="BK88" i="23424" s="1"/>
  <c r="CP87" i="23424"/>
  <c r="CO87" i="23424"/>
  <c r="CN87" i="23424"/>
  <c r="CM87" i="23424"/>
  <c r="CL87" i="23424"/>
  <c r="CK87" i="23424"/>
  <c r="CJ87" i="23424"/>
  <c r="CI87" i="23424"/>
  <c r="CH87" i="23424"/>
  <c r="CG87" i="23424"/>
  <c r="CF87" i="23424"/>
  <c r="CE87" i="23424"/>
  <c r="CD87" i="23424"/>
  <c r="BO87" i="23424"/>
  <c r="BJ87" i="23424"/>
  <c r="CP86" i="23424"/>
  <c r="CO86" i="23424"/>
  <c r="CN86" i="23424"/>
  <c r="CM86" i="23424"/>
  <c r="CL86" i="23424"/>
  <c r="CK86" i="23424"/>
  <c r="CJ86" i="23424"/>
  <c r="CI86" i="23424"/>
  <c r="CH86" i="23424"/>
  <c r="CG86" i="23424"/>
  <c r="CF86" i="23424"/>
  <c r="CE86" i="23424"/>
  <c r="CD86" i="23424"/>
  <c r="BO86" i="23424"/>
  <c r="BL86" i="23424"/>
  <c r="BK86" i="23424"/>
  <c r="BJ86" i="23424"/>
  <c r="CP85" i="23424"/>
  <c r="CO85" i="23424"/>
  <c r="CN85" i="23424"/>
  <c r="CM85" i="23424"/>
  <c r="CL85" i="23424"/>
  <c r="CK85" i="23424"/>
  <c r="CJ85" i="23424"/>
  <c r="CI85" i="23424"/>
  <c r="CH85" i="23424"/>
  <c r="CG85" i="23424"/>
  <c r="CF85" i="23424"/>
  <c r="CE85" i="23424"/>
  <c r="CD85" i="23424"/>
  <c r="BO85" i="23424"/>
  <c r="BJ85" i="23424"/>
  <c r="CP84" i="23424"/>
  <c r="CO84" i="23424"/>
  <c r="CN84" i="23424"/>
  <c r="CM84" i="23424"/>
  <c r="CL84" i="23424"/>
  <c r="CK84" i="23424"/>
  <c r="CJ84" i="23424"/>
  <c r="CI84" i="23424"/>
  <c r="CH84" i="23424"/>
  <c r="CG84" i="23424"/>
  <c r="CF84" i="23424"/>
  <c r="CE84" i="23424"/>
  <c r="CD84" i="23424"/>
  <c r="BO84" i="23424"/>
  <c r="BJ84" i="23424"/>
  <c r="CP83" i="23424"/>
  <c r="CO83" i="23424"/>
  <c r="CN83" i="23424"/>
  <c r="CM83" i="23424"/>
  <c r="CL83" i="23424"/>
  <c r="CK83" i="23424"/>
  <c r="CJ83" i="23424"/>
  <c r="CI83" i="23424"/>
  <c r="CH83" i="23424"/>
  <c r="CG83" i="23424"/>
  <c r="CF83" i="23424"/>
  <c r="CE83" i="23424"/>
  <c r="CD83" i="23424"/>
  <c r="BO83" i="23424"/>
  <c r="BL83" i="23424"/>
  <c r="BK83" i="23424"/>
  <c r="BJ83" i="23424"/>
  <c r="CP82" i="23424"/>
  <c r="CO82" i="23424"/>
  <c r="CN82" i="23424"/>
  <c r="CM82" i="23424"/>
  <c r="CL82" i="23424"/>
  <c r="CK82" i="23424"/>
  <c r="CJ82" i="23424"/>
  <c r="CI82" i="23424"/>
  <c r="CH82" i="23424"/>
  <c r="CG82" i="23424"/>
  <c r="CF82" i="23424"/>
  <c r="CE82" i="23424"/>
  <c r="CD82" i="23424"/>
  <c r="BO82" i="23424"/>
  <c r="BJ82" i="23424"/>
  <c r="BK82" i="23424" s="1"/>
  <c r="CP81" i="23424"/>
  <c r="CO81" i="23424"/>
  <c r="CN81" i="23424"/>
  <c r="CM81" i="23424"/>
  <c r="CL81" i="23424"/>
  <c r="CK81" i="23424"/>
  <c r="CJ81" i="23424"/>
  <c r="CI81" i="23424"/>
  <c r="CH81" i="23424"/>
  <c r="CG81" i="23424"/>
  <c r="CF81" i="23424"/>
  <c r="CE81" i="23424"/>
  <c r="CD81" i="23424"/>
  <c r="BO81" i="23424"/>
  <c r="BK81" i="23424"/>
  <c r="BJ81" i="23424"/>
  <c r="BL81" i="23424" s="1"/>
  <c r="CP80" i="23424"/>
  <c r="CO80" i="23424"/>
  <c r="CN80" i="23424"/>
  <c r="CM80" i="23424"/>
  <c r="CL80" i="23424"/>
  <c r="CK80" i="23424"/>
  <c r="CJ80" i="23424"/>
  <c r="CI80" i="23424"/>
  <c r="CH80" i="23424"/>
  <c r="CG80" i="23424"/>
  <c r="CF80" i="23424"/>
  <c r="CE80" i="23424"/>
  <c r="CD80" i="23424"/>
  <c r="BO80" i="23424"/>
  <c r="BL80" i="23424"/>
  <c r="BJ80" i="23424"/>
  <c r="BK80" i="23424" s="1"/>
  <c r="CP79" i="23424"/>
  <c r="CO79" i="23424"/>
  <c r="CN79" i="23424"/>
  <c r="CM79" i="23424"/>
  <c r="CL79" i="23424"/>
  <c r="CK79" i="23424"/>
  <c r="CJ79" i="23424"/>
  <c r="CI79" i="23424"/>
  <c r="CH79" i="23424"/>
  <c r="CG79" i="23424"/>
  <c r="CF79" i="23424"/>
  <c r="CE79" i="23424"/>
  <c r="CD79" i="23424"/>
  <c r="BO79" i="23424"/>
  <c r="BK79" i="23424"/>
  <c r="BJ79" i="23424"/>
  <c r="BL79" i="23424" s="1"/>
  <c r="CP78" i="23424"/>
  <c r="CO78" i="23424"/>
  <c r="CN78" i="23424"/>
  <c r="CM78" i="23424"/>
  <c r="CL78" i="23424"/>
  <c r="CK78" i="23424"/>
  <c r="CJ78" i="23424"/>
  <c r="CI78" i="23424"/>
  <c r="CH78" i="23424"/>
  <c r="CG78" i="23424"/>
  <c r="CF78" i="23424"/>
  <c r="CE78" i="23424"/>
  <c r="CD78" i="23424"/>
  <c r="BO78" i="23424"/>
  <c r="BL78" i="23424"/>
  <c r="BK78" i="23424"/>
  <c r="BJ78" i="23424"/>
  <c r="CP77" i="23424"/>
  <c r="CO77" i="23424"/>
  <c r="CN77" i="23424"/>
  <c r="CM77" i="23424"/>
  <c r="CL77" i="23424"/>
  <c r="CK77" i="23424"/>
  <c r="CJ77" i="23424"/>
  <c r="CI77" i="23424"/>
  <c r="CH77" i="23424"/>
  <c r="CG77" i="23424"/>
  <c r="CF77" i="23424"/>
  <c r="CE77" i="23424"/>
  <c r="CD77" i="23424"/>
  <c r="BO77" i="23424"/>
  <c r="BL77" i="23424"/>
  <c r="BK77" i="23424"/>
  <c r="BJ77" i="23424"/>
  <c r="CP76" i="23424"/>
  <c r="CO76" i="23424"/>
  <c r="CN76" i="23424"/>
  <c r="CM76" i="23424"/>
  <c r="CL76" i="23424"/>
  <c r="CK76" i="23424"/>
  <c r="CJ76" i="23424"/>
  <c r="CI76" i="23424"/>
  <c r="CH76" i="23424"/>
  <c r="CG76" i="23424"/>
  <c r="CF76" i="23424"/>
  <c r="CE76" i="23424"/>
  <c r="CD76" i="23424"/>
  <c r="BO76" i="23424"/>
  <c r="BL76" i="23424"/>
  <c r="BJ76" i="23424"/>
  <c r="BK76" i="23424" s="1"/>
  <c r="CP75" i="23424"/>
  <c r="CO75" i="23424"/>
  <c r="CN75" i="23424"/>
  <c r="CM75" i="23424"/>
  <c r="CL75" i="23424"/>
  <c r="CK75" i="23424"/>
  <c r="CJ75" i="23424"/>
  <c r="CI75" i="23424"/>
  <c r="CH75" i="23424"/>
  <c r="CG75" i="23424"/>
  <c r="CF75" i="23424"/>
  <c r="CE75" i="23424"/>
  <c r="CD75" i="23424"/>
  <c r="BO75" i="23424"/>
  <c r="BL75" i="23424"/>
  <c r="BJ75" i="23424"/>
  <c r="BK75" i="23424" s="1"/>
  <c r="CP74" i="23424"/>
  <c r="CO74" i="23424"/>
  <c r="CN74" i="23424"/>
  <c r="CM74" i="23424"/>
  <c r="CL74" i="23424"/>
  <c r="CK74" i="23424"/>
  <c r="CJ74" i="23424"/>
  <c r="CI74" i="23424"/>
  <c r="CH74" i="23424"/>
  <c r="CG74" i="23424"/>
  <c r="CF74" i="23424"/>
  <c r="CE74" i="23424"/>
  <c r="CD74" i="23424"/>
  <c r="BO74" i="23424"/>
  <c r="BJ74" i="23424"/>
  <c r="CP73" i="23424"/>
  <c r="CO73" i="23424"/>
  <c r="CN73" i="23424"/>
  <c r="CM73" i="23424"/>
  <c r="CL73" i="23424"/>
  <c r="CK73" i="23424"/>
  <c r="CJ73" i="23424"/>
  <c r="CI73" i="23424"/>
  <c r="CH73" i="23424"/>
  <c r="CG73" i="23424"/>
  <c r="CF73" i="23424"/>
  <c r="CE73" i="23424"/>
  <c r="CD73" i="23424"/>
  <c r="BO73" i="23424"/>
  <c r="BL73" i="23424"/>
  <c r="BJ73" i="23424"/>
  <c r="BK73" i="23424" s="1"/>
  <c r="CP72" i="23424"/>
  <c r="CO72" i="23424"/>
  <c r="CN72" i="23424"/>
  <c r="CM72" i="23424"/>
  <c r="CL72" i="23424"/>
  <c r="CK72" i="23424"/>
  <c r="CJ72" i="23424"/>
  <c r="CI72" i="23424"/>
  <c r="CH72" i="23424"/>
  <c r="CG72" i="23424"/>
  <c r="CF72" i="23424"/>
  <c r="CE72" i="23424"/>
  <c r="CD72" i="23424"/>
  <c r="BO72" i="23424"/>
  <c r="BK72" i="23424"/>
  <c r="BJ72" i="23424"/>
  <c r="BL72" i="23424" s="1"/>
  <c r="CP71" i="23424"/>
  <c r="CO71" i="23424"/>
  <c r="CN71" i="23424"/>
  <c r="CM71" i="23424"/>
  <c r="CL71" i="23424"/>
  <c r="CK71" i="23424"/>
  <c r="CJ71" i="23424"/>
  <c r="CI71" i="23424"/>
  <c r="CH71" i="23424"/>
  <c r="CG71" i="23424"/>
  <c r="CF71" i="23424"/>
  <c r="CE71" i="23424"/>
  <c r="CD71" i="23424"/>
  <c r="BO71" i="23424"/>
  <c r="BK71" i="23424"/>
  <c r="BJ71" i="23424"/>
  <c r="BL71" i="23424" s="1"/>
  <c r="CP70" i="23424"/>
  <c r="CO70" i="23424"/>
  <c r="CN70" i="23424"/>
  <c r="CM70" i="23424"/>
  <c r="CL70" i="23424"/>
  <c r="CK70" i="23424"/>
  <c r="CJ70" i="23424"/>
  <c r="CI70" i="23424"/>
  <c r="CH70" i="23424"/>
  <c r="CG70" i="23424"/>
  <c r="CF70" i="23424"/>
  <c r="CE70" i="23424"/>
  <c r="CD70" i="23424"/>
  <c r="BO70" i="23424"/>
  <c r="BK70" i="23424"/>
  <c r="BJ70" i="23424"/>
  <c r="BL70" i="23424" s="1"/>
  <c r="CP69" i="23424"/>
  <c r="CO69" i="23424"/>
  <c r="CN69" i="23424"/>
  <c r="CM69" i="23424"/>
  <c r="CL69" i="23424"/>
  <c r="CK69" i="23424"/>
  <c r="CJ69" i="23424"/>
  <c r="CI69" i="23424"/>
  <c r="CH69" i="23424"/>
  <c r="CG69" i="23424"/>
  <c r="CF69" i="23424"/>
  <c r="CE69" i="23424"/>
  <c r="CD69" i="23424"/>
  <c r="BO69" i="23424"/>
  <c r="BL69" i="23424"/>
  <c r="BK69" i="23424"/>
  <c r="BJ69" i="23424"/>
  <c r="CP68" i="23424"/>
  <c r="CO68" i="23424"/>
  <c r="CN68" i="23424"/>
  <c r="CM68" i="23424"/>
  <c r="CL68" i="23424"/>
  <c r="CK68" i="23424"/>
  <c r="CJ68" i="23424"/>
  <c r="CI68" i="23424"/>
  <c r="CH68" i="23424"/>
  <c r="CG68" i="23424"/>
  <c r="CF68" i="23424"/>
  <c r="CE68" i="23424"/>
  <c r="CD68" i="23424"/>
  <c r="BO68" i="23424"/>
  <c r="BL68" i="23424"/>
  <c r="BJ68" i="23424"/>
  <c r="BK68" i="23424" s="1"/>
  <c r="CP67" i="23424"/>
  <c r="CO67" i="23424"/>
  <c r="CN67" i="23424"/>
  <c r="CM67" i="23424"/>
  <c r="CL67" i="23424"/>
  <c r="CK67" i="23424"/>
  <c r="CJ67" i="23424"/>
  <c r="CI67" i="23424"/>
  <c r="CH67" i="23424"/>
  <c r="CG67" i="23424"/>
  <c r="CF67" i="23424"/>
  <c r="CE67" i="23424"/>
  <c r="CD67" i="23424"/>
  <c r="BO67" i="23424"/>
  <c r="BL67" i="23424"/>
  <c r="BJ67" i="23424"/>
  <c r="BK67" i="23424" s="1"/>
  <c r="CP66" i="23424"/>
  <c r="CO66" i="23424"/>
  <c r="CN66" i="23424"/>
  <c r="CM66" i="23424"/>
  <c r="CL66" i="23424"/>
  <c r="CK66" i="23424"/>
  <c r="CJ66" i="23424"/>
  <c r="CI66" i="23424"/>
  <c r="CH66" i="23424"/>
  <c r="CG66" i="23424"/>
  <c r="CF66" i="23424"/>
  <c r="CE66" i="23424"/>
  <c r="CD66" i="23424"/>
  <c r="BO66" i="23424"/>
  <c r="BL66" i="23424"/>
  <c r="BJ66" i="23424"/>
  <c r="BK66" i="23424" s="1"/>
  <c r="CP65" i="23424"/>
  <c r="CO65" i="23424"/>
  <c r="CN65" i="23424"/>
  <c r="CM65" i="23424"/>
  <c r="CL65" i="23424"/>
  <c r="CK65" i="23424"/>
  <c r="CJ65" i="23424"/>
  <c r="CI65" i="23424"/>
  <c r="CH65" i="23424"/>
  <c r="CG65" i="23424"/>
  <c r="CF65" i="23424"/>
  <c r="CE65" i="23424"/>
  <c r="CD65" i="23424"/>
  <c r="BO65" i="23424"/>
  <c r="BK65" i="23424"/>
  <c r="BJ65" i="23424"/>
  <c r="BL65" i="23424" s="1"/>
  <c r="CP64" i="23424"/>
  <c r="CO64" i="23424"/>
  <c r="CN64" i="23424"/>
  <c r="CM64" i="23424"/>
  <c r="CL64" i="23424"/>
  <c r="CK64" i="23424"/>
  <c r="CJ64" i="23424"/>
  <c r="CI64" i="23424"/>
  <c r="CH64" i="23424"/>
  <c r="CG64" i="23424"/>
  <c r="CF64" i="23424"/>
  <c r="CE64" i="23424"/>
  <c r="CD64" i="23424"/>
  <c r="BO64" i="23424"/>
  <c r="BJ64" i="23424"/>
  <c r="CP63" i="23424"/>
  <c r="CO63" i="23424"/>
  <c r="CN63" i="23424"/>
  <c r="CM63" i="23424"/>
  <c r="CL63" i="23424"/>
  <c r="CK63" i="23424"/>
  <c r="CJ63" i="23424"/>
  <c r="CI63" i="23424"/>
  <c r="CH63" i="23424"/>
  <c r="CG63" i="23424"/>
  <c r="CF63" i="23424"/>
  <c r="CE63" i="23424"/>
  <c r="CD63" i="23424"/>
  <c r="BO63" i="23424"/>
  <c r="BL63" i="23424"/>
  <c r="BK63" i="23424"/>
  <c r="BJ63" i="23424"/>
  <c r="CP62" i="23424"/>
  <c r="CO62" i="23424"/>
  <c r="CN62" i="23424"/>
  <c r="CM62" i="23424"/>
  <c r="CL62" i="23424"/>
  <c r="CK62" i="23424"/>
  <c r="CJ62" i="23424"/>
  <c r="CI62" i="23424"/>
  <c r="CH62" i="23424"/>
  <c r="CG62" i="23424"/>
  <c r="CF62" i="23424"/>
  <c r="CE62" i="23424"/>
  <c r="CD62" i="23424"/>
  <c r="BO62" i="23424"/>
  <c r="BJ62" i="23424"/>
  <c r="CP61" i="23424"/>
  <c r="CO61" i="23424"/>
  <c r="CN61" i="23424"/>
  <c r="CM61" i="23424"/>
  <c r="CL61" i="23424"/>
  <c r="CK61" i="23424"/>
  <c r="CJ61" i="23424"/>
  <c r="CI61" i="23424"/>
  <c r="CH61" i="23424"/>
  <c r="CG61" i="23424"/>
  <c r="CF61" i="23424"/>
  <c r="CE61" i="23424"/>
  <c r="CD61" i="23424"/>
  <c r="BO61" i="23424"/>
  <c r="BK61" i="23424"/>
  <c r="BJ61" i="23424"/>
  <c r="BL61" i="23424" s="1"/>
  <c r="CP60" i="23424"/>
  <c r="CO60" i="23424"/>
  <c r="CN60" i="23424"/>
  <c r="CM60" i="23424"/>
  <c r="CL60" i="23424"/>
  <c r="CK60" i="23424"/>
  <c r="CJ60" i="23424"/>
  <c r="CI60" i="23424"/>
  <c r="CH60" i="23424"/>
  <c r="CG60" i="23424"/>
  <c r="CF60" i="23424"/>
  <c r="CE60" i="23424"/>
  <c r="CD60" i="23424"/>
  <c r="BO60" i="23424"/>
  <c r="BL60" i="23424"/>
  <c r="BK60" i="23424"/>
  <c r="BJ60" i="23424"/>
  <c r="CP59" i="23424"/>
  <c r="CO59" i="23424"/>
  <c r="CN59" i="23424"/>
  <c r="CM59" i="23424"/>
  <c r="CL59" i="23424"/>
  <c r="CK59" i="23424"/>
  <c r="CJ59" i="23424"/>
  <c r="CI59" i="23424"/>
  <c r="CH59" i="23424"/>
  <c r="CG59" i="23424"/>
  <c r="CF59" i="23424"/>
  <c r="CE59" i="23424"/>
  <c r="CD59" i="23424"/>
  <c r="BO59" i="23424"/>
  <c r="BJ59" i="23424"/>
  <c r="CP58" i="23424"/>
  <c r="CO58" i="23424"/>
  <c r="CN58" i="23424"/>
  <c r="CM58" i="23424"/>
  <c r="CL58" i="23424"/>
  <c r="CK58" i="23424"/>
  <c r="CJ58" i="23424"/>
  <c r="CI58" i="23424"/>
  <c r="CH58" i="23424"/>
  <c r="CG58" i="23424"/>
  <c r="CF58" i="23424"/>
  <c r="CE58" i="23424"/>
  <c r="CD58" i="23424"/>
  <c r="BO58" i="23424"/>
  <c r="BL58" i="23424"/>
  <c r="BK58" i="23424"/>
  <c r="BJ58" i="23424"/>
  <c r="CP57" i="23424"/>
  <c r="CO57" i="23424"/>
  <c r="CN57" i="23424"/>
  <c r="CM57" i="23424"/>
  <c r="CL57" i="23424"/>
  <c r="CK57" i="23424"/>
  <c r="CJ57" i="23424"/>
  <c r="CI57" i="23424"/>
  <c r="CH57" i="23424"/>
  <c r="CG57" i="23424"/>
  <c r="CF57" i="23424"/>
  <c r="CE57" i="23424"/>
  <c r="CD57" i="23424"/>
  <c r="BO57" i="23424"/>
  <c r="BL57" i="23424"/>
  <c r="BK57" i="23424"/>
  <c r="BJ57" i="23424"/>
  <c r="CP56" i="23424"/>
  <c r="CO56" i="23424"/>
  <c r="CN56" i="23424"/>
  <c r="CM56" i="23424"/>
  <c r="CL56" i="23424"/>
  <c r="CK56" i="23424"/>
  <c r="CJ56" i="23424"/>
  <c r="CI56" i="23424"/>
  <c r="CH56" i="23424"/>
  <c r="CG56" i="23424"/>
  <c r="CF56" i="23424"/>
  <c r="CE56" i="23424"/>
  <c r="CD56" i="23424"/>
  <c r="BO56" i="23424"/>
  <c r="BJ56" i="23424"/>
  <c r="CP55" i="23424"/>
  <c r="CO55" i="23424"/>
  <c r="CN55" i="23424"/>
  <c r="CM55" i="23424"/>
  <c r="CL55" i="23424"/>
  <c r="CK55" i="23424"/>
  <c r="CJ55" i="23424"/>
  <c r="CI55" i="23424"/>
  <c r="CH55" i="23424"/>
  <c r="CG55" i="23424"/>
  <c r="CF55" i="23424"/>
  <c r="CE55" i="23424"/>
  <c r="CD55" i="23424"/>
  <c r="BO55" i="23424"/>
  <c r="BL55" i="23424"/>
  <c r="BJ55" i="23424"/>
  <c r="BK55" i="23424" s="1"/>
  <c r="CP54" i="23424"/>
  <c r="CO54" i="23424"/>
  <c r="CN54" i="23424"/>
  <c r="CM54" i="23424"/>
  <c r="CL54" i="23424"/>
  <c r="CK54" i="23424"/>
  <c r="CJ54" i="23424"/>
  <c r="CI54" i="23424"/>
  <c r="CH54" i="23424"/>
  <c r="CG54" i="23424"/>
  <c r="CF54" i="23424"/>
  <c r="CE54" i="23424"/>
  <c r="CD54" i="23424"/>
  <c r="BO54" i="23424"/>
  <c r="BL54" i="23424"/>
  <c r="BJ54" i="23424"/>
  <c r="BK54" i="23424" s="1"/>
  <c r="CP53" i="23424"/>
  <c r="CO53" i="23424"/>
  <c r="CN53" i="23424"/>
  <c r="CM53" i="23424"/>
  <c r="CL53" i="23424"/>
  <c r="CK53" i="23424"/>
  <c r="CJ53" i="23424"/>
  <c r="CI53" i="23424"/>
  <c r="CH53" i="23424"/>
  <c r="CG53" i="23424"/>
  <c r="CF53" i="23424"/>
  <c r="CE53" i="23424"/>
  <c r="CD53" i="23424"/>
  <c r="BO53" i="23424"/>
  <c r="BL53" i="23424"/>
  <c r="BJ53" i="23424"/>
  <c r="BK53" i="23424" s="1"/>
  <c r="CP52" i="23424"/>
  <c r="CO52" i="23424"/>
  <c r="CN52" i="23424"/>
  <c r="CM52" i="23424"/>
  <c r="CL52" i="23424"/>
  <c r="CK52" i="23424"/>
  <c r="CJ52" i="23424"/>
  <c r="CI52" i="23424"/>
  <c r="CH52" i="23424"/>
  <c r="CG52" i="23424"/>
  <c r="CF52" i="23424"/>
  <c r="CE52" i="23424"/>
  <c r="CD52" i="23424"/>
  <c r="BO52" i="23424"/>
  <c r="BL52" i="23424"/>
  <c r="BK52" i="23424"/>
  <c r="BJ52" i="23424"/>
  <c r="CP51" i="23424"/>
  <c r="CO51" i="23424"/>
  <c r="CN51" i="23424"/>
  <c r="CM51" i="23424"/>
  <c r="CL51" i="23424"/>
  <c r="CK51" i="23424"/>
  <c r="CJ51" i="23424"/>
  <c r="CI51" i="23424"/>
  <c r="CH51" i="23424"/>
  <c r="CG51" i="23424"/>
  <c r="CF51" i="23424"/>
  <c r="CE51" i="23424"/>
  <c r="CD51" i="23424"/>
  <c r="BO51" i="23424"/>
  <c r="BL51" i="23424"/>
  <c r="BK51" i="23424"/>
  <c r="BJ51" i="23424"/>
  <c r="CP50" i="23424"/>
  <c r="CO50" i="23424"/>
  <c r="CN50" i="23424"/>
  <c r="CM50" i="23424"/>
  <c r="CL50" i="23424"/>
  <c r="CK50" i="23424"/>
  <c r="CJ50" i="23424"/>
  <c r="CI50" i="23424"/>
  <c r="CH50" i="23424"/>
  <c r="CG50" i="23424"/>
  <c r="CF50" i="23424"/>
  <c r="CE50" i="23424"/>
  <c r="CD50" i="23424"/>
  <c r="BO50" i="23424"/>
  <c r="BJ50" i="23424"/>
  <c r="BK50" i="23424" s="1"/>
  <c r="CP49" i="23424"/>
  <c r="CO49" i="23424"/>
  <c r="CN49" i="23424"/>
  <c r="CM49" i="23424"/>
  <c r="CL49" i="23424"/>
  <c r="CK49" i="23424"/>
  <c r="CJ49" i="23424"/>
  <c r="CI49" i="23424"/>
  <c r="CH49" i="23424"/>
  <c r="CG49" i="23424"/>
  <c r="CF49" i="23424"/>
  <c r="CE49" i="23424"/>
  <c r="CD49" i="23424"/>
  <c r="BO49" i="23424"/>
  <c r="BJ49" i="23424"/>
  <c r="BK49" i="23424" s="1"/>
  <c r="CP48" i="23424"/>
  <c r="CO48" i="23424"/>
  <c r="CN48" i="23424"/>
  <c r="CM48" i="23424"/>
  <c r="CL48" i="23424"/>
  <c r="CK48" i="23424"/>
  <c r="CJ48" i="23424"/>
  <c r="CI48" i="23424"/>
  <c r="CH48" i="23424"/>
  <c r="CG48" i="23424"/>
  <c r="CF48" i="23424"/>
  <c r="CE48" i="23424"/>
  <c r="CD48" i="23424"/>
  <c r="BO48" i="23424"/>
  <c r="BL48" i="23424"/>
  <c r="BJ48" i="23424"/>
  <c r="BK48" i="23424" s="1"/>
  <c r="CP47" i="23424"/>
  <c r="CO47" i="23424"/>
  <c r="CN47" i="23424"/>
  <c r="CM47" i="23424"/>
  <c r="CL47" i="23424"/>
  <c r="CK47" i="23424"/>
  <c r="CJ47" i="23424"/>
  <c r="CI47" i="23424"/>
  <c r="CH47" i="23424"/>
  <c r="CG47" i="23424"/>
  <c r="CF47" i="23424"/>
  <c r="CE47" i="23424"/>
  <c r="CD47" i="23424"/>
  <c r="BO47" i="23424"/>
  <c r="BJ47" i="23424"/>
  <c r="BL47" i="23424" s="1"/>
  <c r="CP46" i="23424"/>
  <c r="CO46" i="23424"/>
  <c r="CN46" i="23424"/>
  <c r="CM46" i="23424"/>
  <c r="CL46" i="23424"/>
  <c r="CK46" i="23424"/>
  <c r="CJ46" i="23424"/>
  <c r="CI46" i="23424"/>
  <c r="CH46" i="23424"/>
  <c r="CG46" i="23424"/>
  <c r="CF46" i="23424"/>
  <c r="CE46" i="23424"/>
  <c r="CD46" i="23424"/>
  <c r="BO46" i="23424"/>
  <c r="BJ46" i="23424"/>
  <c r="CP45" i="23424"/>
  <c r="CO45" i="23424"/>
  <c r="CN45" i="23424"/>
  <c r="CM45" i="23424"/>
  <c r="CL45" i="23424"/>
  <c r="CK45" i="23424"/>
  <c r="CJ45" i="23424"/>
  <c r="CI45" i="23424"/>
  <c r="CH45" i="23424"/>
  <c r="CG45" i="23424"/>
  <c r="CF45" i="23424"/>
  <c r="CE45" i="23424"/>
  <c r="CD45" i="23424"/>
  <c r="BO45" i="23424"/>
  <c r="BJ45" i="23424"/>
  <c r="BK45" i="23424" s="1"/>
  <c r="CP44" i="23424"/>
  <c r="CO44" i="23424"/>
  <c r="CN44" i="23424"/>
  <c r="CM44" i="23424"/>
  <c r="CL44" i="23424"/>
  <c r="CK44" i="23424"/>
  <c r="CJ44" i="23424"/>
  <c r="CI44" i="23424"/>
  <c r="CH44" i="23424"/>
  <c r="CG44" i="23424"/>
  <c r="CF44" i="23424"/>
  <c r="CE44" i="23424"/>
  <c r="CD44" i="23424"/>
  <c r="BO44" i="23424"/>
  <c r="BJ44" i="23424"/>
  <c r="CP43" i="23424"/>
  <c r="CO43" i="23424"/>
  <c r="CN43" i="23424"/>
  <c r="CM43" i="23424"/>
  <c r="CL43" i="23424"/>
  <c r="CK43" i="23424"/>
  <c r="CJ43" i="23424"/>
  <c r="CI43" i="23424"/>
  <c r="CH43" i="23424"/>
  <c r="CG43" i="23424"/>
  <c r="CF43" i="23424"/>
  <c r="CE43" i="23424"/>
  <c r="CD43" i="23424"/>
  <c r="BO43" i="23424"/>
  <c r="BJ43" i="23424"/>
  <c r="CP42" i="23424"/>
  <c r="CO42" i="23424"/>
  <c r="CN42" i="23424"/>
  <c r="CM42" i="23424"/>
  <c r="CL42" i="23424"/>
  <c r="CK42" i="23424"/>
  <c r="CJ42" i="23424"/>
  <c r="CI42" i="23424"/>
  <c r="CH42" i="23424"/>
  <c r="CG42" i="23424"/>
  <c r="CF42" i="23424"/>
  <c r="CE42" i="23424"/>
  <c r="CD42" i="23424"/>
  <c r="BO42" i="23424"/>
  <c r="BK42" i="23424"/>
  <c r="BJ42" i="23424"/>
  <c r="BL42" i="23424" s="1"/>
  <c r="CP41" i="23424"/>
  <c r="CO41" i="23424"/>
  <c r="CN41" i="23424"/>
  <c r="CM41" i="23424"/>
  <c r="CL41" i="23424"/>
  <c r="CK41" i="23424"/>
  <c r="CJ41" i="23424"/>
  <c r="CI41" i="23424"/>
  <c r="CH41" i="23424"/>
  <c r="CG41" i="23424"/>
  <c r="CF41" i="23424"/>
  <c r="CE41" i="23424"/>
  <c r="CD41" i="23424"/>
  <c r="BO41" i="23424"/>
  <c r="BK41" i="23424"/>
  <c r="BJ41" i="23424"/>
  <c r="BL41" i="23424" s="1"/>
  <c r="CP40" i="23424"/>
  <c r="CO40" i="23424"/>
  <c r="CN40" i="23424"/>
  <c r="CM40" i="23424"/>
  <c r="CL40" i="23424"/>
  <c r="CK40" i="23424"/>
  <c r="CJ40" i="23424"/>
  <c r="CI40" i="23424"/>
  <c r="CH40" i="23424"/>
  <c r="CG40" i="23424"/>
  <c r="CF40" i="23424"/>
  <c r="CE40" i="23424"/>
  <c r="CD40" i="23424"/>
  <c r="BO40" i="23424"/>
  <c r="BJ40" i="23424"/>
  <c r="BL40" i="23424" s="1"/>
  <c r="CP39" i="23424"/>
  <c r="CO39" i="23424"/>
  <c r="CN39" i="23424"/>
  <c r="CM39" i="23424"/>
  <c r="CL39" i="23424"/>
  <c r="CK39" i="23424"/>
  <c r="CJ39" i="23424"/>
  <c r="CI39" i="23424"/>
  <c r="CH39" i="23424"/>
  <c r="CG39" i="23424"/>
  <c r="CF39" i="23424"/>
  <c r="CE39" i="23424"/>
  <c r="CD39" i="23424"/>
  <c r="BO39" i="23424"/>
  <c r="BL39" i="23424"/>
  <c r="BK39" i="23424"/>
  <c r="BJ39" i="23424"/>
  <c r="CP38" i="23424"/>
  <c r="CO38" i="23424"/>
  <c r="CN38" i="23424"/>
  <c r="CM38" i="23424"/>
  <c r="CL38" i="23424"/>
  <c r="CK38" i="23424"/>
  <c r="CJ38" i="23424"/>
  <c r="CI38" i="23424"/>
  <c r="CH38" i="23424"/>
  <c r="CG38" i="23424"/>
  <c r="CF38" i="23424"/>
  <c r="CE38" i="23424"/>
  <c r="CD38" i="23424"/>
  <c r="BO38" i="23424"/>
  <c r="BL38" i="23424"/>
  <c r="BK38" i="23424"/>
  <c r="BJ38" i="23424"/>
  <c r="CP37" i="23424"/>
  <c r="CO37" i="23424"/>
  <c r="CN37" i="23424"/>
  <c r="CM37" i="23424"/>
  <c r="CL37" i="23424"/>
  <c r="CK37" i="23424"/>
  <c r="CJ37" i="23424"/>
  <c r="CI37" i="23424"/>
  <c r="CH37" i="23424"/>
  <c r="CG37" i="23424"/>
  <c r="CF37" i="23424"/>
  <c r="CE37" i="23424"/>
  <c r="CD37" i="23424"/>
  <c r="BO37" i="23424"/>
  <c r="BJ37" i="23424"/>
  <c r="CP36" i="23424"/>
  <c r="CO36" i="23424"/>
  <c r="CN36" i="23424"/>
  <c r="CM36" i="23424"/>
  <c r="CL36" i="23424"/>
  <c r="CK36" i="23424"/>
  <c r="CJ36" i="23424"/>
  <c r="CI36" i="23424"/>
  <c r="CH36" i="23424"/>
  <c r="CG36" i="23424"/>
  <c r="CF36" i="23424"/>
  <c r="CE36" i="23424"/>
  <c r="CD36" i="23424"/>
  <c r="BO36" i="23424"/>
  <c r="BL36" i="23424"/>
  <c r="BK36" i="23424"/>
  <c r="BJ36" i="23424"/>
  <c r="CP35" i="23424"/>
  <c r="CO35" i="23424"/>
  <c r="CN35" i="23424"/>
  <c r="CM35" i="23424"/>
  <c r="CL35" i="23424"/>
  <c r="CK35" i="23424"/>
  <c r="CJ35" i="23424"/>
  <c r="CI35" i="23424"/>
  <c r="CH35" i="23424"/>
  <c r="CG35" i="23424"/>
  <c r="CF35" i="23424"/>
  <c r="CE35" i="23424"/>
  <c r="CD35" i="23424"/>
  <c r="BO35" i="23424"/>
  <c r="BL35" i="23424"/>
  <c r="BJ35" i="23424"/>
  <c r="BK35" i="23424" s="1"/>
  <c r="CP34" i="23424"/>
  <c r="CO34" i="23424"/>
  <c r="CN34" i="23424"/>
  <c r="CM34" i="23424"/>
  <c r="CL34" i="23424"/>
  <c r="CK34" i="23424"/>
  <c r="CJ34" i="23424"/>
  <c r="CI34" i="23424"/>
  <c r="CH34" i="23424"/>
  <c r="CG34" i="23424"/>
  <c r="CF34" i="23424"/>
  <c r="CE34" i="23424"/>
  <c r="CD34" i="23424"/>
  <c r="BO34" i="23424"/>
  <c r="BL34" i="23424"/>
  <c r="BK34" i="23424"/>
  <c r="BJ34" i="23424"/>
  <c r="CP33" i="23424"/>
  <c r="CO33" i="23424"/>
  <c r="CN33" i="23424"/>
  <c r="CM33" i="23424"/>
  <c r="CL33" i="23424"/>
  <c r="CK33" i="23424"/>
  <c r="CJ33" i="23424"/>
  <c r="CI33" i="23424"/>
  <c r="CH33" i="23424"/>
  <c r="CG33" i="23424"/>
  <c r="CF33" i="23424"/>
  <c r="CE33" i="23424"/>
  <c r="CD33" i="23424"/>
  <c r="BO33" i="23424"/>
  <c r="BL33" i="23424"/>
  <c r="BJ33" i="23424"/>
  <c r="BK33" i="23424" s="1"/>
  <c r="CP32" i="23424"/>
  <c r="CO32" i="23424"/>
  <c r="CN32" i="23424"/>
  <c r="CM32" i="23424"/>
  <c r="CL32" i="23424"/>
  <c r="CK32" i="23424"/>
  <c r="CJ32" i="23424"/>
  <c r="CI32" i="23424"/>
  <c r="CH32" i="23424"/>
  <c r="CG32" i="23424"/>
  <c r="CF32" i="23424"/>
  <c r="CE32" i="23424"/>
  <c r="CD32" i="23424"/>
  <c r="BO32" i="23424"/>
  <c r="BJ32" i="23424"/>
  <c r="BL32" i="23424" s="1"/>
  <c r="CP31" i="23424"/>
  <c r="CO31" i="23424"/>
  <c r="CN31" i="23424"/>
  <c r="CM31" i="23424"/>
  <c r="CL31" i="23424"/>
  <c r="CK31" i="23424"/>
  <c r="CJ31" i="23424"/>
  <c r="CI31" i="23424"/>
  <c r="CH31" i="23424"/>
  <c r="CG31" i="23424"/>
  <c r="CF31" i="23424"/>
  <c r="CE31" i="23424"/>
  <c r="CD31" i="23424"/>
  <c r="BO31" i="23424"/>
  <c r="BL31" i="23424"/>
  <c r="BK31" i="23424"/>
  <c r="BJ31" i="23424"/>
  <c r="CP30" i="23424"/>
  <c r="CO30" i="23424"/>
  <c r="CN30" i="23424"/>
  <c r="CM30" i="23424"/>
  <c r="CL30" i="23424"/>
  <c r="CK30" i="23424"/>
  <c r="CJ30" i="23424"/>
  <c r="CI30" i="23424"/>
  <c r="CH30" i="23424"/>
  <c r="CG30" i="23424"/>
  <c r="CF30" i="23424"/>
  <c r="CE30" i="23424"/>
  <c r="CD30" i="23424"/>
  <c r="BO30" i="23424"/>
  <c r="BJ30" i="23424"/>
  <c r="CP29" i="23424"/>
  <c r="CO29" i="23424"/>
  <c r="CN29" i="23424"/>
  <c r="CM29" i="23424"/>
  <c r="CL29" i="23424"/>
  <c r="CK29" i="23424"/>
  <c r="CJ29" i="23424"/>
  <c r="CI29" i="23424"/>
  <c r="CH29" i="23424"/>
  <c r="CG29" i="23424"/>
  <c r="CF29" i="23424"/>
  <c r="CE29" i="23424"/>
  <c r="CD29" i="23424"/>
  <c r="BO29" i="23424"/>
  <c r="BJ29" i="23424"/>
  <c r="CP28" i="23424"/>
  <c r="CO28" i="23424"/>
  <c r="CN28" i="23424"/>
  <c r="CM28" i="23424"/>
  <c r="CL28" i="23424"/>
  <c r="CK28" i="23424"/>
  <c r="CJ28" i="23424"/>
  <c r="CI28" i="23424"/>
  <c r="CH28" i="23424"/>
  <c r="CG28" i="23424"/>
  <c r="CF28" i="23424"/>
  <c r="CE28" i="23424"/>
  <c r="CD28" i="23424"/>
  <c r="BO28" i="23424"/>
  <c r="BJ28" i="23424"/>
  <c r="BL28" i="23424" s="1"/>
  <c r="CP27" i="23424"/>
  <c r="CO27" i="23424"/>
  <c r="CN27" i="23424"/>
  <c r="CM27" i="23424"/>
  <c r="CL27" i="23424"/>
  <c r="CK27" i="23424"/>
  <c r="CJ27" i="23424"/>
  <c r="CI27" i="23424"/>
  <c r="CH27" i="23424"/>
  <c r="CG27" i="23424"/>
  <c r="CF27" i="23424"/>
  <c r="CE27" i="23424"/>
  <c r="CD27" i="23424"/>
  <c r="BO27" i="23424"/>
  <c r="BJ27" i="23424"/>
  <c r="CP26" i="23424"/>
  <c r="CO26" i="23424"/>
  <c r="CN26" i="23424"/>
  <c r="CM26" i="23424"/>
  <c r="CL26" i="23424"/>
  <c r="CK26" i="23424"/>
  <c r="CJ26" i="23424"/>
  <c r="CI26" i="23424"/>
  <c r="CH26" i="23424"/>
  <c r="CG26" i="23424"/>
  <c r="CF26" i="23424"/>
  <c r="CE26" i="23424"/>
  <c r="CD26" i="23424"/>
  <c r="BO26" i="23424"/>
  <c r="BJ26" i="23424"/>
  <c r="CP25" i="23424"/>
  <c r="CO25" i="23424"/>
  <c r="CN25" i="23424"/>
  <c r="CM25" i="23424"/>
  <c r="CL25" i="23424"/>
  <c r="CK25" i="23424"/>
  <c r="CJ25" i="23424"/>
  <c r="CI25" i="23424"/>
  <c r="CH25" i="23424"/>
  <c r="CG25" i="23424"/>
  <c r="CF25" i="23424"/>
  <c r="CE25" i="23424"/>
  <c r="CD25" i="23424"/>
  <c r="BO25" i="23424"/>
  <c r="BL25" i="23424"/>
  <c r="BJ25" i="23424"/>
  <c r="BK25" i="23424" s="1"/>
  <c r="CP24" i="23424"/>
  <c r="CO24" i="23424"/>
  <c r="CN24" i="23424"/>
  <c r="CM24" i="23424"/>
  <c r="CL24" i="23424"/>
  <c r="CK24" i="23424"/>
  <c r="CJ24" i="23424"/>
  <c r="CI24" i="23424"/>
  <c r="CH24" i="23424"/>
  <c r="CG24" i="23424"/>
  <c r="CF24" i="23424"/>
  <c r="CE24" i="23424"/>
  <c r="CD24" i="23424"/>
  <c r="BO24" i="23424"/>
  <c r="BL24" i="23424"/>
  <c r="BK24" i="23424"/>
  <c r="BJ24" i="23424"/>
  <c r="CP23" i="23424"/>
  <c r="CO23" i="23424"/>
  <c r="CN23" i="23424"/>
  <c r="CM23" i="23424"/>
  <c r="CL23" i="23424"/>
  <c r="CK23" i="23424"/>
  <c r="CJ23" i="23424"/>
  <c r="CI23" i="23424"/>
  <c r="CH23" i="23424"/>
  <c r="CG23" i="23424"/>
  <c r="CF23" i="23424"/>
  <c r="CE23" i="23424"/>
  <c r="CD23" i="23424"/>
  <c r="BO23" i="23424"/>
  <c r="BJ23" i="23424"/>
  <c r="BL23" i="23424" s="1"/>
  <c r="CP22" i="23424"/>
  <c r="CO22" i="23424"/>
  <c r="CN22" i="23424"/>
  <c r="CM22" i="23424"/>
  <c r="CL22" i="23424"/>
  <c r="CK22" i="23424"/>
  <c r="CJ22" i="23424"/>
  <c r="CI22" i="23424"/>
  <c r="CH22" i="23424"/>
  <c r="CG22" i="23424"/>
  <c r="CF22" i="23424"/>
  <c r="CE22" i="23424"/>
  <c r="CD22" i="23424"/>
  <c r="BO22" i="23424"/>
  <c r="BL22" i="23424"/>
  <c r="BK22" i="23424"/>
  <c r="BJ22" i="23424"/>
  <c r="CP21" i="23424"/>
  <c r="CO21" i="23424"/>
  <c r="CN21" i="23424"/>
  <c r="CM21" i="23424"/>
  <c r="CL21" i="23424"/>
  <c r="CK21" i="23424"/>
  <c r="CJ21" i="23424"/>
  <c r="CI21" i="23424"/>
  <c r="CH21" i="23424"/>
  <c r="CG21" i="23424"/>
  <c r="CF21" i="23424"/>
  <c r="CE21" i="23424"/>
  <c r="CD21" i="23424"/>
  <c r="BO21" i="23424"/>
  <c r="BK21" i="23424"/>
  <c r="BJ21" i="23424"/>
  <c r="BL21" i="23424" s="1"/>
  <c r="CP20" i="23424"/>
  <c r="CO20" i="23424"/>
  <c r="CN20" i="23424"/>
  <c r="CM20" i="23424"/>
  <c r="CL20" i="23424"/>
  <c r="CK20" i="23424"/>
  <c r="CJ20" i="23424"/>
  <c r="CI20" i="23424"/>
  <c r="CH20" i="23424"/>
  <c r="CG20" i="23424"/>
  <c r="CF20" i="23424"/>
  <c r="CE20" i="23424"/>
  <c r="CD20" i="23424"/>
  <c r="BO20" i="23424"/>
  <c r="BJ20" i="23424"/>
  <c r="BL20" i="23424" s="1"/>
  <c r="CP19" i="23424"/>
  <c r="CO19" i="23424"/>
  <c r="CN19" i="23424"/>
  <c r="CM19" i="23424"/>
  <c r="CL19" i="23424"/>
  <c r="CK19" i="23424"/>
  <c r="CJ19" i="23424"/>
  <c r="CI19" i="23424"/>
  <c r="CH19" i="23424"/>
  <c r="CG19" i="23424"/>
  <c r="CF19" i="23424"/>
  <c r="CE19" i="23424"/>
  <c r="CD19" i="23424"/>
  <c r="BO19" i="23424"/>
  <c r="BJ19" i="23424"/>
  <c r="BL19" i="23424" s="1"/>
  <c r="CP18" i="23424"/>
  <c r="CO18" i="23424"/>
  <c r="CN18" i="23424"/>
  <c r="CM18" i="23424"/>
  <c r="CL18" i="23424"/>
  <c r="CK18" i="23424"/>
  <c r="CJ18" i="23424"/>
  <c r="CI18" i="23424"/>
  <c r="CH18" i="23424"/>
  <c r="CG18" i="23424"/>
  <c r="CF18" i="23424"/>
  <c r="CE18" i="23424"/>
  <c r="CD18" i="23424"/>
  <c r="BO18" i="23424"/>
  <c r="BL18" i="23424"/>
  <c r="BK18" i="23424"/>
  <c r="BJ18" i="23424"/>
  <c r="CP17" i="23424"/>
  <c r="CO17" i="23424"/>
  <c r="CN17" i="23424"/>
  <c r="CM17" i="23424"/>
  <c r="CL17" i="23424"/>
  <c r="CK17" i="23424"/>
  <c r="CJ17" i="23424"/>
  <c r="CI17" i="23424"/>
  <c r="CH17" i="23424"/>
  <c r="CG17" i="23424"/>
  <c r="CF17" i="23424"/>
  <c r="CE17" i="23424"/>
  <c r="CD17" i="23424"/>
  <c r="BO17" i="23424"/>
  <c r="BJ17" i="23424"/>
  <c r="CP16" i="23424"/>
  <c r="CO16" i="23424"/>
  <c r="CN16" i="23424"/>
  <c r="CM16" i="23424"/>
  <c r="CL16" i="23424"/>
  <c r="CK16" i="23424"/>
  <c r="CJ16" i="23424"/>
  <c r="CI16" i="23424"/>
  <c r="CH16" i="23424"/>
  <c r="CG16" i="23424"/>
  <c r="CF16" i="23424"/>
  <c r="CE16" i="23424"/>
  <c r="CD16" i="23424"/>
  <c r="BO16" i="23424"/>
  <c r="BL16" i="23424"/>
  <c r="BK16" i="23424"/>
  <c r="BJ16" i="23424"/>
  <c r="CP15" i="23424"/>
  <c r="CO15" i="23424"/>
  <c r="CN15" i="23424"/>
  <c r="CM15" i="23424"/>
  <c r="CL15" i="23424"/>
  <c r="CK15" i="23424"/>
  <c r="CJ15" i="23424"/>
  <c r="CI15" i="23424"/>
  <c r="CH15" i="23424"/>
  <c r="CG15" i="23424"/>
  <c r="CF15" i="23424"/>
  <c r="CE15" i="23424"/>
  <c r="CD15" i="23424"/>
  <c r="BO15" i="23424"/>
  <c r="BL15" i="23424"/>
  <c r="BK15" i="23424"/>
  <c r="BJ15" i="23424"/>
  <c r="CP14" i="23424"/>
  <c r="CO14" i="23424"/>
  <c r="CN14" i="23424"/>
  <c r="CM14" i="23424"/>
  <c r="CL14" i="23424"/>
  <c r="CK14" i="23424"/>
  <c r="CJ14" i="23424"/>
  <c r="CI14" i="23424"/>
  <c r="CH14" i="23424"/>
  <c r="CG14" i="23424"/>
  <c r="CF14" i="23424"/>
  <c r="CE14" i="23424"/>
  <c r="CD14" i="23424"/>
  <c r="BO14" i="23424"/>
  <c r="BL14" i="23424"/>
  <c r="BJ14" i="23424"/>
  <c r="BK14" i="23424" s="1"/>
  <c r="CP13" i="23424"/>
  <c r="CO13" i="23424"/>
  <c r="CN13" i="23424"/>
  <c r="CM13" i="23424"/>
  <c r="CL13" i="23424"/>
  <c r="CK13" i="23424"/>
  <c r="CJ13" i="23424"/>
  <c r="CI13" i="23424"/>
  <c r="CH13" i="23424"/>
  <c r="CG13" i="23424"/>
  <c r="CF13" i="23424"/>
  <c r="CE13" i="23424"/>
  <c r="CD13" i="23424"/>
  <c r="BO13" i="23424"/>
  <c r="BJ13" i="23424"/>
  <c r="CP12" i="23424"/>
  <c r="CO12" i="23424"/>
  <c r="CN12" i="23424"/>
  <c r="CM12" i="23424"/>
  <c r="CL12" i="23424"/>
  <c r="CK12" i="23424"/>
  <c r="CJ12" i="23424"/>
  <c r="CI12" i="23424"/>
  <c r="CH12" i="23424"/>
  <c r="CG12" i="23424"/>
  <c r="CF12" i="23424"/>
  <c r="CE12" i="23424"/>
  <c r="CD12" i="23424"/>
  <c r="BO12" i="23424"/>
  <c r="BL12" i="23424"/>
  <c r="BK12" i="23424"/>
  <c r="BJ12" i="23424"/>
  <c r="CP11" i="23424"/>
  <c r="CO11" i="23424"/>
  <c r="CN11" i="23424"/>
  <c r="CM11" i="23424"/>
  <c r="CL11" i="23424"/>
  <c r="CK11" i="23424"/>
  <c r="CJ11" i="23424"/>
  <c r="CI11" i="23424"/>
  <c r="CH11" i="23424"/>
  <c r="CG11" i="23424"/>
  <c r="CF11" i="23424"/>
  <c r="CE11" i="23424"/>
  <c r="CD11" i="23424"/>
  <c r="BO11" i="23424"/>
  <c r="BJ11" i="23424"/>
  <c r="CP10" i="23424"/>
  <c r="CO10" i="23424"/>
  <c r="CN10" i="23424"/>
  <c r="CM10" i="23424"/>
  <c r="CL10" i="23424"/>
  <c r="CK10" i="23424"/>
  <c r="CJ10" i="23424"/>
  <c r="CI10" i="23424"/>
  <c r="CH10" i="23424"/>
  <c r="CG10" i="23424"/>
  <c r="CF10" i="23424"/>
  <c r="CE10" i="23424"/>
  <c r="CD10" i="23424"/>
  <c r="BO10" i="23424"/>
  <c r="BJ10" i="23424"/>
  <c r="BL10" i="23424" s="1"/>
  <c r="BL44" i="23424" l="1"/>
  <c r="BK44" i="23424"/>
  <c r="BL109" i="23424"/>
  <c r="BL186" i="23424"/>
  <c r="BK186" i="23424"/>
  <c r="BL106" i="23424"/>
  <c r="BK106" i="23424"/>
  <c r="BL93" i="23424"/>
  <c r="BK93" i="23424"/>
  <c r="BK29" i="23424"/>
  <c r="BL29" i="23424"/>
  <c r="BL50" i="23424"/>
  <c r="BK189" i="23424"/>
  <c r="BL87" i="23424"/>
  <c r="BK87" i="23424"/>
  <c r="BK17" i="23424"/>
  <c r="BL17" i="23424"/>
  <c r="BL11" i="23424"/>
  <c r="BK11" i="23424"/>
  <c r="BK150" i="23424"/>
  <c r="BL64" i="23424"/>
  <c r="BK64" i="23424"/>
  <c r="BK162" i="23424"/>
  <c r="BL162" i="23424"/>
  <c r="BL74" i="23424"/>
  <c r="BK74" i="23424"/>
  <c r="BK32" i="23424"/>
  <c r="BK13" i="23424"/>
  <c r="BL13" i="23424"/>
  <c r="BK26" i="23424"/>
  <c r="BL26" i="23424"/>
  <c r="BK98" i="23424"/>
  <c r="BK99" i="23424"/>
  <c r="BL99" i="23424"/>
  <c r="BK23" i="23424"/>
  <c r="BL59" i="23424"/>
  <c r="BK59" i="23424"/>
  <c r="BK139" i="23424"/>
  <c r="BK28" i="23424"/>
  <c r="BK163" i="23424"/>
  <c r="BL84" i="23424"/>
  <c r="BK84" i="23424"/>
  <c r="BL43" i="23424"/>
  <c r="BK43" i="23424"/>
  <c r="BK101" i="23424"/>
  <c r="BL37" i="23424"/>
  <c r="BK37" i="23424"/>
  <c r="BL49" i="23424"/>
  <c r="BL148" i="23424"/>
  <c r="BK148" i="23424"/>
  <c r="BL27" i="23424"/>
  <c r="BK27" i="23424"/>
  <c r="BL46" i="23424"/>
  <c r="BK46" i="23424"/>
  <c r="BK118" i="23424"/>
  <c r="BL95" i="23424"/>
  <c r="BK95" i="23424"/>
  <c r="BL30" i="23424"/>
  <c r="BK30" i="23424"/>
  <c r="BK19" i="23424"/>
  <c r="BL134" i="23424"/>
  <c r="BK134" i="23424"/>
  <c r="BK20" i="23424"/>
  <c r="BL82" i="23424"/>
  <c r="BL85" i="23424"/>
  <c r="BK85" i="23424"/>
  <c r="BL105" i="23424"/>
  <c r="BK105" i="23424"/>
  <c r="BL140" i="23424"/>
  <c r="BK140" i="23424"/>
  <c r="BL45" i="23424"/>
  <c r="BL128" i="23424"/>
  <c r="BK128" i="23424"/>
  <c r="BL114" i="23424"/>
  <c r="BK114" i="23424"/>
  <c r="BL116" i="23424"/>
  <c r="BK116" i="23424"/>
  <c r="BL135" i="23424"/>
  <c r="BK40" i="23424"/>
  <c r="BL88" i="23424"/>
  <c r="BK113" i="23424"/>
  <c r="BL56" i="23424"/>
  <c r="BK56" i="23424"/>
  <c r="BL62" i="23424"/>
  <c r="BK62" i="23424"/>
  <c r="BK10" i="23424"/>
  <c r="BK47" i="23424"/>
  <c r="BL110" i="23424"/>
  <c r="BK142" i="23424"/>
  <c r="BL142" i="23424"/>
  <c r="BL173" i="23424"/>
  <c r="BK173" i="23424"/>
  <c r="BL146" i="23424"/>
  <c r="BK146" i="23424"/>
  <c r="BL126" i="23424"/>
  <c r="BL136" i="23424"/>
  <c r="BK136" i="23424"/>
  <c r="BK138" i="23424"/>
  <c r="BL168" i="23424"/>
  <c r="BK168" i="23424"/>
  <c r="BL94" i="23424"/>
  <c r="BK94" i="23424"/>
  <c r="BL160" i="23424"/>
  <c r="BK133" i="23424"/>
  <c r="BK159" i="23424"/>
  <c r="BK179" i="23424"/>
  <c r="BL188" i="23424"/>
  <c r="BK188" i="23424"/>
  <c r="BL182" i="23424"/>
  <c r="BK151" i="23424"/>
  <c r="F48" i="23419"/>
  <c r="F47" i="23419"/>
  <c r="F46" i="23419"/>
  <c r="F45" i="23419"/>
  <c r="F44" i="23419"/>
  <c r="F28" i="23419" l="1"/>
  <c r="F27" i="23419"/>
  <c r="F26" i="23419"/>
  <c r="F25" i="23419"/>
  <c r="F24" i="23419"/>
  <c r="F23" i="23419"/>
  <c r="F22" i="23419"/>
  <c r="F21" i="23419"/>
  <c r="F20" i="23419"/>
  <c r="F19" i="23419"/>
  <c r="F18" i="23419"/>
  <c r="F17" i="23419"/>
  <c r="F16" i="23419"/>
  <c r="F15" i="23419"/>
  <c r="F14" i="23419"/>
  <c r="F13" i="23419"/>
  <c r="F12" i="23419"/>
  <c r="F11" i="23419"/>
  <c r="F10" i="23419"/>
  <c r="Q1687" i="23422" l="1"/>
  <c r="R1687" i="23422"/>
  <c r="Q1688" i="23422"/>
  <c r="R1688" i="23422"/>
  <c r="Q1689" i="23422"/>
  <c r="R1689" i="23422"/>
  <c r="Q1690" i="23422"/>
  <c r="R1690" i="23422"/>
  <c r="Q1691" i="23422"/>
  <c r="R1691" i="23422"/>
  <c r="Q1692" i="23422"/>
  <c r="R1692" i="23422"/>
  <c r="Q1693" i="23422"/>
  <c r="R1693" i="23422"/>
  <c r="Q1694" i="23422"/>
  <c r="R1694" i="23422"/>
  <c r="Q1695" i="23422"/>
  <c r="R1695" i="23422"/>
  <c r="Q1696" i="23422"/>
  <c r="R1696" i="23422"/>
  <c r="Q1697" i="23422"/>
  <c r="R1697" i="23422"/>
  <c r="Q1698" i="23422"/>
  <c r="R1698" i="23422"/>
  <c r="Q1699" i="23422"/>
  <c r="R1699" i="23422"/>
  <c r="Q1700" i="23422"/>
  <c r="R1700" i="23422"/>
  <c r="Q1701" i="23422"/>
  <c r="R1701" i="23422"/>
  <c r="Q1702" i="23422"/>
  <c r="R1702" i="23422"/>
  <c r="Q1703" i="23422"/>
  <c r="R1703" i="23422"/>
  <c r="Q1704" i="23422"/>
  <c r="R1704" i="23422"/>
  <c r="Q1705" i="23422"/>
  <c r="R1705" i="23422"/>
  <c r="Q1706" i="23422"/>
  <c r="R1706" i="23422"/>
  <c r="Q1707" i="23422"/>
  <c r="R1707" i="23422"/>
  <c r="Q1708" i="23422"/>
  <c r="R1708" i="23422"/>
  <c r="Q1709" i="23422"/>
  <c r="R1709" i="23422"/>
  <c r="Q1710" i="23422"/>
  <c r="R1710" i="23422"/>
  <c r="Q1711" i="23422"/>
  <c r="R1711" i="23422"/>
  <c r="Q1712" i="23422"/>
  <c r="R1712" i="23422"/>
  <c r="Q1713" i="23422"/>
  <c r="R1713" i="23422"/>
  <c r="Q1714" i="23422"/>
  <c r="R1714" i="23422"/>
  <c r="Q1715" i="23422"/>
  <c r="R1715" i="23422"/>
  <c r="Q1716" i="23422"/>
  <c r="R1716" i="23422"/>
  <c r="Q1717" i="23422"/>
  <c r="R1717" i="23422"/>
  <c r="Q1718" i="23422"/>
  <c r="R1718" i="23422"/>
  <c r="Q1719" i="23422"/>
  <c r="R1719" i="23422"/>
  <c r="Q1720" i="23422"/>
  <c r="R1720" i="23422"/>
  <c r="Q1721" i="23422"/>
  <c r="R1721" i="23422"/>
  <c r="Q1722" i="23422"/>
  <c r="R1722" i="23422"/>
  <c r="Q1723" i="23422"/>
  <c r="R1723" i="23422"/>
  <c r="Q1724" i="23422"/>
  <c r="R1724" i="23422"/>
  <c r="Q1725" i="23422"/>
  <c r="R1725" i="23422"/>
  <c r="Q1726" i="23422"/>
  <c r="R1726" i="23422"/>
  <c r="Q1727" i="23422"/>
  <c r="R1727" i="23422"/>
  <c r="Q1728" i="23422"/>
  <c r="R1728" i="23422"/>
  <c r="Q1729" i="23422"/>
  <c r="R1729" i="23422"/>
  <c r="Q1730" i="23422"/>
  <c r="R1730" i="23422"/>
  <c r="Q1731" i="23422"/>
  <c r="R1731" i="23422"/>
  <c r="Q1732" i="23422"/>
  <c r="R1732" i="23422"/>
  <c r="Q1733" i="23422"/>
  <c r="R1733" i="23422"/>
  <c r="Q1734" i="23422"/>
  <c r="R1734" i="23422"/>
  <c r="Q1735" i="23422"/>
  <c r="R1735" i="23422"/>
  <c r="Q1736" i="23422"/>
  <c r="R1736" i="23422"/>
  <c r="Q1737" i="23422"/>
  <c r="R1737" i="23422"/>
  <c r="Q1738" i="23422"/>
  <c r="R1738" i="23422"/>
  <c r="Q1739" i="23422"/>
  <c r="R1739" i="23422"/>
  <c r="Q1740" i="23422"/>
  <c r="R1740" i="23422"/>
  <c r="Q1741" i="23422"/>
  <c r="R1741" i="23422"/>
  <c r="Q1742" i="23422"/>
  <c r="R1742" i="23422"/>
  <c r="Q1743" i="23422"/>
  <c r="R1743" i="23422"/>
  <c r="Q1744" i="23422"/>
  <c r="R1744" i="23422"/>
  <c r="Q1745" i="23422"/>
  <c r="R1745" i="23422"/>
  <c r="Q1746" i="23422"/>
  <c r="R1746" i="23422"/>
  <c r="Q1747" i="23422"/>
  <c r="R1747" i="23422"/>
  <c r="Q1748" i="23422"/>
  <c r="R1748" i="23422"/>
  <c r="Q1749" i="23422"/>
  <c r="R1749" i="23422"/>
  <c r="Q1750" i="23422"/>
  <c r="R1750" i="23422"/>
  <c r="Q1751" i="23422"/>
  <c r="R1751" i="23422"/>
  <c r="Q1752" i="23422"/>
  <c r="R1752" i="23422"/>
  <c r="Q1753" i="23422"/>
  <c r="R1753" i="23422"/>
  <c r="Q1754" i="23422"/>
  <c r="R1754" i="23422"/>
  <c r="Q1755" i="23422"/>
  <c r="R1755" i="23422"/>
  <c r="Q1756" i="23422"/>
  <c r="R1756" i="23422"/>
  <c r="Q1757" i="23422"/>
  <c r="R1757" i="23422"/>
  <c r="Q1758" i="23422"/>
  <c r="R1758" i="23422"/>
  <c r="Q1759" i="23422"/>
  <c r="R1759" i="23422"/>
  <c r="Q1760" i="23422"/>
  <c r="R1760" i="23422"/>
  <c r="Q1761" i="23422"/>
  <c r="R1761" i="23422"/>
  <c r="Q1762" i="23422"/>
  <c r="R1762" i="23422"/>
  <c r="Q1763" i="23422"/>
  <c r="R1763" i="23422"/>
  <c r="Q1764" i="23422"/>
  <c r="R1764" i="23422"/>
  <c r="Q1765" i="23422"/>
  <c r="R1765" i="23422"/>
  <c r="Q1766" i="23422"/>
  <c r="R1766" i="23422"/>
  <c r="Q1767" i="23422"/>
  <c r="R1767" i="23422"/>
  <c r="Q1768" i="23422"/>
  <c r="R1768" i="23422"/>
  <c r="Q1769" i="23422"/>
  <c r="R1769" i="23422"/>
  <c r="Q1770" i="23422"/>
  <c r="R1770" i="23422"/>
  <c r="Q1771" i="23422"/>
  <c r="R1771" i="23422"/>
  <c r="Q1772" i="23422"/>
  <c r="R1772" i="23422"/>
  <c r="Q1773" i="23422"/>
  <c r="R1773" i="23422"/>
  <c r="Q1774" i="23422"/>
  <c r="R1774" i="23422"/>
  <c r="Q1775" i="23422"/>
  <c r="R1775" i="23422"/>
  <c r="Q1776" i="23422"/>
  <c r="R1776" i="23422"/>
  <c r="Q1777" i="23422"/>
  <c r="R1777" i="23422"/>
  <c r="Q1778" i="23422"/>
  <c r="R1778" i="23422"/>
  <c r="Q1779" i="23422"/>
  <c r="R1779" i="23422"/>
  <c r="Q1780" i="23422"/>
  <c r="R1780" i="23422"/>
  <c r="Q1781" i="23422"/>
  <c r="R1781" i="23422"/>
  <c r="Q1782" i="23422"/>
  <c r="R1782" i="23422"/>
  <c r="Q1783" i="23422"/>
  <c r="R1783" i="23422"/>
  <c r="Q1784" i="23422"/>
  <c r="R1784" i="23422"/>
  <c r="Q1785" i="23422"/>
  <c r="R1785" i="23422"/>
  <c r="Q1786" i="23422"/>
  <c r="R1786" i="23422"/>
  <c r="Q1787" i="23422"/>
  <c r="R1787" i="23422"/>
  <c r="Q1788" i="23422"/>
  <c r="R1788" i="23422"/>
  <c r="Q1789" i="23422"/>
  <c r="R1789" i="23422"/>
  <c r="Q1790" i="23422"/>
  <c r="R1790" i="23422"/>
  <c r="Q1791" i="23422"/>
  <c r="R1791" i="23422"/>
  <c r="Q1792" i="23422"/>
  <c r="R1792" i="23422"/>
  <c r="Q1793" i="23422"/>
  <c r="R1793" i="23422"/>
  <c r="Q1794" i="23422"/>
  <c r="R1794" i="23422"/>
  <c r="Q1795" i="23422"/>
  <c r="R1795" i="23422"/>
  <c r="Q1796" i="23422"/>
  <c r="R1796" i="23422"/>
  <c r="Q1797" i="23422"/>
  <c r="R1797" i="23422"/>
  <c r="Q1798" i="23422"/>
  <c r="R1798" i="23422"/>
  <c r="Q1799" i="23422"/>
  <c r="R1799" i="23422"/>
  <c r="Q1800" i="23422"/>
  <c r="R1800" i="23422"/>
  <c r="Q1801" i="23422"/>
  <c r="R1801" i="23422"/>
  <c r="Q1802" i="23422"/>
  <c r="R1802" i="23422"/>
  <c r="Q1803" i="23422"/>
  <c r="R1803" i="23422"/>
  <c r="Q1804" i="23422"/>
  <c r="R1804" i="23422"/>
  <c r="Q1805" i="23422"/>
  <c r="R1805" i="23422"/>
  <c r="Q1806" i="23422"/>
  <c r="R1806" i="23422"/>
  <c r="Q1807" i="23422"/>
  <c r="R1807" i="23422"/>
  <c r="Q1808" i="23422"/>
  <c r="R1808" i="23422"/>
  <c r="Q1809" i="23422"/>
  <c r="R1809" i="23422"/>
  <c r="Q1810" i="23422"/>
  <c r="R1810" i="23422"/>
  <c r="Q1811" i="23422"/>
  <c r="R1811" i="23422"/>
  <c r="Q1812" i="23422"/>
  <c r="R1812" i="23422"/>
  <c r="Q1813" i="23422"/>
  <c r="R1813" i="23422"/>
  <c r="Q1814" i="23422"/>
  <c r="R1814" i="23422"/>
  <c r="Q1815" i="23422"/>
  <c r="R1815" i="23422"/>
  <c r="Q1816" i="23422"/>
  <c r="R1816" i="23422"/>
  <c r="Q1817" i="23422"/>
  <c r="R1817" i="23422"/>
  <c r="Q1818" i="23422"/>
  <c r="R1818" i="23422"/>
  <c r="Q1819" i="23422"/>
  <c r="R1819" i="23422"/>
  <c r="Q1820" i="23422"/>
  <c r="R1820" i="23422"/>
  <c r="Q1821" i="23422"/>
  <c r="R1821" i="23422"/>
  <c r="Q1822" i="23422"/>
  <c r="R1822" i="23422"/>
  <c r="Q1823" i="23422"/>
  <c r="R1823" i="23422"/>
  <c r="Q1824" i="23422"/>
  <c r="R1824" i="23422"/>
  <c r="Q1825" i="23422"/>
  <c r="R1825" i="23422"/>
  <c r="Q1826" i="23422"/>
  <c r="R1826" i="23422"/>
  <c r="Q1827" i="23422"/>
  <c r="R1827" i="23422"/>
  <c r="Q1828" i="23422"/>
  <c r="R1828" i="23422"/>
  <c r="Q1829" i="23422"/>
  <c r="R1829" i="23422"/>
  <c r="Q1830" i="23422"/>
  <c r="R1830" i="23422"/>
  <c r="Q1831" i="23422"/>
  <c r="R1831" i="23422"/>
  <c r="Q1832" i="23422"/>
  <c r="R1832" i="23422"/>
  <c r="Q1833" i="23422"/>
  <c r="R1833" i="23422"/>
  <c r="Q1834" i="23422"/>
  <c r="R1834" i="23422"/>
  <c r="Q1835" i="23422"/>
  <c r="R1835" i="23422"/>
  <c r="Q1836" i="23422"/>
  <c r="R1836" i="23422"/>
  <c r="Q1837" i="23422"/>
  <c r="R1837" i="23422"/>
  <c r="Q1838" i="23422"/>
  <c r="R1838" i="23422"/>
  <c r="Q1839" i="23422"/>
  <c r="R1839" i="23422"/>
  <c r="Q1840" i="23422"/>
  <c r="R1840" i="23422"/>
  <c r="Q1841" i="23422"/>
  <c r="R1841" i="23422"/>
  <c r="Q1842" i="23422"/>
  <c r="R1842" i="23422"/>
  <c r="Q1843" i="23422"/>
  <c r="R1843" i="23422"/>
  <c r="Q1844" i="23422"/>
  <c r="R1844" i="23422"/>
  <c r="Q1845" i="23422"/>
  <c r="R1845" i="23422"/>
  <c r="Q1846" i="23422"/>
  <c r="R1846" i="23422"/>
  <c r="Q1847" i="23422"/>
  <c r="R1847" i="23422"/>
  <c r="Q1848" i="23422"/>
  <c r="R1848" i="23422"/>
  <c r="Q1849" i="23422"/>
  <c r="R1849" i="23422"/>
  <c r="Q1850" i="23422"/>
  <c r="R1850" i="23422"/>
  <c r="Q1851" i="23422"/>
  <c r="R1851" i="23422"/>
  <c r="Q1852" i="23422"/>
  <c r="R1852" i="23422"/>
  <c r="Q1853" i="23422"/>
  <c r="R1853" i="23422"/>
  <c r="Q1854" i="23422"/>
  <c r="R1854" i="23422"/>
  <c r="Q1855" i="23422"/>
  <c r="R1855" i="23422"/>
  <c r="Q1856" i="23422"/>
  <c r="R1856" i="23422"/>
  <c r="Q1857" i="23422"/>
  <c r="R1857" i="23422"/>
  <c r="Q1858" i="23422"/>
  <c r="R1858" i="23422"/>
  <c r="Q1859" i="23422"/>
  <c r="R1859" i="23422"/>
  <c r="Q1860" i="23422"/>
  <c r="R1860" i="23422"/>
  <c r="Q1861" i="23422"/>
  <c r="R1861" i="23422"/>
  <c r="Q1862" i="23422"/>
  <c r="R1862" i="23422"/>
  <c r="Q1863" i="23422"/>
  <c r="R1863" i="23422"/>
  <c r="Q1864" i="23422"/>
  <c r="R1864" i="23422"/>
  <c r="Q1865" i="23422"/>
  <c r="R1865" i="23422"/>
  <c r="Q1866" i="23422"/>
  <c r="R1866" i="23422"/>
  <c r="P262" i="2" l="1"/>
  <c r="P261" i="2"/>
  <c r="P260" i="2"/>
  <c r="P259" i="2"/>
  <c r="P258" i="2"/>
  <c r="P257" i="2"/>
  <c r="P256" i="2"/>
  <c r="P255" i="2"/>
  <c r="P254" i="2"/>
  <c r="P253" i="2"/>
  <c r="P252" i="2"/>
  <c r="P251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0" i="2"/>
  <c r="P229" i="2"/>
  <c r="P228" i="2"/>
  <c r="P227" i="2"/>
  <c r="P226" i="2"/>
  <c r="P225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4" i="2"/>
  <c r="P203" i="2"/>
  <c r="P202" i="2"/>
  <c r="P201" i="2"/>
  <c r="P200" i="2"/>
  <c r="P199" i="2"/>
  <c r="P194" i="2"/>
  <c r="P193" i="2"/>
  <c r="P192" i="2"/>
  <c r="P191" i="2"/>
  <c r="P190" i="2"/>
  <c r="P189" i="2"/>
  <c r="P184" i="2"/>
  <c r="P183" i="2"/>
  <c r="P182" i="2"/>
  <c r="P181" i="2"/>
  <c r="P180" i="2"/>
  <c r="P179" i="2"/>
  <c r="P174" i="2"/>
  <c r="P173" i="2"/>
  <c r="P172" i="2"/>
  <c r="P171" i="2"/>
  <c r="P170" i="2"/>
  <c r="P169" i="2"/>
  <c r="P168" i="2"/>
  <c r="P167" i="2"/>
  <c r="P166" i="2"/>
  <c r="P207" i="7"/>
  <c r="P206" i="7"/>
  <c r="P205" i="7"/>
  <c r="P204" i="7"/>
  <c r="P203" i="7"/>
  <c r="P202" i="7"/>
  <c r="P201" i="7"/>
  <c r="P200" i="7"/>
  <c r="P199" i="7"/>
  <c r="P198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3" i="7"/>
  <c r="P172" i="7"/>
  <c r="P171" i="7"/>
  <c r="P170" i="7"/>
  <c r="P169" i="7"/>
  <c r="P168" i="7"/>
  <c r="P167" i="7"/>
  <c r="P166" i="7"/>
  <c r="P165" i="7"/>
  <c r="P164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R1686" i="23422" l="1"/>
  <c r="Q1686" i="23422"/>
  <c r="R1685" i="23422"/>
  <c r="Q1685" i="23422"/>
  <c r="R1684" i="23422"/>
  <c r="Q1684" i="23422"/>
  <c r="R1683" i="23422"/>
  <c r="Q1683" i="23422"/>
  <c r="R1682" i="23422"/>
  <c r="Q1682" i="23422"/>
  <c r="R1681" i="23422"/>
  <c r="Q1681" i="23422"/>
  <c r="R203" i="7" l="1"/>
  <c r="Q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R202" i="7"/>
  <c r="Q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R187" i="7"/>
  <c r="Q187" i="7"/>
  <c r="O187" i="7"/>
  <c r="N187" i="7"/>
  <c r="M187" i="7"/>
  <c r="L187" i="7"/>
  <c r="K187" i="7"/>
  <c r="J187" i="7"/>
  <c r="I187" i="7"/>
  <c r="H187" i="7"/>
  <c r="G187" i="7"/>
  <c r="E187" i="7"/>
  <c r="D187" i="7"/>
  <c r="C187" i="7"/>
  <c r="R186" i="7"/>
  <c r="Q186" i="7"/>
  <c r="O186" i="7"/>
  <c r="N186" i="7"/>
  <c r="M186" i="7"/>
  <c r="L186" i="7"/>
  <c r="K186" i="7"/>
  <c r="J186" i="7"/>
  <c r="I186" i="7"/>
  <c r="H186" i="7"/>
  <c r="G186" i="7"/>
  <c r="E186" i="7"/>
  <c r="D186" i="7"/>
  <c r="C186" i="7"/>
  <c r="R169" i="7"/>
  <c r="Q169" i="7"/>
  <c r="O169" i="7"/>
  <c r="N169" i="7"/>
  <c r="M169" i="7"/>
  <c r="L169" i="7"/>
  <c r="K169" i="7"/>
  <c r="J169" i="7"/>
  <c r="I169" i="7"/>
  <c r="H169" i="7"/>
  <c r="G169" i="7"/>
  <c r="E169" i="7"/>
  <c r="D169" i="7"/>
  <c r="C169" i="7"/>
  <c r="R168" i="7"/>
  <c r="Q168" i="7"/>
  <c r="O168" i="7"/>
  <c r="N168" i="7"/>
  <c r="M168" i="7"/>
  <c r="L168" i="7"/>
  <c r="K168" i="7"/>
  <c r="J168" i="7"/>
  <c r="I168" i="7"/>
  <c r="H168" i="7"/>
  <c r="G168" i="7"/>
  <c r="E168" i="7"/>
  <c r="D168" i="7"/>
  <c r="C168" i="7"/>
  <c r="R153" i="7"/>
  <c r="Q153" i="7"/>
  <c r="O153" i="7"/>
  <c r="N153" i="7"/>
  <c r="M153" i="7"/>
  <c r="L153" i="7"/>
  <c r="K153" i="7"/>
  <c r="J153" i="7"/>
  <c r="I153" i="7"/>
  <c r="H153" i="7"/>
  <c r="G153" i="7"/>
  <c r="E153" i="7"/>
  <c r="D153" i="7"/>
  <c r="C153" i="7"/>
  <c r="R152" i="7"/>
  <c r="Q152" i="7"/>
  <c r="O152" i="7"/>
  <c r="N152" i="7"/>
  <c r="M152" i="7"/>
  <c r="L152" i="7"/>
  <c r="K152" i="7"/>
  <c r="J152" i="7"/>
  <c r="I152" i="7"/>
  <c r="H152" i="7"/>
  <c r="G152" i="7"/>
  <c r="E152" i="7"/>
  <c r="D152" i="7"/>
  <c r="C152" i="7"/>
  <c r="R135" i="7"/>
  <c r="Q135" i="7"/>
  <c r="R134" i="7"/>
  <c r="Q134" i="7"/>
  <c r="R119" i="7"/>
  <c r="Q119" i="7"/>
  <c r="R118" i="7"/>
  <c r="Q118" i="7"/>
  <c r="R101" i="7"/>
  <c r="Q101" i="7"/>
  <c r="R100" i="7"/>
  <c r="Q100" i="7"/>
  <c r="R85" i="7"/>
  <c r="Q85" i="7"/>
  <c r="R84" i="7"/>
  <c r="Q84" i="7"/>
  <c r="R67" i="7"/>
  <c r="Q67" i="7"/>
  <c r="R66" i="7"/>
  <c r="Q66" i="7"/>
  <c r="R51" i="7"/>
  <c r="Q51" i="7"/>
  <c r="R50" i="7"/>
  <c r="Q50" i="7"/>
  <c r="R33" i="7"/>
  <c r="Q33" i="7"/>
  <c r="R32" i="7"/>
  <c r="Q32" i="7"/>
  <c r="R17" i="7"/>
  <c r="Q17" i="7"/>
  <c r="R16" i="7"/>
  <c r="Q16" i="7"/>
  <c r="R71" i="7" l="1"/>
  <c r="Q71" i="7"/>
  <c r="R70" i="7"/>
  <c r="Q70" i="7"/>
  <c r="D31" i="23438"/>
  <c r="C31" i="23438"/>
  <c r="F28" i="23438"/>
  <c r="B182" i="23427"/>
  <c r="A182" i="23427"/>
  <c r="B181" i="23427"/>
  <c r="A181" i="23427"/>
  <c r="B180" i="23427"/>
  <c r="A180" i="23427"/>
  <c r="B179" i="23427"/>
  <c r="A179" i="23427"/>
  <c r="B178" i="23427"/>
  <c r="A178" i="23427"/>
  <c r="B177" i="23427"/>
  <c r="A177" i="23427"/>
  <c r="B176" i="23427"/>
  <c r="A176" i="23427"/>
  <c r="B175" i="23427"/>
  <c r="A175" i="23427"/>
  <c r="B174" i="23427"/>
  <c r="A174" i="23427"/>
  <c r="B173" i="23427"/>
  <c r="A173" i="23427"/>
  <c r="B172" i="23427"/>
  <c r="A172" i="23427"/>
  <c r="B171" i="23427"/>
  <c r="A171" i="23427"/>
  <c r="B8" i="23424"/>
  <c r="R262" i="2"/>
  <c r="Q262" i="2"/>
  <c r="AQ262" i="2" s="1"/>
  <c r="O262" i="2"/>
  <c r="AP262" i="2" s="1"/>
  <c r="N262" i="2"/>
  <c r="AO262" i="2" s="1"/>
  <c r="M262" i="2"/>
  <c r="AN262" i="2" s="1"/>
  <c r="L262" i="2"/>
  <c r="AM262" i="2" s="1"/>
  <c r="K262" i="2"/>
  <c r="AL262" i="2" s="1"/>
  <c r="J262" i="2"/>
  <c r="AK262" i="2" s="1"/>
  <c r="I262" i="2"/>
  <c r="AJ262" i="2" s="1"/>
  <c r="H262" i="2"/>
  <c r="AI262" i="2" s="1"/>
  <c r="G262" i="2"/>
  <c r="AH262" i="2" s="1"/>
  <c r="F262" i="2"/>
  <c r="AG262" i="2" s="1"/>
  <c r="E262" i="2"/>
  <c r="AF262" i="2" s="1"/>
  <c r="D262" i="2"/>
  <c r="AE262" i="2" s="1"/>
  <c r="C262" i="2"/>
  <c r="B262" i="2"/>
  <c r="R261" i="2"/>
  <c r="Q261" i="2"/>
  <c r="AQ261" i="2" s="1"/>
  <c r="O261" i="2"/>
  <c r="AP261" i="2" s="1"/>
  <c r="N261" i="2"/>
  <c r="AO261" i="2" s="1"/>
  <c r="M261" i="2"/>
  <c r="AN261" i="2" s="1"/>
  <c r="L261" i="2"/>
  <c r="AM261" i="2" s="1"/>
  <c r="K261" i="2"/>
  <c r="AL261" i="2" s="1"/>
  <c r="J261" i="2"/>
  <c r="AK261" i="2" s="1"/>
  <c r="I261" i="2"/>
  <c r="AJ261" i="2" s="1"/>
  <c r="H261" i="2"/>
  <c r="AI261" i="2" s="1"/>
  <c r="G261" i="2"/>
  <c r="AH261" i="2" s="1"/>
  <c r="F261" i="2"/>
  <c r="AG261" i="2" s="1"/>
  <c r="E261" i="2"/>
  <c r="AF261" i="2" s="1"/>
  <c r="D261" i="2"/>
  <c r="AE261" i="2" s="1"/>
  <c r="C261" i="2"/>
  <c r="B261" i="2"/>
  <c r="R260" i="2"/>
  <c r="Q260" i="2"/>
  <c r="AQ260" i="2" s="1"/>
  <c r="O260" i="2"/>
  <c r="AP260" i="2" s="1"/>
  <c r="N260" i="2"/>
  <c r="AO260" i="2" s="1"/>
  <c r="M260" i="2"/>
  <c r="AN260" i="2" s="1"/>
  <c r="L260" i="2"/>
  <c r="AM260" i="2" s="1"/>
  <c r="K260" i="2"/>
  <c r="AL260" i="2" s="1"/>
  <c r="J260" i="2"/>
  <c r="AK260" i="2" s="1"/>
  <c r="I260" i="2"/>
  <c r="AJ260" i="2" s="1"/>
  <c r="H260" i="2"/>
  <c r="AI260" i="2" s="1"/>
  <c r="G260" i="2"/>
  <c r="AH260" i="2" s="1"/>
  <c r="F260" i="2"/>
  <c r="AG260" i="2" s="1"/>
  <c r="E260" i="2"/>
  <c r="AF260" i="2" s="1"/>
  <c r="D260" i="2"/>
  <c r="AE260" i="2" s="1"/>
  <c r="C260" i="2"/>
  <c r="B260" i="2"/>
  <c r="R259" i="2"/>
  <c r="Q259" i="2"/>
  <c r="AQ259" i="2" s="1"/>
  <c r="O259" i="2"/>
  <c r="AP259" i="2" s="1"/>
  <c r="N259" i="2"/>
  <c r="AO259" i="2" s="1"/>
  <c r="M259" i="2"/>
  <c r="AN259" i="2" s="1"/>
  <c r="L259" i="2"/>
  <c r="AM259" i="2" s="1"/>
  <c r="K259" i="2"/>
  <c r="AL259" i="2" s="1"/>
  <c r="J259" i="2"/>
  <c r="AK259" i="2" s="1"/>
  <c r="I259" i="2"/>
  <c r="AJ259" i="2" s="1"/>
  <c r="H259" i="2"/>
  <c r="AI259" i="2" s="1"/>
  <c r="G259" i="2"/>
  <c r="AH259" i="2" s="1"/>
  <c r="F259" i="2"/>
  <c r="AG259" i="2" s="1"/>
  <c r="E259" i="2"/>
  <c r="AF259" i="2" s="1"/>
  <c r="D259" i="2"/>
  <c r="AE259" i="2" s="1"/>
  <c r="C259" i="2"/>
  <c r="B259" i="2"/>
  <c r="R258" i="2"/>
  <c r="Q258" i="2"/>
  <c r="AQ258" i="2" s="1"/>
  <c r="O258" i="2"/>
  <c r="AP258" i="2" s="1"/>
  <c r="N258" i="2"/>
  <c r="AO258" i="2" s="1"/>
  <c r="M258" i="2"/>
  <c r="AN258" i="2" s="1"/>
  <c r="L258" i="2"/>
  <c r="AM258" i="2" s="1"/>
  <c r="K258" i="2"/>
  <c r="AL258" i="2" s="1"/>
  <c r="J258" i="2"/>
  <c r="AK258" i="2" s="1"/>
  <c r="I258" i="2"/>
  <c r="AJ258" i="2" s="1"/>
  <c r="H258" i="2"/>
  <c r="AI258" i="2" s="1"/>
  <c r="G258" i="2"/>
  <c r="AH258" i="2" s="1"/>
  <c r="F258" i="2"/>
  <c r="AG258" i="2" s="1"/>
  <c r="E258" i="2"/>
  <c r="AF258" i="2" s="1"/>
  <c r="D258" i="2"/>
  <c r="AE258" i="2" s="1"/>
  <c r="C258" i="2"/>
  <c r="B258" i="2"/>
  <c r="R257" i="2"/>
  <c r="Q257" i="2"/>
  <c r="AQ257" i="2" s="1"/>
  <c r="O257" i="2"/>
  <c r="AP257" i="2" s="1"/>
  <c r="N257" i="2"/>
  <c r="AO257" i="2" s="1"/>
  <c r="M257" i="2"/>
  <c r="AN257" i="2" s="1"/>
  <c r="L257" i="2"/>
  <c r="AM257" i="2" s="1"/>
  <c r="K257" i="2"/>
  <c r="AL257" i="2" s="1"/>
  <c r="J257" i="2"/>
  <c r="AK257" i="2" s="1"/>
  <c r="I257" i="2"/>
  <c r="AJ257" i="2" s="1"/>
  <c r="H257" i="2"/>
  <c r="AI257" i="2" s="1"/>
  <c r="G257" i="2"/>
  <c r="AH257" i="2" s="1"/>
  <c r="F257" i="2"/>
  <c r="AG257" i="2" s="1"/>
  <c r="E257" i="2"/>
  <c r="AF257" i="2" s="1"/>
  <c r="D257" i="2"/>
  <c r="AE257" i="2" s="1"/>
  <c r="C257" i="2"/>
  <c r="B257" i="2"/>
  <c r="R256" i="2"/>
  <c r="Q256" i="2"/>
  <c r="AQ256" i="2" s="1"/>
  <c r="O256" i="2"/>
  <c r="AP256" i="2" s="1"/>
  <c r="N256" i="2"/>
  <c r="AO256" i="2" s="1"/>
  <c r="M256" i="2"/>
  <c r="AN256" i="2" s="1"/>
  <c r="L256" i="2"/>
  <c r="AM256" i="2" s="1"/>
  <c r="K256" i="2"/>
  <c r="AL256" i="2" s="1"/>
  <c r="J256" i="2"/>
  <c r="AK256" i="2" s="1"/>
  <c r="I256" i="2"/>
  <c r="AJ256" i="2" s="1"/>
  <c r="H256" i="2"/>
  <c r="AI256" i="2" s="1"/>
  <c r="G256" i="2"/>
  <c r="AH256" i="2" s="1"/>
  <c r="F256" i="2"/>
  <c r="AG256" i="2" s="1"/>
  <c r="E256" i="2"/>
  <c r="AF256" i="2" s="1"/>
  <c r="D256" i="2"/>
  <c r="AE256" i="2" s="1"/>
  <c r="C256" i="2"/>
  <c r="B256" i="2"/>
  <c r="R255" i="2"/>
  <c r="Q255" i="2"/>
  <c r="AQ255" i="2" s="1"/>
  <c r="O255" i="2"/>
  <c r="AP255" i="2" s="1"/>
  <c r="N255" i="2"/>
  <c r="AO255" i="2" s="1"/>
  <c r="M255" i="2"/>
  <c r="AN255" i="2" s="1"/>
  <c r="L255" i="2"/>
  <c r="AM255" i="2" s="1"/>
  <c r="K255" i="2"/>
  <c r="AL255" i="2" s="1"/>
  <c r="J255" i="2"/>
  <c r="AK255" i="2" s="1"/>
  <c r="I255" i="2"/>
  <c r="AJ255" i="2" s="1"/>
  <c r="H255" i="2"/>
  <c r="AI255" i="2" s="1"/>
  <c r="G255" i="2"/>
  <c r="AH255" i="2" s="1"/>
  <c r="F255" i="2"/>
  <c r="AG255" i="2" s="1"/>
  <c r="E255" i="2"/>
  <c r="AF255" i="2" s="1"/>
  <c r="D255" i="2"/>
  <c r="AE255" i="2" s="1"/>
  <c r="C255" i="2"/>
  <c r="B255" i="2"/>
  <c r="R254" i="2"/>
  <c r="Q254" i="2"/>
  <c r="AQ254" i="2" s="1"/>
  <c r="O254" i="2"/>
  <c r="AP254" i="2" s="1"/>
  <c r="N254" i="2"/>
  <c r="AO254" i="2" s="1"/>
  <c r="M254" i="2"/>
  <c r="AN254" i="2" s="1"/>
  <c r="L254" i="2"/>
  <c r="AM254" i="2" s="1"/>
  <c r="K254" i="2"/>
  <c r="AL254" i="2" s="1"/>
  <c r="J254" i="2"/>
  <c r="AK254" i="2" s="1"/>
  <c r="I254" i="2"/>
  <c r="AJ254" i="2" s="1"/>
  <c r="H254" i="2"/>
  <c r="AI254" i="2" s="1"/>
  <c r="G254" i="2"/>
  <c r="AH254" i="2" s="1"/>
  <c r="F254" i="2"/>
  <c r="AG254" i="2" s="1"/>
  <c r="E254" i="2"/>
  <c r="AF254" i="2" s="1"/>
  <c r="D254" i="2"/>
  <c r="AE254" i="2" s="1"/>
  <c r="C254" i="2"/>
  <c r="B254" i="2"/>
  <c r="R253" i="2"/>
  <c r="Q253" i="2"/>
  <c r="AQ253" i="2" s="1"/>
  <c r="O253" i="2"/>
  <c r="AP253" i="2" s="1"/>
  <c r="N253" i="2"/>
  <c r="AO253" i="2" s="1"/>
  <c r="M253" i="2"/>
  <c r="AN253" i="2" s="1"/>
  <c r="L253" i="2"/>
  <c r="AM253" i="2" s="1"/>
  <c r="K253" i="2"/>
  <c r="AL253" i="2" s="1"/>
  <c r="J253" i="2"/>
  <c r="AK253" i="2" s="1"/>
  <c r="I253" i="2"/>
  <c r="AJ253" i="2" s="1"/>
  <c r="H253" i="2"/>
  <c r="AI253" i="2" s="1"/>
  <c r="G253" i="2"/>
  <c r="AH253" i="2" s="1"/>
  <c r="F253" i="2"/>
  <c r="AG253" i="2" s="1"/>
  <c r="E253" i="2"/>
  <c r="AF253" i="2" s="1"/>
  <c r="D253" i="2"/>
  <c r="AE253" i="2" s="1"/>
  <c r="C253" i="2"/>
  <c r="B253" i="2"/>
  <c r="R252" i="2"/>
  <c r="Q252" i="2"/>
  <c r="AQ252" i="2" s="1"/>
  <c r="O252" i="2"/>
  <c r="AP252" i="2" s="1"/>
  <c r="N252" i="2"/>
  <c r="AO252" i="2" s="1"/>
  <c r="M252" i="2"/>
  <c r="AN252" i="2" s="1"/>
  <c r="L252" i="2"/>
  <c r="AM252" i="2" s="1"/>
  <c r="K252" i="2"/>
  <c r="AL252" i="2" s="1"/>
  <c r="J252" i="2"/>
  <c r="AK252" i="2" s="1"/>
  <c r="I252" i="2"/>
  <c r="AJ252" i="2" s="1"/>
  <c r="H252" i="2"/>
  <c r="AI252" i="2" s="1"/>
  <c r="G252" i="2"/>
  <c r="AH252" i="2" s="1"/>
  <c r="F252" i="2"/>
  <c r="AG252" i="2" s="1"/>
  <c r="E252" i="2"/>
  <c r="AF252" i="2" s="1"/>
  <c r="D252" i="2"/>
  <c r="AE252" i="2" s="1"/>
  <c r="C252" i="2"/>
  <c r="B252" i="2"/>
  <c r="R251" i="2"/>
  <c r="Q251" i="2"/>
  <c r="AQ251" i="2" s="1"/>
  <c r="O251" i="2"/>
  <c r="AP251" i="2" s="1"/>
  <c r="N251" i="2"/>
  <c r="AO251" i="2" s="1"/>
  <c r="M251" i="2"/>
  <c r="AN251" i="2" s="1"/>
  <c r="L251" i="2"/>
  <c r="AM251" i="2" s="1"/>
  <c r="K251" i="2"/>
  <c r="AL251" i="2" s="1"/>
  <c r="J251" i="2"/>
  <c r="AK251" i="2" s="1"/>
  <c r="I251" i="2"/>
  <c r="AJ251" i="2" s="1"/>
  <c r="H251" i="2"/>
  <c r="AI251" i="2" s="1"/>
  <c r="G251" i="2"/>
  <c r="AH251" i="2" s="1"/>
  <c r="F251" i="2"/>
  <c r="AG251" i="2" s="1"/>
  <c r="E251" i="2"/>
  <c r="AF251" i="2" s="1"/>
  <c r="D251" i="2"/>
  <c r="AE251" i="2" s="1"/>
  <c r="C251" i="2"/>
  <c r="B251" i="2"/>
  <c r="AK265" i="2"/>
  <c r="AK264" i="2"/>
  <c r="AK263" i="2"/>
  <c r="R206" i="7"/>
  <c r="Q206" i="7"/>
  <c r="O206" i="7"/>
  <c r="N206" i="7"/>
  <c r="M206" i="7"/>
  <c r="L206" i="7"/>
  <c r="K206" i="7"/>
  <c r="J206" i="7"/>
  <c r="I206" i="7"/>
  <c r="H206" i="7"/>
  <c r="G206" i="7"/>
  <c r="F206" i="7"/>
  <c r="E206" i="7"/>
  <c r="X73" i="23438" s="1"/>
  <c r="D206" i="7"/>
  <c r="W73" i="23438" s="1"/>
  <c r="C206" i="7"/>
  <c r="Z70" i="23438" s="1"/>
  <c r="R194" i="7"/>
  <c r="Q194" i="7"/>
  <c r="O194" i="7"/>
  <c r="N194" i="7"/>
  <c r="M194" i="7"/>
  <c r="L194" i="7"/>
  <c r="K194" i="7"/>
  <c r="J194" i="7"/>
  <c r="I194" i="7"/>
  <c r="H194" i="7"/>
  <c r="G194" i="7"/>
  <c r="E194" i="7"/>
  <c r="N73" i="23438" s="1"/>
  <c r="D194" i="7"/>
  <c r="M73" i="23438" s="1"/>
  <c r="C194" i="7"/>
  <c r="P70" i="23438" s="1"/>
  <c r="R172" i="7"/>
  <c r="Q172" i="7"/>
  <c r="O172" i="7"/>
  <c r="N172" i="7"/>
  <c r="M172" i="7"/>
  <c r="L172" i="7"/>
  <c r="K172" i="7"/>
  <c r="J172" i="7"/>
  <c r="I172" i="7"/>
  <c r="H172" i="7"/>
  <c r="G172" i="7"/>
  <c r="E172" i="7"/>
  <c r="D73" i="23438" s="1"/>
  <c r="D172" i="7"/>
  <c r="C73" i="23438" s="1"/>
  <c r="C172" i="7"/>
  <c r="F70" i="23438" s="1"/>
  <c r="R160" i="7"/>
  <c r="Q160" i="7"/>
  <c r="O160" i="7"/>
  <c r="N160" i="7"/>
  <c r="M160" i="7"/>
  <c r="L160" i="7"/>
  <c r="K160" i="7"/>
  <c r="J160" i="7"/>
  <c r="I160" i="7"/>
  <c r="H160" i="7"/>
  <c r="G160" i="7"/>
  <c r="E160" i="7"/>
  <c r="X52" i="23438" s="1"/>
  <c r="D160" i="7"/>
  <c r="W52" i="23438" s="1"/>
  <c r="C160" i="7"/>
  <c r="Z49" i="23438" s="1"/>
  <c r="R138" i="7"/>
  <c r="Q138" i="7"/>
  <c r="N52" i="23438"/>
  <c r="M52" i="23438"/>
  <c r="P49" i="23438"/>
  <c r="R126" i="7"/>
  <c r="Q126" i="7"/>
  <c r="D52" i="23438"/>
  <c r="C52" i="23438"/>
  <c r="F49" i="23438"/>
  <c r="R104" i="7"/>
  <c r="Q104" i="7"/>
  <c r="X31" i="23438"/>
  <c r="W31" i="23438"/>
  <c r="Z28" i="23438"/>
  <c r="R92" i="7"/>
  <c r="Q92" i="7"/>
  <c r="N31" i="23438"/>
  <c r="M31" i="23438"/>
  <c r="P28" i="23438"/>
  <c r="R58" i="7"/>
  <c r="Q58" i="7"/>
  <c r="X10" i="23438"/>
  <c r="W10" i="23438"/>
  <c r="Z7" i="23438"/>
  <c r="R36" i="7"/>
  <c r="Q36" i="7"/>
  <c r="N10" i="23438"/>
  <c r="M10" i="23438"/>
  <c r="P7" i="23438"/>
  <c r="R24" i="7"/>
  <c r="Q24" i="7"/>
  <c r="D10" i="23438"/>
  <c r="C10" i="23438"/>
  <c r="F7" i="23438"/>
  <c r="F198" i="23419"/>
  <c r="F194" i="7" s="1"/>
  <c r="F176" i="23419"/>
  <c r="F172" i="7" s="1"/>
  <c r="F164" i="23419"/>
  <c r="F160" i="7" s="1"/>
  <c r="F142" i="23419"/>
  <c r="F108" i="23419"/>
  <c r="F96" i="23419"/>
  <c r="F62" i="23419"/>
  <c r="F40" i="23419"/>
  <c r="R1680" i="23422"/>
  <c r="Q1680" i="23422"/>
  <c r="R1679" i="23422"/>
  <c r="Q1679" i="23422"/>
  <c r="R1678" i="23422"/>
  <c r="Q1678" i="23422"/>
  <c r="R1677" i="23422"/>
  <c r="Q1677" i="23422"/>
  <c r="R1676" i="23422"/>
  <c r="Q1676" i="23422"/>
  <c r="R1675" i="23422"/>
  <c r="Q1675" i="23422"/>
  <c r="R1674" i="23422"/>
  <c r="Q1674" i="23422"/>
  <c r="R1673" i="23422"/>
  <c r="Q1673" i="23422"/>
  <c r="R1672" i="23422"/>
  <c r="Q1672" i="23422"/>
  <c r="R1671" i="23422"/>
  <c r="Q1671" i="23422"/>
  <c r="R1670" i="23422"/>
  <c r="Q1670" i="23422"/>
  <c r="R1669" i="23422"/>
  <c r="Q1669" i="23422"/>
  <c r="R1668" i="23422"/>
  <c r="Q1668" i="23422"/>
  <c r="R1667" i="23422"/>
  <c r="Q1667" i="23422"/>
  <c r="R1666" i="23422"/>
  <c r="Q1666" i="23422"/>
  <c r="R1665" i="23422"/>
  <c r="Q1665" i="23422"/>
  <c r="R1664" i="23422"/>
  <c r="Q1664" i="23422"/>
  <c r="R1663" i="23422"/>
  <c r="Q1663" i="23422"/>
  <c r="R1662" i="23422"/>
  <c r="Q1662" i="23422"/>
  <c r="R1661" i="23422"/>
  <c r="Q1661" i="23422"/>
  <c r="R1660" i="23422"/>
  <c r="Q1660" i="23422"/>
  <c r="R1659" i="23422"/>
  <c r="Q1659" i="23422"/>
  <c r="R1658" i="23422"/>
  <c r="Q1658" i="23422"/>
  <c r="R1657" i="23422"/>
  <c r="Q1657" i="23422"/>
  <c r="R1656" i="23422"/>
  <c r="Q1656" i="23422"/>
  <c r="R1655" i="23422"/>
  <c r="Q1655" i="23422"/>
  <c r="R1654" i="23422"/>
  <c r="Q1654" i="23422"/>
  <c r="R1653" i="23422"/>
  <c r="Q1653" i="23422"/>
  <c r="R1652" i="23422"/>
  <c r="Q1652" i="23422"/>
  <c r="R1651" i="23422"/>
  <c r="Q1651" i="23422"/>
  <c r="R1650" i="23422"/>
  <c r="Q1650" i="23422"/>
  <c r="R1649" i="23422"/>
  <c r="Q1649" i="23422"/>
  <c r="R1648" i="23422"/>
  <c r="Q1648" i="23422"/>
  <c r="R1647" i="23422"/>
  <c r="Q1647" i="23422"/>
  <c r="R1646" i="23422"/>
  <c r="Q1646" i="23422"/>
  <c r="R1645" i="23422"/>
  <c r="Q1645" i="23422"/>
  <c r="R1644" i="23422"/>
  <c r="Q1644" i="23422"/>
  <c r="R1643" i="23422"/>
  <c r="Q1643" i="23422"/>
  <c r="R1642" i="23422"/>
  <c r="Q1642" i="23422"/>
  <c r="R1641" i="23422"/>
  <c r="Q1641" i="23422"/>
  <c r="R1640" i="23422"/>
  <c r="Q1640" i="23422"/>
  <c r="R1639" i="23422"/>
  <c r="Q1639" i="23422"/>
  <c r="R1638" i="23422"/>
  <c r="Q1638" i="23422"/>
  <c r="R1637" i="23422"/>
  <c r="Q1637" i="23422"/>
  <c r="R1636" i="23422"/>
  <c r="Q1636" i="23422"/>
  <c r="R1635" i="23422"/>
  <c r="Q1635" i="23422"/>
  <c r="R1634" i="23422"/>
  <c r="Q1634" i="23422"/>
  <c r="R1633" i="23422"/>
  <c r="Q1633" i="23422"/>
  <c r="R1632" i="23422"/>
  <c r="Q1632" i="23422"/>
  <c r="R1631" i="23422"/>
  <c r="Q1631" i="23422"/>
  <c r="R1630" i="23422"/>
  <c r="Q1630" i="23422"/>
  <c r="R1629" i="23422"/>
  <c r="Q1629" i="23422"/>
  <c r="R1628" i="23422"/>
  <c r="Q1628" i="23422"/>
  <c r="R1627" i="23422"/>
  <c r="Q1627" i="23422"/>
  <c r="R1626" i="23422"/>
  <c r="Q1626" i="23422"/>
  <c r="R1625" i="23422"/>
  <c r="Q1625" i="23422"/>
  <c r="R1624" i="23422"/>
  <c r="Q1624" i="23422"/>
  <c r="R1623" i="23422"/>
  <c r="Q1623" i="23422"/>
  <c r="R1622" i="23422"/>
  <c r="Q1622" i="23422"/>
  <c r="R1621" i="23422"/>
  <c r="Q1621" i="23422"/>
  <c r="R1620" i="23422"/>
  <c r="Q1620" i="23422"/>
  <c r="R1619" i="23422"/>
  <c r="Q1619" i="23422"/>
  <c r="R1618" i="23422"/>
  <c r="Q1618" i="23422"/>
  <c r="R1617" i="23422"/>
  <c r="Q1617" i="23422"/>
  <c r="R1616" i="23422"/>
  <c r="Q1616" i="23422"/>
  <c r="R1615" i="23422"/>
  <c r="Q1615" i="23422"/>
  <c r="R1614" i="23422"/>
  <c r="Q1614" i="23422"/>
  <c r="R1613" i="23422"/>
  <c r="Q1613" i="23422"/>
  <c r="R1612" i="23422"/>
  <c r="Q1612" i="23422"/>
  <c r="R1611" i="23422"/>
  <c r="Q1611" i="23422"/>
  <c r="R1610" i="23422"/>
  <c r="Q1610" i="23422"/>
  <c r="R1609" i="23422"/>
  <c r="Q1609" i="23422"/>
  <c r="R1608" i="23422"/>
  <c r="Q1608" i="23422"/>
  <c r="R1607" i="23422"/>
  <c r="Q1607" i="23422"/>
  <c r="R1606" i="23422"/>
  <c r="Q1606" i="23422"/>
  <c r="R1605" i="23422"/>
  <c r="Q1605" i="23422"/>
  <c r="R1604" i="23422"/>
  <c r="Q1604" i="23422"/>
  <c r="R1603" i="23422"/>
  <c r="Q1603" i="23422"/>
  <c r="R1602" i="23422"/>
  <c r="Q1602" i="23422"/>
  <c r="R1601" i="23422"/>
  <c r="Q1601" i="23422"/>
  <c r="R1600" i="23422"/>
  <c r="Q1600" i="23422"/>
  <c r="R1599" i="23422"/>
  <c r="Q1599" i="23422"/>
  <c r="R1598" i="23422"/>
  <c r="Q1598" i="23422"/>
  <c r="R1597" i="23422"/>
  <c r="Q1597" i="23422"/>
  <c r="R1596" i="23422"/>
  <c r="Q1596" i="23422"/>
  <c r="R1595" i="23422"/>
  <c r="Q1595" i="23422"/>
  <c r="R1594" i="23422"/>
  <c r="Q1594" i="23422"/>
  <c r="R1593" i="23422"/>
  <c r="Q1593" i="23422"/>
  <c r="R1592" i="23422"/>
  <c r="Q1592" i="23422"/>
  <c r="R1591" i="23422"/>
  <c r="Q1591" i="23422"/>
  <c r="R1590" i="23422"/>
  <c r="Q1590" i="23422"/>
  <c r="R1589" i="23422"/>
  <c r="Q1589" i="23422"/>
  <c r="R1588" i="23422"/>
  <c r="Q1588" i="23422"/>
  <c r="R1587" i="23422"/>
  <c r="Q1587" i="23422"/>
  <c r="R1586" i="23422"/>
  <c r="Q1586" i="23422"/>
  <c r="R1585" i="23422"/>
  <c r="Q1585" i="23422"/>
  <c r="R1584" i="23422"/>
  <c r="Q1584" i="23422"/>
  <c r="R1583" i="23422"/>
  <c r="Q1583" i="23422"/>
  <c r="R1582" i="23422"/>
  <c r="Q1582" i="23422"/>
  <c r="R1581" i="23422"/>
  <c r="Q1581" i="23422"/>
  <c r="R1580" i="23422"/>
  <c r="Q1580" i="23422"/>
  <c r="R1579" i="23422"/>
  <c r="Q1579" i="23422"/>
  <c r="R1578" i="23422"/>
  <c r="Q1578" i="23422"/>
  <c r="R1577" i="23422"/>
  <c r="Q1577" i="23422"/>
  <c r="R1576" i="23422"/>
  <c r="Q1576" i="23422"/>
  <c r="R1575" i="23422"/>
  <c r="Q1575" i="23422"/>
  <c r="R1574" i="23422"/>
  <c r="Q1574" i="23422"/>
  <c r="R1573" i="23422"/>
  <c r="Q1573" i="23422"/>
  <c r="R1572" i="23422"/>
  <c r="Q1572" i="23422"/>
  <c r="R1571" i="23422"/>
  <c r="Q1571" i="23422"/>
  <c r="R1570" i="23422"/>
  <c r="Q1570" i="23422"/>
  <c r="R1569" i="23422"/>
  <c r="Q1569" i="23422"/>
  <c r="R1568" i="23422"/>
  <c r="Q1568" i="23422"/>
  <c r="R1567" i="23422"/>
  <c r="Q1567" i="23422"/>
  <c r="R1566" i="23422"/>
  <c r="Q1566" i="23422"/>
  <c r="R1565" i="23422"/>
  <c r="Q1565" i="23422"/>
  <c r="R1564" i="23422"/>
  <c r="Q1564" i="23422"/>
  <c r="R1563" i="23422"/>
  <c r="Q1563" i="23422"/>
  <c r="R1562" i="23422"/>
  <c r="Q1562" i="23422"/>
  <c r="R1561" i="23422"/>
  <c r="Q1561" i="23422"/>
  <c r="R1560" i="23422"/>
  <c r="Q1560" i="23422"/>
  <c r="R1559" i="23422"/>
  <c r="Q1559" i="23422"/>
  <c r="R1558" i="23422"/>
  <c r="Q1558" i="23422"/>
  <c r="R1557" i="23422"/>
  <c r="Q1557" i="23422"/>
  <c r="R1556" i="23422"/>
  <c r="Q1556" i="23422"/>
  <c r="R1555" i="23422"/>
  <c r="Q1555" i="23422"/>
  <c r="R1554" i="23422"/>
  <c r="Q1554" i="23422"/>
  <c r="R1553" i="23422"/>
  <c r="Q1553" i="23422"/>
  <c r="R1552" i="23422"/>
  <c r="Q1552" i="23422"/>
  <c r="R1551" i="23422"/>
  <c r="Q1551" i="23422"/>
  <c r="R1550" i="23422"/>
  <c r="Q1550" i="23422"/>
  <c r="R1549" i="23422"/>
  <c r="Q1549" i="23422"/>
  <c r="R1548" i="23422"/>
  <c r="Q1548" i="23422"/>
  <c r="R1547" i="23422"/>
  <c r="Q1547" i="23422"/>
  <c r="R1546" i="23422"/>
  <c r="Q1546" i="23422"/>
  <c r="R1545" i="23422"/>
  <c r="Q1545" i="23422"/>
  <c r="R1544" i="23422"/>
  <c r="Q1544" i="23422"/>
  <c r="R1543" i="23422"/>
  <c r="Q1543" i="23422"/>
  <c r="R1542" i="23422"/>
  <c r="Q1542" i="23422"/>
  <c r="R1541" i="23422"/>
  <c r="Q1541" i="23422"/>
  <c r="R1540" i="23422"/>
  <c r="Q1540" i="23422"/>
  <c r="R1539" i="23422"/>
  <c r="Q1539" i="23422"/>
  <c r="R1538" i="23422"/>
  <c r="Q1538" i="23422"/>
  <c r="R1537" i="23422"/>
  <c r="Q1537" i="23422"/>
  <c r="R1536" i="23422"/>
  <c r="Q1536" i="23422"/>
  <c r="R1535" i="23422"/>
  <c r="Q1535" i="23422"/>
  <c r="R1534" i="23422"/>
  <c r="Q1534" i="23422"/>
  <c r="R1533" i="23422"/>
  <c r="Q1533" i="23422"/>
  <c r="R1532" i="23422"/>
  <c r="Q1532" i="23422"/>
  <c r="R1531" i="23422"/>
  <c r="Q1531" i="23422"/>
  <c r="R1530" i="23422"/>
  <c r="Q1530" i="23422"/>
  <c r="R1529" i="23422"/>
  <c r="Q1529" i="23422"/>
  <c r="R1528" i="23422"/>
  <c r="Q1528" i="23422"/>
  <c r="R1527" i="23422"/>
  <c r="Q1527" i="23422"/>
  <c r="R1526" i="23422"/>
  <c r="Q1526" i="23422"/>
  <c r="R1525" i="23422"/>
  <c r="Q1525" i="23422"/>
  <c r="R1524" i="23422"/>
  <c r="Q1524" i="23422"/>
  <c r="R1523" i="23422"/>
  <c r="Q1523" i="23422"/>
  <c r="R1522" i="23422"/>
  <c r="Q1522" i="23422"/>
  <c r="R1521" i="23422"/>
  <c r="Q1521" i="23422"/>
  <c r="R1520" i="23422"/>
  <c r="Q1520" i="23422"/>
  <c r="R1519" i="23422"/>
  <c r="Q1519" i="23422"/>
  <c r="R1518" i="23422"/>
  <c r="Q1518" i="23422"/>
  <c r="R1517" i="23422"/>
  <c r="Q1517" i="23422"/>
  <c r="R1516" i="23422"/>
  <c r="Q1516" i="23422"/>
  <c r="R1515" i="23422"/>
  <c r="Q1515" i="23422"/>
  <c r="R1514" i="23422"/>
  <c r="Q1514" i="23422"/>
  <c r="R1513" i="23422"/>
  <c r="Q1513" i="23422"/>
  <c r="R1512" i="23422"/>
  <c r="Q1512" i="23422"/>
  <c r="R1511" i="23422"/>
  <c r="Q1511" i="23422"/>
  <c r="R1510" i="23422"/>
  <c r="Q1510" i="23422"/>
  <c r="R1509" i="23422"/>
  <c r="Q1509" i="23422"/>
  <c r="R1508" i="23422"/>
  <c r="Q1508" i="23422"/>
  <c r="R1507" i="23422"/>
  <c r="Q1507" i="23422"/>
  <c r="R1506" i="23422"/>
  <c r="Q1506" i="23422"/>
  <c r="R1505" i="23422"/>
  <c r="Q1505" i="23422"/>
  <c r="R1504" i="23422"/>
  <c r="Q1504" i="23422"/>
  <c r="R1503" i="23422"/>
  <c r="Q1503" i="23422"/>
  <c r="R1502" i="23422"/>
  <c r="Q1502" i="23422"/>
  <c r="R1501" i="23422"/>
  <c r="Q1501" i="23422"/>
  <c r="R1500" i="23422"/>
  <c r="Q1500" i="23422"/>
  <c r="R1499" i="23422"/>
  <c r="Q1499" i="23422"/>
  <c r="R1498" i="23422"/>
  <c r="Q1498" i="23422"/>
  <c r="R1497" i="23422"/>
  <c r="Q1497" i="23422"/>
  <c r="R1496" i="23422"/>
  <c r="Q1496" i="23422"/>
  <c r="R1495" i="23422"/>
  <c r="Q1495" i="23422"/>
  <c r="R1494" i="23422"/>
  <c r="Q1494" i="23422"/>
  <c r="R1493" i="23422"/>
  <c r="Q1493" i="23422"/>
  <c r="R1492" i="23422"/>
  <c r="Q1492" i="23422"/>
  <c r="R1491" i="23422"/>
  <c r="Q1491" i="23422"/>
  <c r="R1490" i="23422"/>
  <c r="Q1490" i="23422"/>
  <c r="R1489" i="23422"/>
  <c r="Q1489" i="23422"/>
  <c r="R1488" i="23422"/>
  <c r="Q1488" i="23422"/>
  <c r="R1487" i="23422"/>
  <c r="Q1487" i="23422"/>
  <c r="R1486" i="23422"/>
  <c r="Q1486" i="23422"/>
  <c r="R1485" i="23422"/>
  <c r="Q1485" i="23422"/>
  <c r="R1484" i="23422"/>
  <c r="Q1484" i="23422"/>
  <c r="R1483" i="23422"/>
  <c r="Q1483" i="23422"/>
  <c r="R1482" i="23422"/>
  <c r="Q1482" i="23422"/>
  <c r="R1481" i="23422"/>
  <c r="Q1481" i="23422"/>
  <c r="R1480" i="23422"/>
  <c r="Q1480" i="23422"/>
  <c r="R1479" i="23422"/>
  <c r="Q1479" i="23422"/>
  <c r="R1478" i="23422"/>
  <c r="Q1478" i="23422"/>
  <c r="R1477" i="23422"/>
  <c r="Q1477" i="23422"/>
  <c r="R1476" i="23422"/>
  <c r="Q1476" i="23422"/>
  <c r="R1475" i="23422"/>
  <c r="Q1475" i="23422"/>
  <c r="R1474" i="23422"/>
  <c r="Q1474" i="23422"/>
  <c r="R1473" i="23422"/>
  <c r="Q1473" i="23422"/>
  <c r="R1472" i="23422"/>
  <c r="Q1472" i="23422"/>
  <c r="R1471" i="23422"/>
  <c r="Q1471" i="23422"/>
  <c r="R1470" i="23422"/>
  <c r="Q1470" i="23422"/>
  <c r="R1469" i="23422"/>
  <c r="Q1469" i="23422"/>
  <c r="R1468" i="23422"/>
  <c r="Q1468" i="23422"/>
  <c r="R1467" i="23422"/>
  <c r="Q1467" i="23422"/>
  <c r="R1466" i="23422"/>
  <c r="Q1466" i="23422"/>
  <c r="R1465" i="23422"/>
  <c r="Q1465" i="23422"/>
  <c r="R1464" i="23422"/>
  <c r="Q1464" i="23422"/>
  <c r="R1463" i="23422"/>
  <c r="Q1463" i="23422"/>
  <c r="R1462" i="23422"/>
  <c r="Q1462" i="23422"/>
  <c r="R1461" i="23422"/>
  <c r="Q1461" i="23422"/>
  <c r="R1460" i="23422"/>
  <c r="Q1460" i="23422"/>
  <c r="R1459" i="23422"/>
  <c r="Q1459" i="23422"/>
  <c r="R1458" i="23422"/>
  <c r="Q1458" i="23422"/>
  <c r="R1457" i="23422"/>
  <c r="Q1457" i="23422"/>
  <c r="R1456" i="23422"/>
  <c r="Q1456" i="23422"/>
  <c r="R1455" i="23422"/>
  <c r="Q1455" i="23422"/>
  <c r="R1454" i="23422"/>
  <c r="Q1454" i="23422"/>
  <c r="R1453" i="23422"/>
  <c r="Q1453" i="23422"/>
  <c r="R1452" i="23422"/>
  <c r="Q1452" i="23422"/>
  <c r="R1451" i="23422"/>
  <c r="Q1451" i="23422"/>
  <c r="R1450" i="23422"/>
  <c r="Q1450" i="23422"/>
  <c r="R1449" i="23422"/>
  <c r="Q1449" i="23422"/>
  <c r="R1448" i="23422"/>
  <c r="Q1448" i="23422"/>
  <c r="R1447" i="23422"/>
  <c r="Q1447" i="23422"/>
  <c r="R1446" i="23422"/>
  <c r="Q1446" i="23422"/>
  <c r="R1445" i="23422"/>
  <c r="Q1445" i="23422"/>
  <c r="R1444" i="23422"/>
  <c r="Q1444" i="23422"/>
  <c r="R1443" i="23422"/>
  <c r="Q1443" i="23422"/>
  <c r="R1442" i="23422"/>
  <c r="Q1442" i="23422"/>
  <c r="R1441" i="23422"/>
  <c r="Q1441" i="23422"/>
  <c r="R1440" i="23422"/>
  <c r="Q1440" i="23422"/>
  <c r="R1439" i="23422"/>
  <c r="Q1439" i="23422"/>
  <c r="R1438" i="23422"/>
  <c r="Q1438" i="23422"/>
  <c r="R1437" i="23422"/>
  <c r="Q1437" i="23422"/>
  <c r="R1436" i="23422"/>
  <c r="Q1436" i="23422"/>
  <c r="R1435" i="23422"/>
  <c r="Q1435" i="23422"/>
  <c r="R1434" i="23422"/>
  <c r="Q1434" i="23422"/>
  <c r="R1433" i="23422"/>
  <c r="Q1433" i="23422"/>
  <c r="R1432" i="23422"/>
  <c r="Q1432" i="23422"/>
  <c r="R1431" i="23422"/>
  <c r="Q1431" i="23422"/>
  <c r="R1430" i="23422"/>
  <c r="Q1430" i="23422"/>
  <c r="R1429" i="23422"/>
  <c r="Q1429" i="23422"/>
  <c r="R1428" i="23422"/>
  <c r="Q1428" i="23422"/>
  <c r="R1427" i="23422"/>
  <c r="Q1427" i="23422"/>
  <c r="R1426" i="23422"/>
  <c r="Q1426" i="23422"/>
  <c r="R1425" i="23422"/>
  <c r="Q1425" i="23422"/>
  <c r="R1424" i="23422"/>
  <c r="Q1424" i="23422"/>
  <c r="R1423" i="23422"/>
  <c r="Q1423" i="23422"/>
  <c r="R1422" i="23422"/>
  <c r="Q1422" i="23422"/>
  <c r="R1421" i="23422"/>
  <c r="Q1421" i="23422"/>
  <c r="R1420" i="23422"/>
  <c r="Q1420" i="23422"/>
  <c r="R1419" i="23422"/>
  <c r="Q1419" i="23422"/>
  <c r="R1418" i="23422"/>
  <c r="Q1418" i="23422"/>
  <c r="R1417" i="23422"/>
  <c r="Q1417" i="23422"/>
  <c r="R1416" i="23422"/>
  <c r="Q1416" i="23422"/>
  <c r="R1415" i="23422"/>
  <c r="Q1415" i="23422"/>
  <c r="R1414" i="23422"/>
  <c r="Q1414" i="23422"/>
  <c r="R1413" i="23422"/>
  <c r="Q1413" i="23422"/>
  <c r="R1412" i="23422"/>
  <c r="Q1412" i="23422"/>
  <c r="R1411" i="23422"/>
  <c r="Q1411" i="23422"/>
  <c r="R1410" i="23422"/>
  <c r="Q1410" i="23422"/>
  <c r="R1409" i="23422"/>
  <c r="Q1409" i="23422"/>
  <c r="R1408" i="23422"/>
  <c r="Q1408" i="23422"/>
  <c r="R1407" i="23422"/>
  <c r="Q1407" i="23422"/>
  <c r="R1406" i="23422"/>
  <c r="Q1406" i="23422"/>
  <c r="R1405" i="23422"/>
  <c r="Q1405" i="23422"/>
  <c r="R1404" i="23422"/>
  <c r="Q1404" i="23422"/>
  <c r="R1403" i="23422"/>
  <c r="Q1403" i="23422"/>
  <c r="R1402" i="23422"/>
  <c r="Q1402" i="23422"/>
  <c r="R1401" i="23422"/>
  <c r="Q1401" i="23422"/>
  <c r="R1400" i="23422"/>
  <c r="Q1400" i="23422"/>
  <c r="R1399" i="23422"/>
  <c r="Q1399" i="23422"/>
  <c r="R1398" i="23422"/>
  <c r="Q1398" i="23422"/>
  <c r="R1397" i="23422"/>
  <c r="Q1397" i="23422"/>
  <c r="R1396" i="23422"/>
  <c r="Q1396" i="23422"/>
  <c r="R1395" i="23422"/>
  <c r="Q1395" i="23422"/>
  <c r="R1394" i="23422"/>
  <c r="Q1394" i="23422"/>
  <c r="R1393" i="23422"/>
  <c r="Q1393" i="23422"/>
  <c r="R1392" i="23422"/>
  <c r="Q1392" i="23422"/>
  <c r="R1391" i="23422"/>
  <c r="Q1391" i="23422"/>
  <c r="R1390" i="23422"/>
  <c r="Q1390" i="23422"/>
  <c r="R1389" i="23422"/>
  <c r="Q1389" i="23422"/>
  <c r="R1388" i="23422"/>
  <c r="Q1388" i="23422"/>
  <c r="R1387" i="23422"/>
  <c r="Q1387" i="23422"/>
  <c r="R1386" i="23422"/>
  <c r="Q1386" i="23422"/>
  <c r="R1385" i="23422"/>
  <c r="Q1385" i="23422"/>
  <c r="R1384" i="23422"/>
  <c r="Q1384" i="23422"/>
  <c r="R1383" i="23422"/>
  <c r="Q1383" i="23422"/>
  <c r="R1382" i="23422"/>
  <c r="Q1382" i="23422"/>
  <c r="R1381" i="23422"/>
  <c r="Q1381" i="23422"/>
  <c r="R1380" i="23422"/>
  <c r="Q1380" i="23422"/>
  <c r="R1379" i="23422"/>
  <c r="Q1379" i="23422"/>
  <c r="R1378" i="23422"/>
  <c r="Q1378" i="23422"/>
  <c r="R1377" i="23422"/>
  <c r="Q1377" i="23422"/>
  <c r="R1376" i="23422"/>
  <c r="Q1376" i="23422"/>
  <c r="R1375" i="23422"/>
  <c r="Q1375" i="23422"/>
  <c r="R1374" i="23422"/>
  <c r="Q1374" i="23422"/>
  <c r="R1373" i="23422"/>
  <c r="Q1373" i="23422"/>
  <c r="R1372" i="23422"/>
  <c r="Q1372" i="23422"/>
  <c r="R1371" i="23422"/>
  <c r="Q1371" i="23422"/>
  <c r="R1370" i="23422"/>
  <c r="Q1370" i="23422"/>
  <c r="R1369" i="23422"/>
  <c r="Q1369" i="23422"/>
  <c r="R1368" i="23422"/>
  <c r="Q1368" i="23422"/>
  <c r="R1367" i="23422"/>
  <c r="Q1367" i="23422"/>
  <c r="R1366" i="23422"/>
  <c r="Q1366" i="23422"/>
  <c r="R1365" i="23422"/>
  <c r="Q1365" i="23422"/>
  <c r="R1364" i="23422"/>
  <c r="Q1364" i="23422"/>
  <c r="R1363" i="23422"/>
  <c r="Q1363" i="23422"/>
  <c r="R1362" i="23422"/>
  <c r="Q1362" i="23422"/>
  <c r="R1361" i="23422"/>
  <c r="Q1361" i="23422"/>
  <c r="R1360" i="23422"/>
  <c r="Q1360" i="23422"/>
  <c r="R1359" i="23422"/>
  <c r="Q1359" i="23422"/>
  <c r="R1358" i="23422"/>
  <c r="Q1358" i="23422"/>
  <c r="R1357" i="23422"/>
  <c r="Q1357" i="23422"/>
  <c r="R1356" i="23422"/>
  <c r="Q1356" i="23422"/>
  <c r="R1355" i="23422"/>
  <c r="Q1355" i="23422"/>
  <c r="R1354" i="23422"/>
  <c r="Q1354" i="23422"/>
  <c r="R1353" i="23422"/>
  <c r="Q1353" i="23422"/>
  <c r="R1352" i="23422"/>
  <c r="Q1352" i="23422"/>
  <c r="R1351" i="23422"/>
  <c r="Q1351" i="23422"/>
  <c r="R1350" i="23422"/>
  <c r="Q1350" i="23422"/>
  <c r="R1349" i="23422"/>
  <c r="Q1349" i="23422"/>
  <c r="R1348" i="23422"/>
  <c r="Q1348" i="23422"/>
  <c r="R1347" i="23422"/>
  <c r="Q1347" i="23422"/>
  <c r="R1346" i="23422"/>
  <c r="Q1346" i="23422"/>
  <c r="R1345" i="23422"/>
  <c r="Q1345" i="23422"/>
  <c r="R1344" i="23422"/>
  <c r="Q1344" i="23422"/>
  <c r="R1343" i="23422"/>
  <c r="Q1343" i="23422"/>
  <c r="R1342" i="23422"/>
  <c r="Q1342" i="23422"/>
  <c r="R1341" i="23422"/>
  <c r="Q1341" i="23422"/>
  <c r="R1340" i="23422"/>
  <c r="Q1340" i="23422"/>
  <c r="R1339" i="23422"/>
  <c r="Q1339" i="23422"/>
  <c r="R1338" i="23422"/>
  <c r="Q1338" i="23422"/>
  <c r="R1337" i="23422"/>
  <c r="Q1337" i="23422"/>
  <c r="R1336" i="23422"/>
  <c r="Q1336" i="23422"/>
  <c r="R1335" i="23422"/>
  <c r="Q1335" i="23422"/>
  <c r="R1334" i="23422"/>
  <c r="Q1334" i="23422"/>
  <c r="R1333" i="23422"/>
  <c r="Q1333" i="23422"/>
  <c r="R1332" i="23422"/>
  <c r="Q1332" i="23422"/>
  <c r="R1331" i="23422"/>
  <c r="Q1331" i="23422"/>
  <c r="R1330" i="23422"/>
  <c r="Q1330" i="23422"/>
  <c r="R1329" i="23422"/>
  <c r="Q1329" i="23422"/>
  <c r="R1328" i="23422"/>
  <c r="Q1328" i="23422"/>
  <c r="R1327" i="23422"/>
  <c r="Q1327" i="23422"/>
  <c r="R1326" i="23422"/>
  <c r="Q1326" i="23422"/>
  <c r="R1325" i="23422"/>
  <c r="Q1325" i="23422"/>
  <c r="R1324" i="23422"/>
  <c r="Q1324" i="23422"/>
  <c r="R1323" i="23422"/>
  <c r="Q1323" i="23422"/>
  <c r="R1322" i="23422"/>
  <c r="Q1322" i="23422"/>
  <c r="R1321" i="23422"/>
  <c r="Q1321" i="23422"/>
  <c r="R1320" i="23422"/>
  <c r="Q1320" i="23422"/>
  <c r="R1319" i="23422"/>
  <c r="Q1319" i="23422"/>
  <c r="R1318" i="23422"/>
  <c r="Q1318" i="23422"/>
  <c r="R1317" i="23422"/>
  <c r="Q1317" i="23422"/>
  <c r="R1316" i="23422"/>
  <c r="Q1316" i="23422"/>
  <c r="R1315" i="23422"/>
  <c r="Q1315" i="23422"/>
  <c r="R1314" i="23422"/>
  <c r="Q1314" i="23422"/>
  <c r="R1313" i="23422"/>
  <c r="Q1313" i="23422"/>
  <c r="R1312" i="23422"/>
  <c r="Q1312" i="23422"/>
  <c r="R1311" i="23422"/>
  <c r="Q1311" i="23422"/>
  <c r="R1310" i="23422"/>
  <c r="Q1310" i="23422"/>
  <c r="R1309" i="23422"/>
  <c r="Q1309" i="23422"/>
  <c r="R1308" i="23422"/>
  <c r="Q1308" i="23422"/>
  <c r="R1307" i="23422"/>
  <c r="Q1307" i="23422"/>
  <c r="R1306" i="23422"/>
  <c r="Q1306" i="23422"/>
  <c r="R1305" i="23422"/>
  <c r="Q1305" i="23422"/>
  <c r="R1304" i="23422"/>
  <c r="Q1304" i="23422"/>
  <c r="R1303" i="23422"/>
  <c r="Q1303" i="23422"/>
  <c r="R1302" i="23422"/>
  <c r="Q1302" i="23422"/>
  <c r="R1301" i="23422"/>
  <c r="Q1301" i="23422"/>
  <c r="R1300" i="23422"/>
  <c r="Q1300" i="23422"/>
  <c r="R1299" i="23422"/>
  <c r="Q1299" i="23422"/>
  <c r="R1298" i="23422"/>
  <c r="Q1298" i="23422"/>
  <c r="R1297" i="23422"/>
  <c r="Q1297" i="23422"/>
  <c r="R1296" i="23422"/>
  <c r="Q1296" i="23422"/>
  <c r="R1295" i="23422"/>
  <c r="Q1295" i="23422"/>
  <c r="R1294" i="23422"/>
  <c r="Q1294" i="23422"/>
  <c r="R1293" i="23422"/>
  <c r="Q1293" i="23422"/>
  <c r="R1292" i="23422"/>
  <c r="Q1292" i="23422"/>
  <c r="R1291" i="23422"/>
  <c r="Q1291" i="23422"/>
  <c r="R1290" i="23422"/>
  <c r="Q1290" i="23422"/>
  <c r="R1289" i="23422"/>
  <c r="Q1289" i="23422"/>
  <c r="R1288" i="23422"/>
  <c r="Q1288" i="23422"/>
  <c r="R1287" i="23422"/>
  <c r="Q1287" i="23422"/>
  <c r="R1286" i="23422"/>
  <c r="Q1286" i="23422"/>
  <c r="R1285" i="23422"/>
  <c r="Q1285" i="23422"/>
  <c r="R1284" i="23422"/>
  <c r="Q1284" i="23422"/>
  <c r="R1283" i="23422"/>
  <c r="Q1283" i="23422"/>
  <c r="R1282" i="23422"/>
  <c r="Q1282" i="23422"/>
  <c r="R1281" i="23422"/>
  <c r="Q1281" i="23422"/>
  <c r="R1280" i="23422"/>
  <c r="Q1280" i="23422"/>
  <c r="R1279" i="23422"/>
  <c r="Q1279" i="23422"/>
  <c r="R1278" i="23422"/>
  <c r="Q1278" i="23422"/>
  <c r="R1277" i="23422"/>
  <c r="Q1277" i="23422"/>
  <c r="R1276" i="23422"/>
  <c r="Q1276" i="23422"/>
  <c r="R1275" i="23422"/>
  <c r="Q1275" i="23422"/>
  <c r="R1274" i="23422"/>
  <c r="Q1274" i="23422"/>
  <c r="R1273" i="23422"/>
  <c r="Q1273" i="23422"/>
  <c r="R1272" i="23422"/>
  <c r="Q1272" i="23422"/>
  <c r="R1271" i="23422"/>
  <c r="Q1271" i="23422"/>
  <c r="R1270" i="23422"/>
  <c r="Q1270" i="23422"/>
  <c r="R1269" i="23422"/>
  <c r="Q1269" i="23422"/>
  <c r="R1268" i="23422"/>
  <c r="Q1268" i="23422"/>
  <c r="R1267" i="23422"/>
  <c r="Q1267" i="23422"/>
  <c r="R1266" i="23422"/>
  <c r="Q1266" i="23422"/>
  <c r="R1265" i="23422"/>
  <c r="Q1265" i="23422"/>
  <c r="R1264" i="23422"/>
  <c r="Q1264" i="23422"/>
  <c r="R1263" i="23422"/>
  <c r="Q1263" i="23422"/>
  <c r="R1262" i="23422"/>
  <c r="Q1262" i="23422"/>
  <c r="R1261" i="23422"/>
  <c r="Q1261" i="23422"/>
  <c r="R1260" i="23422"/>
  <c r="Q1260" i="23422"/>
  <c r="R1259" i="23422"/>
  <c r="Q1259" i="23422"/>
  <c r="R1258" i="23422"/>
  <c r="Q1258" i="23422"/>
  <c r="R1257" i="23422"/>
  <c r="Q1257" i="23422"/>
  <c r="R1256" i="23422"/>
  <c r="Q1256" i="23422"/>
  <c r="R1255" i="23422"/>
  <c r="Q1255" i="23422"/>
  <c r="R1254" i="23422"/>
  <c r="Q1254" i="23422"/>
  <c r="R1253" i="23422"/>
  <c r="Q1253" i="23422"/>
  <c r="R1252" i="23422"/>
  <c r="Q1252" i="23422"/>
  <c r="R1251" i="23422"/>
  <c r="Q1251" i="23422"/>
  <c r="R1250" i="23422"/>
  <c r="Q1250" i="23422"/>
  <c r="R1249" i="23422"/>
  <c r="Q1249" i="23422"/>
  <c r="R1248" i="23422"/>
  <c r="Q1248" i="23422"/>
  <c r="R1247" i="23422"/>
  <c r="Q1247" i="23422"/>
  <c r="R1246" i="23422"/>
  <c r="Q1246" i="23422"/>
  <c r="R1245" i="23422"/>
  <c r="Q1245" i="23422"/>
  <c r="R1244" i="23422"/>
  <c r="Q1244" i="23422"/>
  <c r="R1243" i="23422"/>
  <c r="Q1243" i="23422"/>
  <c r="R1242" i="23422"/>
  <c r="Q1242" i="23422"/>
  <c r="R1241" i="23422"/>
  <c r="Q1241" i="23422"/>
  <c r="R1240" i="23422"/>
  <c r="Q1240" i="23422"/>
  <c r="R1239" i="23422"/>
  <c r="Q1239" i="23422"/>
  <c r="R1238" i="23422"/>
  <c r="Q1238" i="23422"/>
  <c r="R1237" i="23422"/>
  <c r="Q1237" i="23422"/>
  <c r="R1236" i="23422"/>
  <c r="Q1236" i="23422"/>
  <c r="R1235" i="23422"/>
  <c r="Q1235" i="23422"/>
  <c r="R1234" i="23422"/>
  <c r="Q1234" i="23422"/>
  <c r="R1233" i="23422"/>
  <c r="Q1233" i="23422"/>
  <c r="R1232" i="23422"/>
  <c r="Q1232" i="23422"/>
  <c r="R1231" i="23422"/>
  <c r="Q1231" i="23422"/>
  <c r="R1230" i="23422"/>
  <c r="Q1230" i="23422"/>
  <c r="R1229" i="23422"/>
  <c r="Q1229" i="23422"/>
  <c r="R1228" i="23422"/>
  <c r="Q1228" i="23422"/>
  <c r="R1227" i="23422"/>
  <c r="Q1227" i="23422"/>
  <c r="R1226" i="23422"/>
  <c r="Q1226" i="23422"/>
  <c r="R1225" i="23422"/>
  <c r="Q1225" i="23422"/>
  <c r="R1224" i="23422"/>
  <c r="Q1224" i="23422"/>
  <c r="R1223" i="23422"/>
  <c r="Q1223" i="23422"/>
  <c r="R1222" i="23422"/>
  <c r="Q1222" i="23422"/>
  <c r="R1221" i="23422"/>
  <c r="Q1221" i="23422"/>
  <c r="R1220" i="23422"/>
  <c r="Q1220" i="23422"/>
  <c r="R1219" i="23422"/>
  <c r="Q1219" i="23422"/>
  <c r="R1218" i="23422"/>
  <c r="Q1218" i="23422"/>
  <c r="R1217" i="23422"/>
  <c r="Q1217" i="23422"/>
  <c r="R1216" i="23422"/>
  <c r="Q1216" i="23422"/>
  <c r="R1215" i="23422"/>
  <c r="Q1215" i="23422"/>
  <c r="R1214" i="23422"/>
  <c r="Q1214" i="23422"/>
  <c r="R1213" i="23422"/>
  <c r="Q1213" i="23422"/>
  <c r="R1212" i="23422"/>
  <c r="Q1212" i="23422"/>
  <c r="R1211" i="23422"/>
  <c r="Q1211" i="23422"/>
  <c r="R1210" i="23422"/>
  <c r="Q1210" i="23422"/>
  <c r="R1209" i="23422"/>
  <c r="Q1209" i="23422"/>
  <c r="R1208" i="23422"/>
  <c r="Q1208" i="23422"/>
  <c r="R1207" i="23422"/>
  <c r="Q1207" i="23422"/>
  <c r="R1206" i="23422"/>
  <c r="Q1206" i="23422"/>
  <c r="R1205" i="23422"/>
  <c r="Q1205" i="23422"/>
  <c r="R1204" i="23422"/>
  <c r="Q1204" i="23422"/>
  <c r="R1203" i="23422"/>
  <c r="Q1203" i="23422"/>
  <c r="R1202" i="23422"/>
  <c r="Q1202" i="23422"/>
  <c r="R1201" i="23422"/>
  <c r="Q1201" i="23422"/>
  <c r="R1200" i="23422"/>
  <c r="Q1200" i="23422"/>
  <c r="R1199" i="23422"/>
  <c r="Q1199" i="23422"/>
  <c r="R1198" i="23422"/>
  <c r="Q1198" i="23422"/>
  <c r="R1197" i="23422"/>
  <c r="Q1197" i="23422"/>
  <c r="R1196" i="23422"/>
  <c r="Q1196" i="23422"/>
  <c r="R1195" i="23422"/>
  <c r="Q1195" i="23422"/>
  <c r="B3" i="23424"/>
  <c r="N263" i="2" l="1"/>
  <c r="AO263" i="2" s="1"/>
  <c r="N264" i="2"/>
  <c r="AO264" i="2" s="1"/>
  <c r="N265" i="2"/>
  <c r="AO265" i="2" s="1"/>
  <c r="AQ263" i="2"/>
  <c r="O263" i="2"/>
  <c r="AP263" i="2" s="1"/>
  <c r="O264" i="2"/>
  <c r="AP264" i="2" s="1"/>
  <c r="O265" i="2"/>
  <c r="AP265" i="2" s="1"/>
  <c r="H265" i="2"/>
  <c r="AI265" i="2" s="1"/>
  <c r="F264" i="2"/>
  <c r="AG264" i="2" s="1"/>
  <c r="F265" i="2"/>
  <c r="AG265" i="2" s="1"/>
  <c r="G265" i="2"/>
  <c r="AH265" i="2" s="1"/>
  <c r="D264" i="2"/>
  <c r="AE264" i="2" s="1"/>
  <c r="D265" i="2"/>
  <c r="AE265" i="2" s="1"/>
  <c r="D263" i="2"/>
  <c r="AE263" i="2" s="1"/>
  <c r="H263" i="2"/>
  <c r="AI263" i="2" s="1"/>
  <c r="M264" i="2"/>
  <c r="AN264" i="2" s="1"/>
  <c r="E264" i="2"/>
  <c r="AF264" i="2" s="1"/>
  <c r="E265" i="2"/>
  <c r="AF265" i="2" s="1"/>
  <c r="E263" i="2"/>
  <c r="AF263" i="2" s="1"/>
  <c r="K265" i="2"/>
  <c r="AL265" i="2" s="1"/>
  <c r="L265" i="2"/>
  <c r="AM265" i="2" s="1"/>
  <c r="M265" i="2"/>
  <c r="AN265" i="2" s="1"/>
  <c r="AQ264" i="2"/>
  <c r="I265" i="2"/>
  <c r="AJ265" i="2" s="1"/>
  <c r="I263" i="2"/>
  <c r="AJ263" i="2" s="1"/>
  <c r="I264" i="2"/>
  <c r="AJ264" i="2" s="1"/>
  <c r="G264" i="2"/>
  <c r="AH264" i="2" s="1"/>
  <c r="H264" i="2"/>
  <c r="AI264" i="2" s="1"/>
  <c r="AQ265" i="2"/>
  <c r="K264" i="2"/>
  <c r="AL264" i="2" s="1"/>
  <c r="L264" i="2"/>
  <c r="AM264" i="2" s="1"/>
  <c r="F263" i="2"/>
  <c r="AG263" i="2" s="1"/>
  <c r="G263" i="2"/>
  <c r="AH263" i="2" s="1"/>
  <c r="K263" i="2"/>
  <c r="AL263" i="2" s="1"/>
  <c r="L263" i="2"/>
  <c r="AM263" i="2" s="1"/>
  <c r="M263" i="2"/>
  <c r="AN263" i="2" s="1"/>
  <c r="R246" i="2"/>
  <c r="Q246" i="2"/>
  <c r="AQ246" i="2" s="1"/>
  <c r="O246" i="2"/>
  <c r="AP246" i="2" s="1"/>
  <c r="N246" i="2"/>
  <c r="AO246" i="2" s="1"/>
  <c r="M246" i="2"/>
  <c r="AN246" i="2" s="1"/>
  <c r="L246" i="2"/>
  <c r="AM246" i="2" s="1"/>
  <c r="K246" i="2"/>
  <c r="AL246" i="2" s="1"/>
  <c r="J246" i="2"/>
  <c r="AK246" i="2" s="1"/>
  <c r="I246" i="2"/>
  <c r="AJ246" i="2" s="1"/>
  <c r="H246" i="2"/>
  <c r="AI246" i="2" s="1"/>
  <c r="G246" i="2"/>
  <c r="AH246" i="2" s="1"/>
  <c r="F246" i="2"/>
  <c r="AG246" i="2" s="1"/>
  <c r="E246" i="2"/>
  <c r="AF246" i="2" s="1"/>
  <c r="D246" i="2"/>
  <c r="AE246" i="2" s="1"/>
  <c r="C246" i="2"/>
  <c r="B246" i="2"/>
  <c r="R245" i="2"/>
  <c r="Q245" i="2"/>
  <c r="AQ245" i="2" s="1"/>
  <c r="O245" i="2"/>
  <c r="AP245" i="2" s="1"/>
  <c r="N245" i="2"/>
  <c r="AO245" i="2" s="1"/>
  <c r="M245" i="2"/>
  <c r="AN245" i="2" s="1"/>
  <c r="L245" i="2"/>
  <c r="AM245" i="2" s="1"/>
  <c r="K245" i="2"/>
  <c r="AL245" i="2" s="1"/>
  <c r="J245" i="2"/>
  <c r="AK245" i="2" s="1"/>
  <c r="I245" i="2"/>
  <c r="AJ245" i="2" s="1"/>
  <c r="H245" i="2"/>
  <c r="AI245" i="2" s="1"/>
  <c r="G245" i="2"/>
  <c r="AH245" i="2" s="1"/>
  <c r="F245" i="2"/>
  <c r="AG245" i="2" s="1"/>
  <c r="E245" i="2"/>
  <c r="AF245" i="2" s="1"/>
  <c r="D245" i="2"/>
  <c r="AE245" i="2" s="1"/>
  <c r="C245" i="2"/>
  <c r="B245" i="2"/>
  <c r="R244" i="2"/>
  <c r="Q244" i="2"/>
  <c r="AQ244" i="2" s="1"/>
  <c r="O244" i="2"/>
  <c r="AP244" i="2" s="1"/>
  <c r="N244" i="2"/>
  <c r="AO244" i="2" s="1"/>
  <c r="M244" i="2"/>
  <c r="AN244" i="2" s="1"/>
  <c r="L244" i="2"/>
  <c r="AM244" i="2" s="1"/>
  <c r="K244" i="2"/>
  <c r="AL244" i="2" s="1"/>
  <c r="J244" i="2"/>
  <c r="AK244" i="2" s="1"/>
  <c r="I244" i="2"/>
  <c r="AJ244" i="2" s="1"/>
  <c r="H244" i="2"/>
  <c r="AI244" i="2" s="1"/>
  <c r="G244" i="2"/>
  <c r="AH244" i="2" s="1"/>
  <c r="F244" i="2"/>
  <c r="AG244" i="2" s="1"/>
  <c r="E244" i="2"/>
  <c r="AF244" i="2" s="1"/>
  <c r="D244" i="2"/>
  <c r="AE244" i="2" s="1"/>
  <c r="C244" i="2"/>
  <c r="B244" i="2"/>
  <c r="R243" i="2"/>
  <c r="Q243" i="2"/>
  <c r="AQ243" i="2" s="1"/>
  <c r="O243" i="2"/>
  <c r="AP243" i="2" s="1"/>
  <c r="N243" i="2"/>
  <c r="AO243" i="2" s="1"/>
  <c r="M243" i="2"/>
  <c r="AN243" i="2" s="1"/>
  <c r="L243" i="2"/>
  <c r="AM243" i="2" s="1"/>
  <c r="K243" i="2"/>
  <c r="AL243" i="2" s="1"/>
  <c r="J243" i="2"/>
  <c r="AK243" i="2" s="1"/>
  <c r="I243" i="2"/>
  <c r="AJ243" i="2" s="1"/>
  <c r="H243" i="2"/>
  <c r="AI243" i="2" s="1"/>
  <c r="G243" i="2"/>
  <c r="AH243" i="2" s="1"/>
  <c r="F243" i="2"/>
  <c r="AG243" i="2" s="1"/>
  <c r="E243" i="2"/>
  <c r="AF243" i="2" s="1"/>
  <c r="D243" i="2"/>
  <c r="AE243" i="2" s="1"/>
  <c r="C243" i="2"/>
  <c r="B243" i="2"/>
  <c r="R242" i="2"/>
  <c r="Q242" i="2"/>
  <c r="AQ242" i="2" s="1"/>
  <c r="O242" i="2"/>
  <c r="AP242" i="2" s="1"/>
  <c r="N242" i="2"/>
  <c r="AO242" i="2" s="1"/>
  <c r="M242" i="2"/>
  <c r="AN242" i="2" s="1"/>
  <c r="L242" i="2"/>
  <c r="AM242" i="2" s="1"/>
  <c r="K242" i="2"/>
  <c r="AL242" i="2" s="1"/>
  <c r="J242" i="2"/>
  <c r="AK242" i="2" s="1"/>
  <c r="I242" i="2"/>
  <c r="AJ242" i="2" s="1"/>
  <c r="H242" i="2"/>
  <c r="AI242" i="2" s="1"/>
  <c r="G242" i="2"/>
  <c r="AH242" i="2" s="1"/>
  <c r="F242" i="2"/>
  <c r="AG242" i="2" s="1"/>
  <c r="E242" i="2"/>
  <c r="AF242" i="2" s="1"/>
  <c r="D242" i="2"/>
  <c r="AE242" i="2" s="1"/>
  <c r="C242" i="2"/>
  <c r="B242" i="2"/>
  <c r="R241" i="2"/>
  <c r="Q241" i="2"/>
  <c r="AQ241" i="2" s="1"/>
  <c r="O241" i="2"/>
  <c r="AP241" i="2" s="1"/>
  <c r="N241" i="2"/>
  <c r="AO241" i="2" s="1"/>
  <c r="M241" i="2"/>
  <c r="AN241" i="2" s="1"/>
  <c r="L241" i="2"/>
  <c r="AM241" i="2" s="1"/>
  <c r="K241" i="2"/>
  <c r="AL241" i="2" s="1"/>
  <c r="J241" i="2"/>
  <c r="AK241" i="2" s="1"/>
  <c r="I241" i="2"/>
  <c r="AJ241" i="2" s="1"/>
  <c r="H241" i="2"/>
  <c r="AI241" i="2" s="1"/>
  <c r="G241" i="2"/>
  <c r="AH241" i="2" s="1"/>
  <c r="F241" i="2"/>
  <c r="AG241" i="2" s="1"/>
  <c r="E241" i="2"/>
  <c r="AF241" i="2" s="1"/>
  <c r="D241" i="2"/>
  <c r="AE241" i="2" s="1"/>
  <c r="C241" i="2"/>
  <c r="B241" i="2"/>
  <c r="R240" i="2"/>
  <c r="Q240" i="2"/>
  <c r="AQ240" i="2" s="1"/>
  <c r="O240" i="2"/>
  <c r="AP240" i="2" s="1"/>
  <c r="N240" i="2"/>
  <c r="AO240" i="2" s="1"/>
  <c r="M240" i="2"/>
  <c r="AN240" i="2" s="1"/>
  <c r="L240" i="2"/>
  <c r="AM240" i="2" s="1"/>
  <c r="K240" i="2"/>
  <c r="AL240" i="2" s="1"/>
  <c r="J240" i="2"/>
  <c r="AK240" i="2" s="1"/>
  <c r="I240" i="2"/>
  <c r="AJ240" i="2" s="1"/>
  <c r="H240" i="2"/>
  <c r="AI240" i="2" s="1"/>
  <c r="G240" i="2"/>
  <c r="AH240" i="2" s="1"/>
  <c r="F240" i="2"/>
  <c r="AG240" i="2" s="1"/>
  <c r="E240" i="2"/>
  <c r="AF240" i="2" s="1"/>
  <c r="D240" i="2"/>
  <c r="AE240" i="2" s="1"/>
  <c r="C240" i="2"/>
  <c r="B240" i="2"/>
  <c r="R239" i="2"/>
  <c r="Q239" i="2"/>
  <c r="AQ239" i="2" s="1"/>
  <c r="O239" i="2"/>
  <c r="AP239" i="2" s="1"/>
  <c r="N239" i="2"/>
  <c r="AO239" i="2" s="1"/>
  <c r="M239" i="2"/>
  <c r="AN239" i="2" s="1"/>
  <c r="L239" i="2"/>
  <c r="AM239" i="2" s="1"/>
  <c r="K239" i="2"/>
  <c r="AL239" i="2" s="1"/>
  <c r="J239" i="2"/>
  <c r="AK239" i="2" s="1"/>
  <c r="I239" i="2"/>
  <c r="AJ239" i="2" s="1"/>
  <c r="H239" i="2"/>
  <c r="AI239" i="2" s="1"/>
  <c r="G239" i="2"/>
  <c r="AH239" i="2" s="1"/>
  <c r="F239" i="2"/>
  <c r="AG239" i="2" s="1"/>
  <c r="E239" i="2"/>
  <c r="AF239" i="2" s="1"/>
  <c r="D239" i="2"/>
  <c r="AE239" i="2" s="1"/>
  <c r="C239" i="2"/>
  <c r="B239" i="2"/>
  <c r="R238" i="2"/>
  <c r="Q238" i="2"/>
  <c r="AQ238" i="2" s="1"/>
  <c r="O238" i="2"/>
  <c r="AP238" i="2" s="1"/>
  <c r="N238" i="2"/>
  <c r="AO238" i="2" s="1"/>
  <c r="M238" i="2"/>
  <c r="AN238" i="2" s="1"/>
  <c r="L238" i="2"/>
  <c r="AM238" i="2" s="1"/>
  <c r="K238" i="2"/>
  <c r="AL238" i="2" s="1"/>
  <c r="J238" i="2"/>
  <c r="AK238" i="2" s="1"/>
  <c r="I238" i="2"/>
  <c r="AJ238" i="2" s="1"/>
  <c r="H238" i="2"/>
  <c r="AI238" i="2" s="1"/>
  <c r="G238" i="2"/>
  <c r="AH238" i="2" s="1"/>
  <c r="F238" i="2"/>
  <c r="AG238" i="2" s="1"/>
  <c r="E238" i="2"/>
  <c r="AF238" i="2" s="1"/>
  <c r="D238" i="2"/>
  <c r="AE238" i="2" s="1"/>
  <c r="C238" i="2"/>
  <c r="B238" i="2"/>
  <c r="R237" i="2"/>
  <c r="Q237" i="2"/>
  <c r="AQ237" i="2" s="1"/>
  <c r="O237" i="2"/>
  <c r="AP237" i="2" s="1"/>
  <c r="N237" i="2"/>
  <c r="AO237" i="2" s="1"/>
  <c r="M237" i="2"/>
  <c r="AN237" i="2" s="1"/>
  <c r="L237" i="2"/>
  <c r="AM237" i="2" s="1"/>
  <c r="K237" i="2"/>
  <c r="AL237" i="2" s="1"/>
  <c r="J237" i="2"/>
  <c r="AK237" i="2" s="1"/>
  <c r="I237" i="2"/>
  <c r="AJ237" i="2" s="1"/>
  <c r="H237" i="2"/>
  <c r="AI237" i="2" s="1"/>
  <c r="G237" i="2"/>
  <c r="AH237" i="2" s="1"/>
  <c r="F237" i="2"/>
  <c r="AG237" i="2" s="1"/>
  <c r="E237" i="2"/>
  <c r="AF237" i="2" s="1"/>
  <c r="D237" i="2"/>
  <c r="AE237" i="2" s="1"/>
  <c r="C237" i="2"/>
  <c r="B237" i="2"/>
  <c r="R236" i="2"/>
  <c r="Q236" i="2"/>
  <c r="AQ236" i="2" s="1"/>
  <c r="O236" i="2"/>
  <c r="AP236" i="2" s="1"/>
  <c r="N236" i="2"/>
  <c r="AO236" i="2" s="1"/>
  <c r="M236" i="2"/>
  <c r="AN236" i="2" s="1"/>
  <c r="L236" i="2"/>
  <c r="AM236" i="2" s="1"/>
  <c r="K236" i="2"/>
  <c r="AL236" i="2" s="1"/>
  <c r="J236" i="2"/>
  <c r="AK236" i="2" s="1"/>
  <c r="I236" i="2"/>
  <c r="AJ236" i="2" s="1"/>
  <c r="H236" i="2"/>
  <c r="AI236" i="2" s="1"/>
  <c r="G236" i="2"/>
  <c r="AH236" i="2" s="1"/>
  <c r="F236" i="2"/>
  <c r="AG236" i="2" s="1"/>
  <c r="E236" i="2"/>
  <c r="AF236" i="2" s="1"/>
  <c r="D236" i="2"/>
  <c r="AE236" i="2" s="1"/>
  <c r="C236" i="2"/>
  <c r="B236" i="2"/>
  <c r="R235" i="2"/>
  <c r="Q235" i="2"/>
  <c r="AQ235" i="2" s="1"/>
  <c r="O235" i="2"/>
  <c r="AP235" i="2" s="1"/>
  <c r="N235" i="2"/>
  <c r="AO235" i="2" s="1"/>
  <c r="M235" i="2"/>
  <c r="AN235" i="2" s="1"/>
  <c r="L235" i="2"/>
  <c r="AM235" i="2" s="1"/>
  <c r="K235" i="2"/>
  <c r="AL235" i="2" s="1"/>
  <c r="J235" i="2"/>
  <c r="AK235" i="2" s="1"/>
  <c r="I235" i="2"/>
  <c r="AJ235" i="2" s="1"/>
  <c r="H235" i="2"/>
  <c r="AI235" i="2" s="1"/>
  <c r="G235" i="2"/>
  <c r="AH235" i="2" s="1"/>
  <c r="F235" i="2"/>
  <c r="AG235" i="2" s="1"/>
  <c r="E235" i="2"/>
  <c r="AF235" i="2" s="1"/>
  <c r="D235" i="2"/>
  <c r="AE235" i="2" s="1"/>
  <c r="C235" i="2"/>
  <c r="B235" i="2"/>
  <c r="AK249" i="2"/>
  <c r="AK248" i="2"/>
  <c r="AK247" i="2"/>
  <c r="R230" i="2"/>
  <c r="Q230" i="2"/>
  <c r="AQ230" i="2" s="1"/>
  <c r="O230" i="2"/>
  <c r="AP230" i="2" s="1"/>
  <c r="N230" i="2"/>
  <c r="AO230" i="2" s="1"/>
  <c r="M230" i="2"/>
  <c r="AN230" i="2" s="1"/>
  <c r="L230" i="2"/>
  <c r="AM230" i="2" s="1"/>
  <c r="K230" i="2"/>
  <c r="AL230" i="2" s="1"/>
  <c r="J230" i="2"/>
  <c r="AK230" i="2" s="1"/>
  <c r="I230" i="2"/>
  <c r="AJ230" i="2" s="1"/>
  <c r="H230" i="2"/>
  <c r="AI230" i="2" s="1"/>
  <c r="G230" i="2"/>
  <c r="AH230" i="2" s="1"/>
  <c r="F230" i="2"/>
  <c r="AG230" i="2" s="1"/>
  <c r="E230" i="2"/>
  <c r="AF230" i="2" s="1"/>
  <c r="D230" i="2"/>
  <c r="AE230" i="2" s="1"/>
  <c r="C230" i="2"/>
  <c r="B230" i="2"/>
  <c r="R229" i="2"/>
  <c r="Q229" i="2"/>
  <c r="AQ229" i="2" s="1"/>
  <c r="O229" i="2"/>
  <c r="AP229" i="2" s="1"/>
  <c r="N229" i="2"/>
  <c r="AO229" i="2" s="1"/>
  <c r="M229" i="2"/>
  <c r="AN229" i="2" s="1"/>
  <c r="L229" i="2"/>
  <c r="AM229" i="2" s="1"/>
  <c r="K229" i="2"/>
  <c r="AL229" i="2" s="1"/>
  <c r="J229" i="2"/>
  <c r="AK229" i="2" s="1"/>
  <c r="I229" i="2"/>
  <c r="AJ229" i="2" s="1"/>
  <c r="H229" i="2"/>
  <c r="AI229" i="2" s="1"/>
  <c r="G229" i="2"/>
  <c r="AH229" i="2" s="1"/>
  <c r="F229" i="2"/>
  <c r="AG229" i="2" s="1"/>
  <c r="E229" i="2"/>
  <c r="AF229" i="2" s="1"/>
  <c r="D229" i="2"/>
  <c r="AE229" i="2" s="1"/>
  <c r="C229" i="2"/>
  <c r="B229" i="2"/>
  <c r="R228" i="2"/>
  <c r="Q228" i="2"/>
  <c r="AQ228" i="2" s="1"/>
  <c r="O228" i="2"/>
  <c r="AP228" i="2" s="1"/>
  <c r="N228" i="2"/>
  <c r="AO228" i="2" s="1"/>
  <c r="M228" i="2"/>
  <c r="AN228" i="2" s="1"/>
  <c r="L228" i="2"/>
  <c r="AM228" i="2" s="1"/>
  <c r="K228" i="2"/>
  <c r="AL228" i="2" s="1"/>
  <c r="J228" i="2"/>
  <c r="AK228" i="2" s="1"/>
  <c r="I228" i="2"/>
  <c r="AJ228" i="2" s="1"/>
  <c r="H228" i="2"/>
  <c r="AI228" i="2" s="1"/>
  <c r="G228" i="2"/>
  <c r="AH228" i="2" s="1"/>
  <c r="F228" i="2"/>
  <c r="AG228" i="2" s="1"/>
  <c r="E228" i="2"/>
  <c r="AF228" i="2" s="1"/>
  <c r="D228" i="2"/>
  <c r="AE228" i="2" s="1"/>
  <c r="C228" i="2"/>
  <c r="B228" i="2"/>
  <c r="R227" i="2"/>
  <c r="Q227" i="2"/>
  <c r="AQ227" i="2" s="1"/>
  <c r="O227" i="2"/>
  <c r="AP227" i="2" s="1"/>
  <c r="N227" i="2"/>
  <c r="AO227" i="2" s="1"/>
  <c r="M227" i="2"/>
  <c r="AN227" i="2" s="1"/>
  <c r="L227" i="2"/>
  <c r="AM227" i="2" s="1"/>
  <c r="K227" i="2"/>
  <c r="AL227" i="2" s="1"/>
  <c r="J227" i="2"/>
  <c r="AK227" i="2" s="1"/>
  <c r="I227" i="2"/>
  <c r="AJ227" i="2" s="1"/>
  <c r="H227" i="2"/>
  <c r="AI227" i="2" s="1"/>
  <c r="G227" i="2"/>
  <c r="AH227" i="2" s="1"/>
  <c r="F227" i="2"/>
  <c r="AG227" i="2" s="1"/>
  <c r="E227" i="2"/>
  <c r="AF227" i="2" s="1"/>
  <c r="D227" i="2"/>
  <c r="AE227" i="2" s="1"/>
  <c r="C227" i="2"/>
  <c r="B227" i="2"/>
  <c r="R226" i="2"/>
  <c r="Q226" i="2"/>
  <c r="AQ226" i="2" s="1"/>
  <c r="O226" i="2"/>
  <c r="AP226" i="2" s="1"/>
  <c r="N226" i="2"/>
  <c r="AO226" i="2" s="1"/>
  <c r="M226" i="2"/>
  <c r="AN226" i="2" s="1"/>
  <c r="L226" i="2"/>
  <c r="AM226" i="2" s="1"/>
  <c r="K226" i="2"/>
  <c r="AL226" i="2" s="1"/>
  <c r="J226" i="2"/>
  <c r="AK226" i="2" s="1"/>
  <c r="I226" i="2"/>
  <c r="AJ226" i="2" s="1"/>
  <c r="H226" i="2"/>
  <c r="AI226" i="2" s="1"/>
  <c r="G226" i="2"/>
  <c r="AH226" i="2" s="1"/>
  <c r="F226" i="2"/>
  <c r="AG226" i="2" s="1"/>
  <c r="E226" i="2"/>
  <c r="AF226" i="2" s="1"/>
  <c r="D226" i="2"/>
  <c r="AE226" i="2" s="1"/>
  <c r="C226" i="2"/>
  <c r="B226" i="2"/>
  <c r="R225" i="2"/>
  <c r="Q225" i="2"/>
  <c r="AQ225" i="2" s="1"/>
  <c r="O225" i="2"/>
  <c r="AP225" i="2" s="1"/>
  <c r="N225" i="2"/>
  <c r="AO225" i="2" s="1"/>
  <c r="M225" i="2"/>
  <c r="AN225" i="2" s="1"/>
  <c r="L225" i="2"/>
  <c r="AM225" i="2" s="1"/>
  <c r="K225" i="2"/>
  <c r="AL225" i="2" s="1"/>
  <c r="J225" i="2"/>
  <c r="AK225" i="2" s="1"/>
  <c r="I225" i="2"/>
  <c r="AJ225" i="2" s="1"/>
  <c r="H225" i="2"/>
  <c r="AI225" i="2" s="1"/>
  <c r="G225" i="2"/>
  <c r="AH225" i="2" s="1"/>
  <c r="F225" i="2"/>
  <c r="AG225" i="2" s="1"/>
  <c r="E225" i="2"/>
  <c r="AF225" i="2" s="1"/>
  <c r="D225" i="2"/>
  <c r="AE225" i="2" s="1"/>
  <c r="C225" i="2"/>
  <c r="B225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R220" i="2"/>
  <c r="Q220" i="2"/>
  <c r="AQ220" i="2" s="1"/>
  <c r="O220" i="2"/>
  <c r="AP220" i="2" s="1"/>
  <c r="N220" i="2"/>
  <c r="AO220" i="2" s="1"/>
  <c r="M220" i="2"/>
  <c r="AN220" i="2" s="1"/>
  <c r="L220" i="2"/>
  <c r="AM220" i="2" s="1"/>
  <c r="K220" i="2"/>
  <c r="AL220" i="2" s="1"/>
  <c r="J220" i="2"/>
  <c r="AK220" i="2" s="1"/>
  <c r="I220" i="2"/>
  <c r="AJ220" i="2" s="1"/>
  <c r="H220" i="2"/>
  <c r="AI220" i="2" s="1"/>
  <c r="G220" i="2"/>
  <c r="AH220" i="2" s="1"/>
  <c r="F220" i="2"/>
  <c r="AG220" i="2" s="1"/>
  <c r="E220" i="2"/>
  <c r="AF220" i="2" s="1"/>
  <c r="D220" i="2"/>
  <c r="AE220" i="2" s="1"/>
  <c r="C220" i="2"/>
  <c r="B220" i="2"/>
  <c r="R219" i="2"/>
  <c r="Q219" i="2"/>
  <c r="AQ219" i="2" s="1"/>
  <c r="O219" i="2"/>
  <c r="AP219" i="2" s="1"/>
  <c r="N219" i="2"/>
  <c r="AO219" i="2" s="1"/>
  <c r="M219" i="2"/>
  <c r="AN219" i="2" s="1"/>
  <c r="L219" i="2"/>
  <c r="AM219" i="2" s="1"/>
  <c r="K219" i="2"/>
  <c r="AL219" i="2" s="1"/>
  <c r="J219" i="2"/>
  <c r="AK219" i="2" s="1"/>
  <c r="I219" i="2"/>
  <c r="AJ219" i="2" s="1"/>
  <c r="H219" i="2"/>
  <c r="AI219" i="2" s="1"/>
  <c r="G219" i="2"/>
  <c r="AH219" i="2" s="1"/>
  <c r="F219" i="2"/>
  <c r="AG219" i="2" s="1"/>
  <c r="E219" i="2"/>
  <c r="AF219" i="2" s="1"/>
  <c r="D219" i="2"/>
  <c r="AE219" i="2" s="1"/>
  <c r="C219" i="2"/>
  <c r="B219" i="2"/>
  <c r="R218" i="2"/>
  <c r="Q218" i="2"/>
  <c r="AQ218" i="2" s="1"/>
  <c r="O218" i="2"/>
  <c r="AP218" i="2" s="1"/>
  <c r="N218" i="2"/>
  <c r="AO218" i="2" s="1"/>
  <c r="M218" i="2"/>
  <c r="AN218" i="2" s="1"/>
  <c r="L218" i="2"/>
  <c r="AM218" i="2" s="1"/>
  <c r="K218" i="2"/>
  <c r="AL218" i="2" s="1"/>
  <c r="J218" i="2"/>
  <c r="AK218" i="2" s="1"/>
  <c r="I218" i="2"/>
  <c r="AJ218" i="2" s="1"/>
  <c r="H218" i="2"/>
  <c r="AI218" i="2" s="1"/>
  <c r="G218" i="2"/>
  <c r="AH218" i="2" s="1"/>
  <c r="F218" i="2"/>
  <c r="AG218" i="2" s="1"/>
  <c r="E218" i="2"/>
  <c r="AF218" i="2" s="1"/>
  <c r="D218" i="2"/>
  <c r="AE218" i="2" s="1"/>
  <c r="C218" i="2"/>
  <c r="B218" i="2"/>
  <c r="R217" i="2"/>
  <c r="Q217" i="2"/>
  <c r="AQ217" i="2" s="1"/>
  <c r="O217" i="2"/>
  <c r="AP217" i="2" s="1"/>
  <c r="N217" i="2"/>
  <c r="AO217" i="2" s="1"/>
  <c r="M217" i="2"/>
  <c r="AN217" i="2" s="1"/>
  <c r="L217" i="2"/>
  <c r="AM217" i="2" s="1"/>
  <c r="K217" i="2"/>
  <c r="AL217" i="2" s="1"/>
  <c r="J217" i="2"/>
  <c r="AK217" i="2" s="1"/>
  <c r="I217" i="2"/>
  <c r="AJ217" i="2" s="1"/>
  <c r="H217" i="2"/>
  <c r="AI217" i="2" s="1"/>
  <c r="G217" i="2"/>
  <c r="AH217" i="2" s="1"/>
  <c r="F217" i="2"/>
  <c r="AG217" i="2" s="1"/>
  <c r="E217" i="2"/>
  <c r="AF217" i="2" s="1"/>
  <c r="D217" i="2"/>
  <c r="AE217" i="2" s="1"/>
  <c r="C217" i="2"/>
  <c r="B217" i="2"/>
  <c r="R216" i="2"/>
  <c r="Q216" i="2"/>
  <c r="AQ216" i="2" s="1"/>
  <c r="O216" i="2"/>
  <c r="AP216" i="2" s="1"/>
  <c r="N216" i="2"/>
  <c r="AO216" i="2" s="1"/>
  <c r="M216" i="2"/>
  <c r="AN216" i="2" s="1"/>
  <c r="L216" i="2"/>
  <c r="AM216" i="2" s="1"/>
  <c r="K216" i="2"/>
  <c r="AL216" i="2" s="1"/>
  <c r="J216" i="2"/>
  <c r="AK216" i="2" s="1"/>
  <c r="I216" i="2"/>
  <c r="AJ216" i="2" s="1"/>
  <c r="H216" i="2"/>
  <c r="AI216" i="2" s="1"/>
  <c r="G216" i="2"/>
  <c r="AH216" i="2" s="1"/>
  <c r="F216" i="2"/>
  <c r="AG216" i="2" s="1"/>
  <c r="E216" i="2"/>
  <c r="AF216" i="2" s="1"/>
  <c r="D216" i="2"/>
  <c r="AE216" i="2" s="1"/>
  <c r="C216" i="2"/>
  <c r="B216" i="2"/>
  <c r="R215" i="2"/>
  <c r="Q215" i="2"/>
  <c r="AQ215" i="2" s="1"/>
  <c r="O215" i="2"/>
  <c r="AP215" i="2" s="1"/>
  <c r="N215" i="2"/>
  <c r="AO215" i="2" s="1"/>
  <c r="M215" i="2"/>
  <c r="AN215" i="2" s="1"/>
  <c r="L215" i="2"/>
  <c r="AM215" i="2" s="1"/>
  <c r="K215" i="2"/>
  <c r="AL215" i="2" s="1"/>
  <c r="J215" i="2"/>
  <c r="AK215" i="2" s="1"/>
  <c r="I215" i="2"/>
  <c r="AJ215" i="2" s="1"/>
  <c r="H215" i="2"/>
  <c r="AI215" i="2" s="1"/>
  <c r="G215" i="2"/>
  <c r="AH215" i="2" s="1"/>
  <c r="F215" i="2"/>
  <c r="AG215" i="2" s="1"/>
  <c r="E215" i="2"/>
  <c r="AF215" i="2" s="1"/>
  <c r="D215" i="2"/>
  <c r="AE215" i="2" s="1"/>
  <c r="C215" i="2"/>
  <c r="B215" i="2"/>
  <c r="R214" i="2"/>
  <c r="Q214" i="2"/>
  <c r="AQ214" i="2" s="1"/>
  <c r="O214" i="2"/>
  <c r="AP214" i="2" s="1"/>
  <c r="N214" i="2"/>
  <c r="AO214" i="2" s="1"/>
  <c r="M214" i="2"/>
  <c r="AN214" i="2" s="1"/>
  <c r="L214" i="2"/>
  <c r="AM214" i="2" s="1"/>
  <c r="K214" i="2"/>
  <c r="AL214" i="2" s="1"/>
  <c r="J214" i="2"/>
  <c r="AK214" i="2" s="1"/>
  <c r="I214" i="2"/>
  <c r="AJ214" i="2" s="1"/>
  <c r="H214" i="2"/>
  <c r="AI214" i="2" s="1"/>
  <c r="G214" i="2"/>
  <c r="AH214" i="2" s="1"/>
  <c r="F214" i="2"/>
  <c r="AG214" i="2" s="1"/>
  <c r="E214" i="2"/>
  <c r="AF214" i="2" s="1"/>
  <c r="D214" i="2"/>
  <c r="AE214" i="2" s="1"/>
  <c r="C214" i="2"/>
  <c r="B214" i="2"/>
  <c r="R213" i="2"/>
  <c r="Q213" i="2"/>
  <c r="AQ213" i="2" s="1"/>
  <c r="O213" i="2"/>
  <c r="AP213" i="2" s="1"/>
  <c r="N213" i="2"/>
  <c r="AO213" i="2" s="1"/>
  <c r="M213" i="2"/>
  <c r="AN213" i="2" s="1"/>
  <c r="L213" i="2"/>
  <c r="AM213" i="2" s="1"/>
  <c r="K213" i="2"/>
  <c r="AL213" i="2" s="1"/>
  <c r="J213" i="2"/>
  <c r="AK213" i="2" s="1"/>
  <c r="I213" i="2"/>
  <c r="AJ213" i="2" s="1"/>
  <c r="H213" i="2"/>
  <c r="AI213" i="2" s="1"/>
  <c r="G213" i="2"/>
  <c r="AH213" i="2" s="1"/>
  <c r="F213" i="2"/>
  <c r="AG213" i="2" s="1"/>
  <c r="E213" i="2"/>
  <c r="AF213" i="2" s="1"/>
  <c r="D213" i="2"/>
  <c r="AE213" i="2" s="1"/>
  <c r="C213" i="2"/>
  <c r="B213" i="2"/>
  <c r="R212" i="2"/>
  <c r="Q212" i="2"/>
  <c r="AQ212" i="2" s="1"/>
  <c r="O212" i="2"/>
  <c r="AP212" i="2" s="1"/>
  <c r="N212" i="2"/>
  <c r="AO212" i="2" s="1"/>
  <c r="M212" i="2"/>
  <c r="AN212" i="2" s="1"/>
  <c r="L212" i="2"/>
  <c r="AM212" i="2" s="1"/>
  <c r="K212" i="2"/>
  <c r="AL212" i="2" s="1"/>
  <c r="J212" i="2"/>
  <c r="AK212" i="2" s="1"/>
  <c r="I212" i="2"/>
  <c r="AJ212" i="2" s="1"/>
  <c r="H212" i="2"/>
  <c r="AI212" i="2" s="1"/>
  <c r="G212" i="2"/>
  <c r="AH212" i="2" s="1"/>
  <c r="F212" i="2"/>
  <c r="AG212" i="2" s="1"/>
  <c r="E212" i="2"/>
  <c r="AF212" i="2" s="1"/>
  <c r="D212" i="2"/>
  <c r="AE212" i="2" s="1"/>
  <c r="C212" i="2"/>
  <c r="B212" i="2"/>
  <c r="R211" i="2"/>
  <c r="Q211" i="2"/>
  <c r="AQ211" i="2" s="1"/>
  <c r="O211" i="2"/>
  <c r="AP211" i="2" s="1"/>
  <c r="N211" i="2"/>
  <c r="AO211" i="2" s="1"/>
  <c r="M211" i="2"/>
  <c r="AN211" i="2" s="1"/>
  <c r="L211" i="2"/>
  <c r="AM211" i="2" s="1"/>
  <c r="K211" i="2"/>
  <c r="AL211" i="2" s="1"/>
  <c r="J211" i="2"/>
  <c r="AK211" i="2" s="1"/>
  <c r="I211" i="2"/>
  <c r="AJ211" i="2" s="1"/>
  <c r="H211" i="2"/>
  <c r="AI211" i="2" s="1"/>
  <c r="G211" i="2"/>
  <c r="AH211" i="2" s="1"/>
  <c r="F211" i="2"/>
  <c r="AG211" i="2" s="1"/>
  <c r="E211" i="2"/>
  <c r="AF211" i="2" s="1"/>
  <c r="D211" i="2"/>
  <c r="AE211" i="2" s="1"/>
  <c r="C211" i="2"/>
  <c r="B211" i="2"/>
  <c r="R210" i="2"/>
  <c r="Q210" i="2"/>
  <c r="AQ210" i="2" s="1"/>
  <c r="O210" i="2"/>
  <c r="AP210" i="2" s="1"/>
  <c r="N210" i="2"/>
  <c r="AO210" i="2" s="1"/>
  <c r="M210" i="2"/>
  <c r="AN210" i="2" s="1"/>
  <c r="L210" i="2"/>
  <c r="AM210" i="2" s="1"/>
  <c r="K210" i="2"/>
  <c r="AL210" i="2" s="1"/>
  <c r="J210" i="2"/>
  <c r="AK210" i="2" s="1"/>
  <c r="I210" i="2"/>
  <c r="AJ210" i="2" s="1"/>
  <c r="H210" i="2"/>
  <c r="AI210" i="2" s="1"/>
  <c r="G210" i="2"/>
  <c r="AH210" i="2" s="1"/>
  <c r="F210" i="2"/>
  <c r="AG210" i="2" s="1"/>
  <c r="E210" i="2"/>
  <c r="AF210" i="2" s="1"/>
  <c r="D210" i="2"/>
  <c r="AE210" i="2" s="1"/>
  <c r="C210" i="2"/>
  <c r="B210" i="2"/>
  <c r="R209" i="2"/>
  <c r="Q209" i="2"/>
  <c r="AQ209" i="2" s="1"/>
  <c r="O209" i="2"/>
  <c r="AP209" i="2" s="1"/>
  <c r="N209" i="2"/>
  <c r="AO209" i="2" s="1"/>
  <c r="M209" i="2"/>
  <c r="AN209" i="2" s="1"/>
  <c r="L209" i="2"/>
  <c r="AM209" i="2" s="1"/>
  <c r="K209" i="2"/>
  <c r="AL209" i="2" s="1"/>
  <c r="J209" i="2"/>
  <c r="AK209" i="2" s="1"/>
  <c r="I209" i="2"/>
  <c r="AJ209" i="2" s="1"/>
  <c r="H209" i="2"/>
  <c r="AI209" i="2" s="1"/>
  <c r="G209" i="2"/>
  <c r="AH209" i="2" s="1"/>
  <c r="F209" i="2"/>
  <c r="AG209" i="2" s="1"/>
  <c r="E209" i="2"/>
  <c r="AF209" i="2" s="1"/>
  <c r="D209" i="2"/>
  <c r="AE209" i="2" s="1"/>
  <c r="C209" i="2"/>
  <c r="B209" i="2"/>
  <c r="R204" i="2"/>
  <c r="Q204" i="2"/>
  <c r="AQ204" i="2" s="1"/>
  <c r="O204" i="2"/>
  <c r="AP204" i="2" s="1"/>
  <c r="N204" i="2"/>
  <c r="AO204" i="2" s="1"/>
  <c r="M204" i="2"/>
  <c r="AN204" i="2" s="1"/>
  <c r="L204" i="2"/>
  <c r="AM204" i="2" s="1"/>
  <c r="K204" i="2"/>
  <c r="AL204" i="2" s="1"/>
  <c r="J204" i="2"/>
  <c r="AK204" i="2" s="1"/>
  <c r="I204" i="2"/>
  <c r="AJ204" i="2" s="1"/>
  <c r="H204" i="2"/>
  <c r="AI204" i="2" s="1"/>
  <c r="G204" i="2"/>
  <c r="AH204" i="2" s="1"/>
  <c r="F204" i="2"/>
  <c r="AG204" i="2" s="1"/>
  <c r="E204" i="2"/>
  <c r="AF204" i="2" s="1"/>
  <c r="D204" i="2"/>
  <c r="AE204" i="2" s="1"/>
  <c r="C204" i="2"/>
  <c r="B204" i="2"/>
  <c r="R203" i="2"/>
  <c r="Q203" i="2"/>
  <c r="AQ203" i="2" s="1"/>
  <c r="O203" i="2"/>
  <c r="AP203" i="2" s="1"/>
  <c r="N203" i="2"/>
  <c r="AO203" i="2" s="1"/>
  <c r="M203" i="2"/>
  <c r="AN203" i="2" s="1"/>
  <c r="L203" i="2"/>
  <c r="AM203" i="2" s="1"/>
  <c r="K203" i="2"/>
  <c r="AL203" i="2" s="1"/>
  <c r="J203" i="2"/>
  <c r="AK203" i="2" s="1"/>
  <c r="I203" i="2"/>
  <c r="AJ203" i="2" s="1"/>
  <c r="H203" i="2"/>
  <c r="AI203" i="2" s="1"/>
  <c r="G203" i="2"/>
  <c r="AH203" i="2" s="1"/>
  <c r="F203" i="2"/>
  <c r="AG203" i="2" s="1"/>
  <c r="E203" i="2"/>
  <c r="AF203" i="2" s="1"/>
  <c r="D203" i="2"/>
  <c r="AE203" i="2" s="1"/>
  <c r="C203" i="2"/>
  <c r="B203" i="2"/>
  <c r="R202" i="2"/>
  <c r="Q202" i="2"/>
  <c r="AQ202" i="2" s="1"/>
  <c r="O202" i="2"/>
  <c r="AP202" i="2" s="1"/>
  <c r="N202" i="2"/>
  <c r="AO202" i="2" s="1"/>
  <c r="M202" i="2"/>
  <c r="AN202" i="2" s="1"/>
  <c r="L202" i="2"/>
  <c r="AM202" i="2" s="1"/>
  <c r="K202" i="2"/>
  <c r="AL202" i="2" s="1"/>
  <c r="J202" i="2"/>
  <c r="AK202" i="2" s="1"/>
  <c r="I202" i="2"/>
  <c r="AJ202" i="2" s="1"/>
  <c r="H202" i="2"/>
  <c r="AI202" i="2" s="1"/>
  <c r="G202" i="2"/>
  <c r="AH202" i="2" s="1"/>
  <c r="F202" i="2"/>
  <c r="AG202" i="2" s="1"/>
  <c r="E202" i="2"/>
  <c r="AF202" i="2" s="1"/>
  <c r="D202" i="2"/>
  <c r="AE202" i="2" s="1"/>
  <c r="C202" i="2"/>
  <c r="B202" i="2"/>
  <c r="R201" i="2"/>
  <c r="Q201" i="2"/>
  <c r="AQ201" i="2" s="1"/>
  <c r="O201" i="2"/>
  <c r="AP201" i="2" s="1"/>
  <c r="N201" i="2"/>
  <c r="AO201" i="2" s="1"/>
  <c r="M201" i="2"/>
  <c r="AN201" i="2" s="1"/>
  <c r="L201" i="2"/>
  <c r="AM201" i="2" s="1"/>
  <c r="K201" i="2"/>
  <c r="AL201" i="2" s="1"/>
  <c r="J201" i="2"/>
  <c r="AK201" i="2" s="1"/>
  <c r="I201" i="2"/>
  <c r="AJ201" i="2" s="1"/>
  <c r="H201" i="2"/>
  <c r="AI201" i="2" s="1"/>
  <c r="G201" i="2"/>
  <c r="AH201" i="2" s="1"/>
  <c r="F201" i="2"/>
  <c r="AG201" i="2" s="1"/>
  <c r="E201" i="2"/>
  <c r="AF201" i="2" s="1"/>
  <c r="D201" i="2"/>
  <c r="AE201" i="2" s="1"/>
  <c r="C201" i="2"/>
  <c r="B201" i="2"/>
  <c r="R200" i="2"/>
  <c r="Q200" i="2"/>
  <c r="AQ200" i="2" s="1"/>
  <c r="O200" i="2"/>
  <c r="AP200" i="2" s="1"/>
  <c r="N200" i="2"/>
  <c r="AO200" i="2" s="1"/>
  <c r="M200" i="2"/>
  <c r="AN200" i="2" s="1"/>
  <c r="L200" i="2"/>
  <c r="AM200" i="2" s="1"/>
  <c r="K200" i="2"/>
  <c r="AL200" i="2" s="1"/>
  <c r="J200" i="2"/>
  <c r="AK200" i="2" s="1"/>
  <c r="I200" i="2"/>
  <c r="AJ200" i="2" s="1"/>
  <c r="H200" i="2"/>
  <c r="AI200" i="2" s="1"/>
  <c r="G200" i="2"/>
  <c r="AH200" i="2" s="1"/>
  <c r="F200" i="2"/>
  <c r="AG200" i="2" s="1"/>
  <c r="E200" i="2"/>
  <c r="AF200" i="2" s="1"/>
  <c r="D200" i="2"/>
  <c r="AE200" i="2" s="1"/>
  <c r="C200" i="2"/>
  <c r="B200" i="2"/>
  <c r="R199" i="2"/>
  <c r="Q199" i="2"/>
  <c r="AQ199" i="2" s="1"/>
  <c r="O199" i="2"/>
  <c r="AP199" i="2" s="1"/>
  <c r="N199" i="2"/>
  <c r="AO199" i="2" s="1"/>
  <c r="M199" i="2"/>
  <c r="AN199" i="2" s="1"/>
  <c r="L199" i="2"/>
  <c r="AM199" i="2" s="1"/>
  <c r="K199" i="2"/>
  <c r="AL199" i="2" s="1"/>
  <c r="J199" i="2"/>
  <c r="AK199" i="2" s="1"/>
  <c r="I199" i="2"/>
  <c r="AJ199" i="2" s="1"/>
  <c r="H199" i="2"/>
  <c r="AI199" i="2" s="1"/>
  <c r="G199" i="2"/>
  <c r="AH199" i="2" s="1"/>
  <c r="F199" i="2"/>
  <c r="AG199" i="2" s="1"/>
  <c r="E199" i="2"/>
  <c r="AF199" i="2" s="1"/>
  <c r="D199" i="2"/>
  <c r="AE199" i="2" s="1"/>
  <c r="C199" i="2"/>
  <c r="B199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R194" i="2"/>
  <c r="Q194" i="2"/>
  <c r="AQ194" i="2" s="1"/>
  <c r="O194" i="2"/>
  <c r="AP194" i="2" s="1"/>
  <c r="N194" i="2"/>
  <c r="AO194" i="2" s="1"/>
  <c r="M194" i="2"/>
  <c r="AN194" i="2" s="1"/>
  <c r="L194" i="2"/>
  <c r="AM194" i="2" s="1"/>
  <c r="K194" i="2"/>
  <c r="AL194" i="2" s="1"/>
  <c r="J194" i="2"/>
  <c r="AK194" i="2" s="1"/>
  <c r="I194" i="2"/>
  <c r="AJ194" i="2" s="1"/>
  <c r="H194" i="2"/>
  <c r="AI194" i="2" s="1"/>
  <c r="G194" i="2"/>
  <c r="AH194" i="2" s="1"/>
  <c r="F194" i="2"/>
  <c r="AG194" i="2" s="1"/>
  <c r="E194" i="2"/>
  <c r="AF194" i="2" s="1"/>
  <c r="D194" i="2"/>
  <c r="AE194" i="2" s="1"/>
  <c r="C194" i="2"/>
  <c r="B194" i="2"/>
  <c r="R193" i="2"/>
  <c r="Q193" i="2"/>
  <c r="AQ193" i="2" s="1"/>
  <c r="O193" i="2"/>
  <c r="AP193" i="2" s="1"/>
  <c r="N193" i="2"/>
  <c r="AO193" i="2" s="1"/>
  <c r="M193" i="2"/>
  <c r="AN193" i="2" s="1"/>
  <c r="L193" i="2"/>
  <c r="AM193" i="2" s="1"/>
  <c r="K193" i="2"/>
  <c r="AL193" i="2" s="1"/>
  <c r="J193" i="2"/>
  <c r="AK193" i="2" s="1"/>
  <c r="I193" i="2"/>
  <c r="AJ193" i="2" s="1"/>
  <c r="H193" i="2"/>
  <c r="AI193" i="2" s="1"/>
  <c r="G193" i="2"/>
  <c r="AH193" i="2" s="1"/>
  <c r="F193" i="2"/>
  <c r="AG193" i="2" s="1"/>
  <c r="E193" i="2"/>
  <c r="AF193" i="2" s="1"/>
  <c r="D193" i="2"/>
  <c r="AE193" i="2" s="1"/>
  <c r="C193" i="2"/>
  <c r="B193" i="2"/>
  <c r="R192" i="2"/>
  <c r="Q192" i="2"/>
  <c r="AQ192" i="2" s="1"/>
  <c r="O192" i="2"/>
  <c r="AP192" i="2" s="1"/>
  <c r="N192" i="2"/>
  <c r="AO192" i="2" s="1"/>
  <c r="M192" i="2"/>
  <c r="AN192" i="2" s="1"/>
  <c r="L192" i="2"/>
  <c r="AM192" i="2" s="1"/>
  <c r="K192" i="2"/>
  <c r="AL192" i="2" s="1"/>
  <c r="J192" i="2"/>
  <c r="AK192" i="2" s="1"/>
  <c r="I192" i="2"/>
  <c r="AJ192" i="2" s="1"/>
  <c r="H192" i="2"/>
  <c r="AI192" i="2" s="1"/>
  <c r="G192" i="2"/>
  <c r="AH192" i="2" s="1"/>
  <c r="F192" i="2"/>
  <c r="AG192" i="2" s="1"/>
  <c r="E192" i="2"/>
  <c r="AF192" i="2" s="1"/>
  <c r="D192" i="2"/>
  <c r="AE192" i="2" s="1"/>
  <c r="C192" i="2"/>
  <c r="B192" i="2"/>
  <c r="R191" i="2"/>
  <c r="Q191" i="2"/>
  <c r="AQ191" i="2" s="1"/>
  <c r="O191" i="2"/>
  <c r="AP191" i="2" s="1"/>
  <c r="N191" i="2"/>
  <c r="AO191" i="2" s="1"/>
  <c r="M191" i="2"/>
  <c r="AN191" i="2" s="1"/>
  <c r="L191" i="2"/>
  <c r="AM191" i="2" s="1"/>
  <c r="K191" i="2"/>
  <c r="AL191" i="2" s="1"/>
  <c r="J191" i="2"/>
  <c r="AK191" i="2" s="1"/>
  <c r="I191" i="2"/>
  <c r="AJ191" i="2" s="1"/>
  <c r="H191" i="2"/>
  <c r="AI191" i="2" s="1"/>
  <c r="G191" i="2"/>
  <c r="AH191" i="2" s="1"/>
  <c r="F191" i="2"/>
  <c r="AG191" i="2" s="1"/>
  <c r="E191" i="2"/>
  <c r="AF191" i="2" s="1"/>
  <c r="D191" i="2"/>
  <c r="AE191" i="2" s="1"/>
  <c r="C191" i="2"/>
  <c r="B191" i="2"/>
  <c r="R190" i="2"/>
  <c r="Q190" i="2"/>
  <c r="AQ190" i="2" s="1"/>
  <c r="O190" i="2"/>
  <c r="AP190" i="2" s="1"/>
  <c r="N190" i="2"/>
  <c r="AO190" i="2" s="1"/>
  <c r="M190" i="2"/>
  <c r="AN190" i="2" s="1"/>
  <c r="L190" i="2"/>
  <c r="AM190" i="2" s="1"/>
  <c r="K190" i="2"/>
  <c r="AL190" i="2" s="1"/>
  <c r="J190" i="2"/>
  <c r="AK190" i="2" s="1"/>
  <c r="I190" i="2"/>
  <c r="AJ190" i="2" s="1"/>
  <c r="H190" i="2"/>
  <c r="AI190" i="2" s="1"/>
  <c r="G190" i="2"/>
  <c r="AH190" i="2" s="1"/>
  <c r="F190" i="2"/>
  <c r="AG190" i="2" s="1"/>
  <c r="E190" i="2"/>
  <c r="AF190" i="2" s="1"/>
  <c r="D190" i="2"/>
  <c r="AE190" i="2" s="1"/>
  <c r="C190" i="2"/>
  <c r="B190" i="2"/>
  <c r="R189" i="2"/>
  <c r="Q189" i="2"/>
  <c r="AQ189" i="2" s="1"/>
  <c r="O189" i="2"/>
  <c r="AP189" i="2" s="1"/>
  <c r="N189" i="2"/>
  <c r="AO189" i="2" s="1"/>
  <c r="M189" i="2"/>
  <c r="AN189" i="2" s="1"/>
  <c r="L189" i="2"/>
  <c r="AM189" i="2" s="1"/>
  <c r="K189" i="2"/>
  <c r="AL189" i="2" s="1"/>
  <c r="J189" i="2"/>
  <c r="AK189" i="2" s="1"/>
  <c r="I189" i="2"/>
  <c r="AJ189" i="2" s="1"/>
  <c r="H189" i="2"/>
  <c r="AI189" i="2" s="1"/>
  <c r="G189" i="2"/>
  <c r="AH189" i="2" s="1"/>
  <c r="F189" i="2"/>
  <c r="AG189" i="2" s="1"/>
  <c r="E189" i="2"/>
  <c r="AF189" i="2" s="1"/>
  <c r="D189" i="2"/>
  <c r="AE189" i="2" s="1"/>
  <c r="C189" i="2"/>
  <c r="B189" i="2"/>
  <c r="R184" i="2"/>
  <c r="Q184" i="2"/>
  <c r="AQ184" i="2" s="1"/>
  <c r="O184" i="2"/>
  <c r="AP184" i="2" s="1"/>
  <c r="N184" i="2"/>
  <c r="AO184" i="2" s="1"/>
  <c r="M184" i="2"/>
  <c r="AN184" i="2" s="1"/>
  <c r="L184" i="2"/>
  <c r="AM184" i="2" s="1"/>
  <c r="K184" i="2"/>
  <c r="AL184" i="2" s="1"/>
  <c r="J184" i="2"/>
  <c r="AK184" i="2" s="1"/>
  <c r="I184" i="2"/>
  <c r="AJ184" i="2" s="1"/>
  <c r="H184" i="2"/>
  <c r="AI184" i="2" s="1"/>
  <c r="G184" i="2"/>
  <c r="AH184" i="2" s="1"/>
  <c r="F184" i="2"/>
  <c r="AG184" i="2" s="1"/>
  <c r="E184" i="2"/>
  <c r="AF184" i="2" s="1"/>
  <c r="D184" i="2"/>
  <c r="AE184" i="2" s="1"/>
  <c r="C184" i="2"/>
  <c r="B184" i="2"/>
  <c r="R183" i="2"/>
  <c r="Q183" i="2"/>
  <c r="AQ183" i="2" s="1"/>
  <c r="O183" i="2"/>
  <c r="AP183" i="2" s="1"/>
  <c r="N183" i="2"/>
  <c r="AO183" i="2" s="1"/>
  <c r="M183" i="2"/>
  <c r="AN183" i="2" s="1"/>
  <c r="L183" i="2"/>
  <c r="AM183" i="2" s="1"/>
  <c r="K183" i="2"/>
  <c r="AL183" i="2" s="1"/>
  <c r="J183" i="2"/>
  <c r="AK183" i="2" s="1"/>
  <c r="I183" i="2"/>
  <c r="AJ183" i="2" s="1"/>
  <c r="H183" i="2"/>
  <c r="AI183" i="2" s="1"/>
  <c r="G183" i="2"/>
  <c r="AH183" i="2" s="1"/>
  <c r="F183" i="2"/>
  <c r="AG183" i="2" s="1"/>
  <c r="E183" i="2"/>
  <c r="AF183" i="2" s="1"/>
  <c r="D183" i="2"/>
  <c r="AE183" i="2" s="1"/>
  <c r="C183" i="2"/>
  <c r="B183" i="2"/>
  <c r="R182" i="2"/>
  <c r="Q182" i="2"/>
  <c r="AQ182" i="2" s="1"/>
  <c r="O182" i="2"/>
  <c r="AP182" i="2" s="1"/>
  <c r="N182" i="2"/>
  <c r="AO182" i="2" s="1"/>
  <c r="M182" i="2"/>
  <c r="AN182" i="2" s="1"/>
  <c r="L182" i="2"/>
  <c r="AM182" i="2" s="1"/>
  <c r="K182" i="2"/>
  <c r="AL182" i="2" s="1"/>
  <c r="J182" i="2"/>
  <c r="AK182" i="2" s="1"/>
  <c r="I182" i="2"/>
  <c r="AJ182" i="2" s="1"/>
  <c r="H182" i="2"/>
  <c r="AI182" i="2" s="1"/>
  <c r="G182" i="2"/>
  <c r="AH182" i="2" s="1"/>
  <c r="F182" i="2"/>
  <c r="AG182" i="2" s="1"/>
  <c r="E182" i="2"/>
  <c r="AF182" i="2" s="1"/>
  <c r="D182" i="2"/>
  <c r="AE182" i="2" s="1"/>
  <c r="C182" i="2"/>
  <c r="B182" i="2"/>
  <c r="R181" i="2"/>
  <c r="Q181" i="2"/>
  <c r="AQ181" i="2" s="1"/>
  <c r="O181" i="2"/>
  <c r="AP181" i="2" s="1"/>
  <c r="N181" i="2"/>
  <c r="AO181" i="2" s="1"/>
  <c r="M181" i="2"/>
  <c r="AN181" i="2" s="1"/>
  <c r="L181" i="2"/>
  <c r="AM181" i="2" s="1"/>
  <c r="K181" i="2"/>
  <c r="AL181" i="2" s="1"/>
  <c r="J181" i="2"/>
  <c r="AK181" i="2" s="1"/>
  <c r="I181" i="2"/>
  <c r="AJ181" i="2" s="1"/>
  <c r="H181" i="2"/>
  <c r="AI181" i="2" s="1"/>
  <c r="G181" i="2"/>
  <c r="AH181" i="2" s="1"/>
  <c r="F181" i="2"/>
  <c r="AG181" i="2" s="1"/>
  <c r="E181" i="2"/>
  <c r="AF181" i="2" s="1"/>
  <c r="D181" i="2"/>
  <c r="AE181" i="2" s="1"/>
  <c r="C181" i="2"/>
  <c r="B181" i="2"/>
  <c r="R180" i="2"/>
  <c r="Q180" i="2"/>
  <c r="AQ180" i="2" s="1"/>
  <c r="O180" i="2"/>
  <c r="AP180" i="2" s="1"/>
  <c r="N180" i="2"/>
  <c r="AO180" i="2" s="1"/>
  <c r="M180" i="2"/>
  <c r="AN180" i="2" s="1"/>
  <c r="L180" i="2"/>
  <c r="AM180" i="2" s="1"/>
  <c r="K180" i="2"/>
  <c r="AL180" i="2" s="1"/>
  <c r="J180" i="2"/>
  <c r="AK180" i="2" s="1"/>
  <c r="I180" i="2"/>
  <c r="AJ180" i="2" s="1"/>
  <c r="H180" i="2"/>
  <c r="AI180" i="2" s="1"/>
  <c r="G180" i="2"/>
  <c r="AH180" i="2" s="1"/>
  <c r="F180" i="2"/>
  <c r="AG180" i="2" s="1"/>
  <c r="E180" i="2"/>
  <c r="AF180" i="2" s="1"/>
  <c r="D180" i="2"/>
  <c r="AE180" i="2" s="1"/>
  <c r="C180" i="2"/>
  <c r="B180" i="2"/>
  <c r="R179" i="2"/>
  <c r="Q179" i="2"/>
  <c r="AQ179" i="2" s="1"/>
  <c r="O179" i="2"/>
  <c r="AP179" i="2" s="1"/>
  <c r="N179" i="2"/>
  <c r="AO179" i="2" s="1"/>
  <c r="M179" i="2"/>
  <c r="AN179" i="2" s="1"/>
  <c r="L179" i="2"/>
  <c r="AM179" i="2" s="1"/>
  <c r="K179" i="2"/>
  <c r="AL179" i="2" s="1"/>
  <c r="J179" i="2"/>
  <c r="AK179" i="2" s="1"/>
  <c r="I179" i="2"/>
  <c r="AJ179" i="2" s="1"/>
  <c r="H179" i="2"/>
  <c r="AI179" i="2" s="1"/>
  <c r="G179" i="2"/>
  <c r="AH179" i="2" s="1"/>
  <c r="F179" i="2"/>
  <c r="AG179" i="2" s="1"/>
  <c r="E179" i="2"/>
  <c r="AF179" i="2" s="1"/>
  <c r="D179" i="2"/>
  <c r="AE179" i="2" s="1"/>
  <c r="C179" i="2"/>
  <c r="B179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R174" i="2"/>
  <c r="Q174" i="2"/>
  <c r="AQ174" i="2" s="1"/>
  <c r="O174" i="2"/>
  <c r="AP174" i="2" s="1"/>
  <c r="N174" i="2"/>
  <c r="AO174" i="2" s="1"/>
  <c r="M174" i="2"/>
  <c r="AN174" i="2" s="1"/>
  <c r="L174" i="2"/>
  <c r="AM174" i="2" s="1"/>
  <c r="K174" i="2"/>
  <c r="AL174" i="2" s="1"/>
  <c r="J174" i="2"/>
  <c r="AK174" i="2" s="1"/>
  <c r="I174" i="2"/>
  <c r="AJ174" i="2" s="1"/>
  <c r="H174" i="2"/>
  <c r="AI174" i="2" s="1"/>
  <c r="G174" i="2"/>
  <c r="AH174" i="2" s="1"/>
  <c r="F174" i="2"/>
  <c r="AG174" i="2" s="1"/>
  <c r="E174" i="2"/>
  <c r="AF174" i="2" s="1"/>
  <c r="D174" i="2"/>
  <c r="AE174" i="2" s="1"/>
  <c r="C174" i="2"/>
  <c r="R173" i="2"/>
  <c r="Q173" i="2"/>
  <c r="AQ173" i="2" s="1"/>
  <c r="O173" i="2"/>
  <c r="AP173" i="2" s="1"/>
  <c r="N173" i="2"/>
  <c r="AO173" i="2" s="1"/>
  <c r="M173" i="2"/>
  <c r="AN173" i="2" s="1"/>
  <c r="L173" i="2"/>
  <c r="AM173" i="2" s="1"/>
  <c r="K173" i="2"/>
  <c r="AL173" i="2" s="1"/>
  <c r="J173" i="2"/>
  <c r="AK173" i="2" s="1"/>
  <c r="I173" i="2"/>
  <c r="AJ173" i="2" s="1"/>
  <c r="H173" i="2"/>
  <c r="AI173" i="2" s="1"/>
  <c r="G173" i="2"/>
  <c r="AH173" i="2" s="1"/>
  <c r="F173" i="2"/>
  <c r="AG173" i="2" s="1"/>
  <c r="E173" i="2"/>
  <c r="AF173" i="2" s="1"/>
  <c r="D173" i="2"/>
  <c r="AE173" i="2" s="1"/>
  <c r="C173" i="2"/>
  <c r="R172" i="2"/>
  <c r="Q172" i="2"/>
  <c r="AQ172" i="2" s="1"/>
  <c r="O172" i="2"/>
  <c r="AP172" i="2" s="1"/>
  <c r="N172" i="2"/>
  <c r="AO172" i="2" s="1"/>
  <c r="M172" i="2"/>
  <c r="AN172" i="2" s="1"/>
  <c r="L172" i="2"/>
  <c r="AM172" i="2" s="1"/>
  <c r="K172" i="2"/>
  <c r="AL172" i="2" s="1"/>
  <c r="J172" i="2"/>
  <c r="AK172" i="2" s="1"/>
  <c r="I172" i="2"/>
  <c r="AJ172" i="2" s="1"/>
  <c r="H172" i="2"/>
  <c r="AI172" i="2" s="1"/>
  <c r="G172" i="2"/>
  <c r="AH172" i="2" s="1"/>
  <c r="F172" i="2"/>
  <c r="AG172" i="2" s="1"/>
  <c r="E172" i="2"/>
  <c r="AF172" i="2" s="1"/>
  <c r="D172" i="2"/>
  <c r="AE172" i="2" s="1"/>
  <c r="C172" i="2"/>
  <c r="R171" i="2"/>
  <c r="Q171" i="2"/>
  <c r="AQ171" i="2" s="1"/>
  <c r="O171" i="2"/>
  <c r="AP171" i="2" s="1"/>
  <c r="N171" i="2"/>
  <c r="AO171" i="2" s="1"/>
  <c r="M171" i="2"/>
  <c r="AN171" i="2" s="1"/>
  <c r="L171" i="2"/>
  <c r="AM171" i="2" s="1"/>
  <c r="K171" i="2"/>
  <c r="AL171" i="2" s="1"/>
  <c r="J171" i="2"/>
  <c r="AK171" i="2" s="1"/>
  <c r="I171" i="2"/>
  <c r="AJ171" i="2" s="1"/>
  <c r="H171" i="2"/>
  <c r="AI171" i="2" s="1"/>
  <c r="G171" i="2"/>
  <c r="AH171" i="2" s="1"/>
  <c r="F171" i="2"/>
  <c r="AG171" i="2" s="1"/>
  <c r="E171" i="2"/>
  <c r="AF171" i="2" s="1"/>
  <c r="D171" i="2"/>
  <c r="AE171" i="2" s="1"/>
  <c r="C171" i="2"/>
  <c r="R170" i="2"/>
  <c r="Q170" i="2"/>
  <c r="AQ170" i="2" s="1"/>
  <c r="O170" i="2"/>
  <c r="AP170" i="2" s="1"/>
  <c r="N170" i="2"/>
  <c r="AO170" i="2" s="1"/>
  <c r="M170" i="2"/>
  <c r="AN170" i="2" s="1"/>
  <c r="L170" i="2"/>
  <c r="AM170" i="2" s="1"/>
  <c r="K170" i="2"/>
  <c r="AL170" i="2" s="1"/>
  <c r="J170" i="2"/>
  <c r="AK170" i="2" s="1"/>
  <c r="I170" i="2"/>
  <c r="AJ170" i="2" s="1"/>
  <c r="H170" i="2"/>
  <c r="AI170" i="2" s="1"/>
  <c r="G170" i="2"/>
  <c r="AH170" i="2" s="1"/>
  <c r="F170" i="2"/>
  <c r="AG170" i="2" s="1"/>
  <c r="E170" i="2"/>
  <c r="AF170" i="2" s="1"/>
  <c r="D170" i="2"/>
  <c r="AE170" i="2" s="1"/>
  <c r="C170" i="2"/>
  <c r="R169" i="2"/>
  <c r="Q169" i="2"/>
  <c r="AQ169" i="2" s="1"/>
  <c r="O169" i="2"/>
  <c r="AP169" i="2" s="1"/>
  <c r="N169" i="2"/>
  <c r="AO169" i="2" s="1"/>
  <c r="M169" i="2"/>
  <c r="AN169" i="2" s="1"/>
  <c r="L169" i="2"/>
  <c r="AM169" i="2" s="1"/>
  <c r="K169" i="2"/>
  <c r="AL169" i="2" s="1"/>
  <c r="J169" i="2"/>
  <c r="AK169" i="2" s="1"/>
  <c r="I169" i="2"/>
  <c r="AJ169" i="2" s="1"/>
  <c r="H169" i="2"/>
  <c r="AI169" i="2" s="1"/>
  <c r="G169" i="2"/>
  <c r="AH169" i="2" s="1"/>
  <c r="F169" i="2"/>
  <c r="AG169" i="2" s="1"/>
  <c r="E169" i="2"/>
  <c r="AF169" i="2" s="1"/>
  <c r="D169" i="2"/>
  <c r="AE169" i="2" s="1"/>
  <c r="C169" i="2"/>
  <c r="R168" i="2"/>
  <c r="Q168" i="2"/>
  <c r="AQ168" i="2" s="1"/>
  <c r="O168" i="2"/>
  <c r="AP168" i="2" s="1"/>
  <c r="N168" i="2"/>
  <c r="AO168" i="2" s="1"/>
  <c r="M168" i="2"/>
  <c r="AN168" i="2" s="1"/>
  <c r="L168" i="2"/>
  <c r="AM168" i="2" s="1"/>
  <c r="K168" i="2"/>
  <c r="AL168" i="2" s="1"/>
  <c r="J168" i="2"/>
  <c r="AK168" i="2" s="1"/>
  <c r="I168" i="2"/>
  <c r="AJ168" i="2" s="1"/>
  <c r="H168" i="2"/>
  <c r="AI168" i="2" s="1"/>
  <c r="G168" i="2"/>
  <c r="AH168" i="2" s="1"/>
  <c r="F168" i="2"/>
  <c r="AG168" i="2" s="1"/>
  <c r="E168" i="2"/>
  <c r="AF168" i="2" s="1"/>
  <c r="D168" i="2"/>
  <c r="AE168" i="2" s="1"/>
  <c r="C168" i="2"/>
  <c r="R167" i="2"/>
  <c r="Q167" i="2"/>
  <c r="AQ167" i="2" s="1"/>
  <c r="O167" i="2"/>
  <c r="AP167" i="2" s="1"/>
  <c r="N167" i="2"/>
  <c r="AO167" i="2" s="1"/>
  <c r="M167" i="2"/>
  <c r="AN167" i="2" s="1"/>
  <c r="L167" i="2"/>
  <c r="AM167" i="2" s="1"/>
  <c r="K167" i="2"/>
  <c r="AL167" i="2" s="1"/>
  <c r="J167" i="2"/>
  <c r="AK167" i="2" s="1"/>
  <c r="I167" i="2"/>
  <c r="AJ167" i="2" s="1"/>
  <c r="H167" i="2"/>
  <c r="AI167" i="2" s="1"/>
  <c r="G167" i="2"/>
  <c r="AH167" i="2" s="1"/>
  <c r="F167" i="2"/>
  <c r="AG167" i="2" s="1"/>
  <c r="E167" i="2"/>
  <c r="AF167" i="2" s="1"/>
  <c r="D167" i="2"/>
  <c r="AE167" i="2" s="1"/>
  <c r="C167" i="2"/>
  <c r="R166" i="2"/>
  <c r="Q166" i="2"/>
  <c r="AQ166" i="2" s="1"/>
  <c r="O166" i="2"/>
  <c r="AP166" i="2" s="1"/>
  <c r="N166" i="2"/>
  <c r="AO166" i="2" s="1"/>
  <c r="M166" i="2"/>
  <c r="AN166" i="2" s="1"/>
  <c r="L166" i="2"/>
  <c r="AM166" i="2" s="1"/>
  <c r="K166" i="2"/>
  <c r="AL166" i="2" s="1"/>
  <c r="J166" i="2"/>
  <c r="AK166" i="2" s="1"/>
  <c r="I166" i="2"/>
  <c r="AJ166" i="2" s="1"/>
  <c r="H166" i="2"/>
  <c r="AI166" i="2" s="1"/>
  <c r="G166" i="2"/>
  <c r="AH166" i="2" s="1"/>
  <c r="F166" i="2"/>
  <c r="AG166" i="2" s="1"/>
  <c r="E166" i="2"/>
  <c r="AF166" i="2" s="1"/>
  <c r="D166" i="2"/>
  <c r="AE166" i="2" s="1"/>
  <c r="C166" i="2"/>
  <c r="AQ165" i="2"/>
  <c r="AQ164" i="2"/>
  <c r="AQ163" i="2"/>
  <c r="B174" i="2"/>
  <c r="B173" i="2"/>
  <c r="B172" i="2"/>
  <c r="B171" i="2"/>
  <c r="B170" i="2"/>
  <c r="B169" i="2"/>
  <c r="B168" i="2"/>
  <c r="B167" i="2"/>
  <c r="B166" i="2"/>
  <c r="AQ110" i="2"/>
  <c r="AQ32" i="2"/>
  <c r="R207" i="7"/>
  <c r="Q207" i="7"/>
  <c r="O207" i="7"/>
  <c r="N207" i="7"/>
  <c r="M207" i="7"/>
  <c r="L207" i="7"/>
  <c r="K207" i="7"/>
  <c r="J207" i="7"/>
  <c r="I207" i="7"/>
  <c r="H207" i="7"/>
  <c r="G207" i="7"/>
  <c r="E207" i="7"/>
  <c r="D207" i="7"/>
  <c r="C207" i="7"/>
  <c r="R205" i="7"/>
  <c r="Q205" i="7"/>
  <c r="O205" i="7"/>
  <c r="N205" i="7"/>
  <c r="M205" i="7"/>
  <c r="L205" i="7"/>
  <c r="K205" i="7"/>
  <c r="J205" i="7"/>
  <c r="I205" i="7"/>
  <c r="H205" i="7"/>
  <c r="G205" i="7"/>
  <c r="E205" i="7"/>
  <c r="D205" i="7"/>
  <c r="C205" i="7"/>
  <c r="R204" i="7"/>
  <c r="Q204" i="7"/>
  <c r="O204" i="7"/>
  <c r="N204" i="7"/>
  <c r="M204" i="7"/>
  <c r="L204" i="7"/>
  <c r="K204" i="7"/>
  <c r="J204" i="7"/>
  <c r="I204" i="7"/>
  <c r="H204" i="7"/>
  <c r="G204" i="7"/>
  <c r="E204" i="7"/>
  <c r="D204" i="7"/>
  <c r="C204" i="7"/>
  <c r="R201" i="7"/>
  <c r="Q201" i="7"/>
  <c r="O201" i="7"/>
  <c r="N201" i="7"/>
  <c r="M201" i="7"/>
  <c r="L201" i="7"/>
  <c r="K201" i="7"/>
  <c r="J201" i="7"/>
  <c r="I201" i="7"/>
  <c r="H201" i="7"/>
  <c r="G201" i="7"/>
  <c r="E201" i="7"/>
  <c r="D201" i="7"/>
  <c r="C201" i="7"/>
  <c r="R200" i="7"/>
  <c r="Q200" i="7"/>
  <c r="O200" i="7"/>
  <c r="N200" i="7"/>
  <c r="M200" i="7"/>
  <c r="L200" i="7"/>
  <c r="K200" i="7"/>
  <c r="J200" i="7"/>
  <c r="I200" i="7"/>
  <c r="H200" i="7"/>
  <c r="G200" i="7"/>
  <c r="E200" i="7"/>
  <c r="D200" i="7"/>
  <c r="C200" i="7"/>
  <c r="R199" i="7"/>
  <c r="Q199" i="7"/>
  <c r="O199" i="7"/>
  <c r="N199" i="7"/>
  <c r="M199" i="7"/>
  <c r="L199" i="7"/>
  <c r="K199" i="7"/>
  <c r="J199" i="7"/>
  <c r="I199" i="7"/>
  <c r="H199" i="7"/>
  <c r="G199" i="7"/>
  <c r="E199" i="7"/>
  <c r="D199" i="7"/>
  <c r="C199" i="7"/>
  <c r="R198" i="7"/>
  <c r="Q198" i="7"/>
  <c r="O198" i="7"/>
  <c r="N198" i="7"/>
  <c r="M198" i="7"/>
  <c r="L198" i="7"/>
  <c r="K198" i="7"/>
  <c r="J198" i="7"/>
  <c r="I198" i="7"/>
  <c r="H198" i="7"/>
  <c r="G198" i="7"/>
  <c r="E198" i="7"/>
  <c r="D198" i="7"/>
  <c r="C198" i="7"/>
  <c r="R195" i="7"/>
  <c r="Q195" i="7"/>
  <c r="O195" i="7"/>
  <c r="N195" i="7"/>
  <c r="M195" i="7"/>
  <c r="L195" i="7"/>
  <c r="K195" i="7"/>
  <c r="J195" i="7"/>
  <c r="I195" i="7"/>
  <c r="H195" i="7"/>
  <c r="G195" i="7"/>
  <c r="E195" i="7"/>
  <c r="D195" i="7"/>
  <c r="C195" i="7"/>
  <c r="R193" i="7"/>
  <c r="Q193" i="7"/>
  <c r="O193" i="7"/>
  <c r="N193" i="7"/>
  <c r="M193" i="7"/>
  <c r="L193" i="7"/>
  <c r="K193" i="7"/>
  <c r="J193" i="7"/>
  <c r="I193" i="7"/>
  <c r="H193" i="7"/>
  <c r="G193" i="7"/>
  <c r="E193" i="7"/>
  <c r="D193" i="7"/>
  <c r="C193" i="7"/>
  <c r="R192" i="7"/>
  <c r="Q192" i="7"/>
  <c r="O192" i="7"/>
  <c r="N192" i="7"/>
  <c r="M192" i="7"/>
  <c r="L192" i="7"/>
  <c r="K192" i="7"/>
  <c r="J192" i="7"/>
  <c r="I192" i="7"/>
  <c r="H192" i="7"/>
  <c r="G192" i="7"/>
  <c r="E192" i="7"/>
  <c r="D192" i="7"/>
  <c r="C192" i="7"/>
  <c r="R191" i="7"/>
  <c r="Q191" i="7"/>
  <c r="O191" i="7"/>
  <c r="N191" i="7"/>
  <c r="M191" i="7"/>
  <c r="L191" i="7"/>
  <c r="K191" i="7"/>
  <c r="J191" i="7"/>
  <c r="I191" i="7"/>
  <c r="H191" i="7"/>
  <c r="G191" i="7"/>
  <c r="E191" i="7"/>
  <c r="D191" i="7"/>
  <c r="C191" i="7"/>
  <c r="R190" i="7"/>
  <c r="Q190" i="7"/>
  <c r="O190" i="7"/>
  <c r="N190" i="7"/>
  <c r="M190" i="7"/>
  <c r="L190" i="7"/>
  <c r="K190" i="7"/>
  <c r="J190" i="7"/>
  <c r="I190" i="7"/>
  <c r="H190" i="7"/>
  <c r="G190" i="7"/>
  <c r="E190" i="7"/>
  <c r="D190" i="7"/>
  <c r="C190" i="7"/>
  <c r="R189" i="7"/>
  <c r="Q189" i="7"/>
  <c r="O189" i="7"/>
  <c r="N189" i="7"/>
  <c r="M189" i="7"/>
  <c r="L189" i="7"/>
  <c r="K189" i="7"/>
  <c r="J189" i="7"/>
  <c r="I189" i="7"/>
  <c r="H189" i="7"/>
  <c r="G189" i="7"/>
  <c r="E189" i="7"/>
  <c r="D189" i="7"/>
  <c r="C189" i="7"/>
  <c r="R188" i="7"/>
  <c r="Q188" i="7"/>
  <c r="O188" i="7"/>
  <c r="N188" i="7"/>
  <c r="M188" i="7"/>
  <c r="L188" i="7"/>
  <c r="K188" i="7"/>
  <c r="J188" i="7"/>
  <c r="I188" i="7"/>
  <c r="H188" i="7"/>
  <c r="G188" i="7"/>
  <c r="E188" i="7"/>
  <c r="D188" i="7"/>
  <c r="C188" i="7"/>
  <c r="R185" i="7"/>
  <c r="Q185" i="7"/>
  <c r="O185" i="7"/>
  <c r="N185" i="7"/>
  <c r="M185" i="7"/>
  <c r="L185" i="7"/>
  <c r="K185" i="7"/>
  <c r="J185" i="7"/>
  <c r="I185" i="7"/>
  <c r="H185" i="7"/>
  <c r="G185" i="7"/>
  <c r="E185" i="7"/>
  <c r="D185" i="7"/>
  <c r="C185" i="7"/>
  <c r="R184" i="7"/>
  <c r="Q184" i="7"/>
  <c r="O184" i="7"/>
  <c r="N184" i="7"/>
  <c r="M184" i="7"/>
  <c r="L184" i="7"/>
  <c r="K184" i="7"/>
  <c r="J184" i="7"/>
  <c r="I184" i="7"/>
  <c r="H184" i="7"/>
  <c r="G184" i="7"/>
  <c r="E184" i="7"/>
  <c r="D184" i="7"/>
  <c r="C184" i="7"/>
  <c r="R183" i="7"/>
  <c r="Q183" i="7"/>
  <c r="O183" i="7"/>
  <c r="N183" i="7"/>
  <c r="M183" i="7"/>
  <c r="L183" i="7"/>
  <c r="K183" i="7"/>
  <c r="J183" i="7"/>
  <c r="I183" i="7"/>
  <c r="H183" i="7"/>
  <c r="G183" i="7"/>
  <c r="E183" i="7"/>
  <c r="D183" i="7"/>
  <c r="C183" i="7"/>
  <c r="R182" i="7"/>
  <c r="Q182" i="7"/>
  <c r="O182" i="7"/>
  <c r="N182" i="7"/>
  <c r="M182" i="7"/>
  <c r="L182" i="7"/>
  <c r="K182" i="7"/>
  <c r="J182" i="7"/>
  <c r="I182" i="7"/>
  <c r="H182" i="7"/>
  <c r="G182" i="7"/>
  <c r="E182" i="7"/>
  <c r="D182" i="7"/>
  <c r="C182" i="7"/>
  <c r="R181" i="7"/>
  <c r="Q181" i="7"/>
  <c r="O181" i="7"/>
  <c r="N181" i="7"/>
  <c r="M181" i="7"/>
  <c r="L181" i="7"/>
  <c r="K181" i="7"/>
  <c r="J181" i="7"/>
  <c r="I181" i="7"/>
  <c r="H181" i="7"/>
  <c r="G181" i="7"/>
  <c r="E181" i="7"/>
  <c r="D181" i="7"/>
  <c r="C181" i="7"/>
  <c r="R180" i="7"/>
  <c r="Q180" i="7"/>
  <c r="O180" i="7"/>
  <c r="N180" i="7"/>
  <c r="M180" i="7"/>
  <c r="L180" i="7"/>
  <c r="K180" i="7"/>
  <c r="J180" i="7"/>
  <c r="I180" i="7"/>
  <c r="H180" i="7"/>
  <c r="G180" i="7"/>
  <c r="E180" i="7"/>
  <c r="D180" i="7"/>
  <c r="C180" i="7"/>
  <c r="R179" i="7"/>
  <c r="Q179" i="7"/>
  <c r="O179" i="7"/>
  <c r="N179" i="7"/>
  <c r="M179" i="7"/>
  <c r="L179" i="7"/>
  <c r="K179" i="7"/>
  <c r="J179" i="7"/>
  <c r="I179" i="7"/>
  <c r="H179" i="7"/>
  <c r="G179" i="7"/>
  <c r="E179" i="7"/>
  <c r="D179" i="7"/>
  <c r="C179" i="7"/>
  <c r="R178" i="7"/>
  <c r="Q178" i="7"/>
  <c r="O178" i="7"/>
  <c r="N178" i="7"/>
  <c r="M178" i="7"/>
  <c r="L178" i="7"/>
  <c r="K178" i="7"/>
  <c r="J178" i="7"/>
  <c r="I178" i="7"/>
  <c r="H178" i="7"/>
  <c r="G178" i="7"/>
  <c r="E178" i="7"/>
  <c r="D178" i="7"/>
  <c r="C178" i="7"/>
  <c r="R177" i="7"/>
  <c r="Q177" i="7"/>
  <c r="O177" i="7"/>
  <c r="N177" i="7"/>
  <c r="M177" i="7"/>
  <c r="L177" i="7"/>
  <c r="K177" i="7"/>
  <c r="J177" i="7"/>
  <c r="I177" i="7"/>
  <c r="H177" i="7"/>
  <c r="G177" i="7"/>
  <c r="E177" i="7"/>
  <c r="D177" i="7"/>
  <c r="C177" i="7"/>
  <c r="R176" i="7"/>
  <c r="Q176" i="7"/>
  <c r="O176" i="7"/>
  <c r="N176" i="7"/>
  <c r="M176" i="7"/>
  <c r="L176" i="7"/>
  <c r="K176" i="7"/>
  <c r="J176" i="7"/>
  <c r="I176" i="7"/>
  <c r="H176" i="7"/>
  <c r="G176" i="7"/>
  <c r="E176" i="7"/>
  <c r="D176" i="7"/>
  <c r="C176" i="7"/>
  <c r="R173" i="7"/>
  <c r="Q173" i="7"/>
  <c r="O173" i="7"/>
  <c r="N173" i="7"/>
  <c r="M173" i="7"/>
  <c r="L173" i="7"/>
  <c r="K173" i="7"/>
  <c r="J173" i="7"/>
  <c r="I173" i="7"/>
  <c r="H173" i="7"/>
  <c r="G173" i="7"/>
  <c r="E173" i="7"/>
  <c r="D173" i="7"/>
  <c r="C173" i="7"/>
  <c r="R171" i="7"/>
  <c r="Q171" i="7"/>
  <c r="O171" i="7"/>
  <c r="N171" i="7"/>
  <c r="M171" i="7"/>
  <c r="L171" i="7"/>
  <c r="K171" i="7"/>
  <c r="J171" i="7"/>
  <c r="I171" i="7"/>
  <c r="H171" i="7"/>
  <c r="G171" i="7"/>
  <c r="E171" i="7"/>
  <c r="D171" i="7"/>
  <c r="C171" i="7"/>
  <c r="R170" i="7"/>
  <c r="Q170" i="7"/>
  <c r="O170" i="7"/>
  <c r="N170" i="7"/>
  <c r="M170" i="7"/>
  <c r="L170" i="7"/>
  <c r="K170" i="7"/>
  <c r="J170" i="7"/>
  <c r="I170" i="7"/>
  <c r="H170" i="7"/>
  <c r="G170" i="7"/>
  <c r="E170" i="7"/>
  <c r="D170" i="7"/>
  <c r="C170" i="7"/>
  <c r="R167" i="7"/>
  <c r="Q167" i="7"/>
  <c r="O167" i="7"/>
  <c r="N167" i="7"/>
  <c r="M167" i="7"/>
  <c r="L167" i="7"/>
  <c r="K167" i="7"/>
  <c r="J167" i="7"/>
  <c r="I167" i="7"/>
  <c r="H167" i="7"/>
  <c r="G167" i="7"/>
  <c r="E167" i="7"/>
  <c r="D167" i="7"/>
  <c r="C167" i="7"/>
  <c r="R166" i="7"/>
  <c r="Q166" i="7"/>
  <c r="O166" i="7"/>
  <c r="N166" i="7"/>
  <c r="M166" i="7"/>
  <c r="L166" i="7"/>
  <c r="K166" i="7"/>
  <c r="J166" i="7"/>
  <c r="I166" i="7"/>
  <c r="H166" i="7"/>
  <c r="G166" i="7"/>
  <c r="E166" i="7"/>
  <c r="D166" i="7"/>
  <c r="C166" i="7"/>
  <c r="R165" i="7"/>
  <c r="Q165" i="7"/>
  <c r="O165" i="7"/>
  <c r="N165" i="7"/>
  <c r="M165" i="7"/>
  <c r="L165" i="7"/>
  <c r="K165" i="7"/>
  <c r="J165" i="7"/>
  <c r="I165" i="7"/>
  <c r="H165" i="7"/>
  <c r="G165" i="7"/>
  <c r="E165" i="7"/>
  <c r="D165" i="7"/>
  <c r="C165" i="7"/>
  <c r="R164" i="7"/>
  <c r="Q164" i="7"/>
  <c r="O164" i="7"/>
  <c r="N164" i="7"/>
  <c r="M164" i="7"/>
  <c r="L164" i="7"/>
  <c r="K164" i="7"/>
  <c r="J164" i="7"/>
  <c r="I164" i="7"/>
  <c r="H164" i="7"/>
  <c r="G164" i="7"/>
  <c r="E164" i="7"/>
  <c r="D164" i="7"/>
  <c r="C164" i="7"/>
  <c r="R161" i="7"/>
  <c r="Q161" i="7"/>
  <c r="O161" i="7"/>
  <c r="N161" i="7"/>
  <c r="M161" i="7"/>
  <c r="L161" i="7"/>
  <c r="K161" i="7"/>
  <c r="J161" i="7"/>
  <c r="I161" i="7"/>
  <c r="H161" i="7"/>
  <c r="G161" i="7"/>
  <c r="E161" i="7"/>
  <c r="D161" i="7"/>
  <c r="C161" i="7"/>
  <c r="R159" i="7"/>
  <c r="Q159" i="7"/>
  <c r="O159" i="7"/>
  <c r="N159" i="7"/>
  <c r="M159" i="7"/>
  <c r="L159" i="7"/>
  <c r="K159" i="7"/>
  <c r="J159" i="7"/>
  <c r="I159" i="7"/>
  <c r="H159" i="7"/>
  <c r="G159" i="7"/>
  <c r="E159" i="7"/>
  <c r="D159" i="7"/>
  <c r="C159" i="7"/>
  <c r="R158" i="7"/>
  <c r="Q158" i="7"/>
  <c r="O158" i="7"/>
  <c r="N158" i="7"/>
  <c r="M158" i="7"/>
  <c r="L158" i="7"/>
  <c r="K158" i="7"/>
  <c r="J158" i="7"/>
  <c r="I158" i="7"/>
  <c r="H158" i="7"/>
  <c r="G158" i="7"/>
  <c r="E158" i="7"/>
  <c r="D158" i="7"/>
  <c r="C158" i="7"/>
  <c r="R157" i="7"/>
  <c r="Q157" i="7"/>
  <c r="O157" i="7"/>
  <c r="N157" i="7"/>
  <c r="M157" i="7"/>
  <c r="L157" i="7"/>
  <c r="K157" i="7"/>
  <c r="J157" i="7"/>
  <c r="I157" i="7"/>
  <c r="H157" i="7"/>
  <c r="G157" i="7"/>
  <c r="E157" i="7"/>
  <c r="D157" i="7"/>
  <c r="C157" i="7"/>
  <c r="R156" i="7"/>
  <c r="Q156" i="7"/>
  <c r="O156" i="7"/>
  <c r="N156" i="7"/>
  <c r="M156" i="7"/>
  <c r="L156" i="7"/>
  <c r="K156" i="7"/>
  <c r="J156" i="7"/>
  <c r="I156" i="7"/>
  <c r="H156" i="7"/>
  <c r="G156" i="7"/>
  <c r="E156" i="7"/>
  <c r="D156" i="7"/>
  <c r="C156" i="7"/>
  <c r="R155" i="7"/>
  <c r="Q155" i="7"/>
  <c r="O155" i="7"/>
  <c r="N155" i="7"/>
  <c r="M155" i="7"/>
  <c r="L155" i="7"/>
  <c r="K155" i="7"/>
  <c r="J155" i="7"/>
  <c r="I155" i="7"/>
  <c r="H155" i="7"/>
  <c r="G155" i="7"/>
  <c r="E155" i="7"/>
  <c r="D155" i="7"/>
  <c r="C155" i="7"/>
  <c r="R154" i="7"/>
  <c r="Q154" i="7"/>
  <c r="O154" i="7"/>
  <c r="N154" i="7"/>
  <c r="M154" i="7"/>
  <c r="L154" i="7"/>
  <c r="K154" i="7"/>
  <c r="J154" i="7"/>
  <c r="I154" i="7"/>
  <c r="H154" i="7"/>
  <c r="G154" i="7"/>
  <c r="E154" i="7"/>
  <c r="D154" i="7"/>
  <c r="C154" i="7"/>
  <c r="R151" i="7"/>
  <c r="Q151" i="7"/>
  <c r="O151" i="7"/>
  <c r="N151" i="7"/>
  <c r="M151" i="7"/>
  <c r="L151" i="7"/>
  <c r="K151" i="7"/>
  <c r="J151" i="7"/>
  <c r="I151" i="7"/>
  <c r="H151" i="7"/>
  <c r="G151" i="7"/>
  <c r="E151" i="7"/>
  <c r="D151" i="7"/>
  <c r="C151" i="7"/>
  <c r="R150" i="7"/>
  <c r="Q150" i="7"/>
  <c r="O150" i="7"/>
  <c r="N150" i="7"/>
  <c r="M150" i="7"/>
  <c r="L150" i="7"/>
  <c r="K150" i="7"/>
  <c r="J150" i="7"/>
  <c r="I150" i="7"/>
  <c r="H150" i="7"/>
  <c r="G150" i="7"/>
  <c r="E150" i="7"/>
  <c r="D150" i="7"/>
  <c r="C150" i="7"/>
  <c r="R149" i="7"/>
  <c r="Q149" i="7"/>
  <c r="O149" i="7"/>
  <c r="N149" i="7"/>
  <c r="M149" i="7"/>
  <c r="L149" i="7"/>
  <c r="K149" i="7"/>
  <c r="J149" i="7"/>
  <c r="I149" i="7"/>
  <c r="H149" i="7"/>
  <c r="G149" i="7"/>
  <c r="E149" i="7"/>
  <c r="D149" i="7"/>
  <c r="C149" i="7"/>
  <c r="R148" i="7"/>
  <c r="Q148" i="7"/>
  <c r="O148" i="7"/>
  <c r="N148" i="7"/>
  <c r="M148" i="7"/>
  <c r="L148" i="7"/>
  <c r="K148" i="7"/>
  <c r="J148" i="7"/>
  <c r="I148" i="7"/>
  <c r="H148" i="7"/>
  <c r="G148" i="7"/>
  <c r="E148" i="7"/>
  <c r="D148" i="7"/>
  <c r="C148" i="7"/>
  <c r="R147" i="7"/>
  <c r="Q147" i="7"/>
  <c r="O147" i="7"/>
  <c r="N147" i="7"/>
  <c r="M147" i="7"/>
  <c r="L147" i="7"/>
  <c r="K147" i="7"/>
  <c r="J147" i="7"/>
  <c r="I147" i="7"/>
  <c r="H147" i="7"/>
  <c r="G147" i="7"/>
  <c r="E147" i="7"/>
  <c r="D147" i="7"/>
  <c r="C147" i="7"/>
  <c r="R146" i="7"/>
  <c r="Q146" i="7"/>
  <c r="O146" i="7"/>
  <c r="N146" i="7"/>
  <c r="M146" i="7"/>
  <c r="L146" i="7"/>
  <c r="K146" i="7"/>
  <c r="J146" i="7"/>
  <c r="I146" i="7"/>
  <c r="H146" i="7"/>
  <c r="G146" i="7"/>
  <c r="E146" i="7"/>
  <c r="D146" i="7"/>
  <c r="C146" i="7"/>
  <c r="R145" i="7"/>
  <c r="Q145" i="7"/>
  <c r="O145" i="7"/>
  <c r="N145" i="7"/>
  <c r="M145" i="7"/>
  <c r="L145" i="7"/>
  <c r="K145" i="7"/>
  <c r="J145" i="7"/>
  <c r="I145" i="7"/>
  <c r="H145" i="7"/>
  <c r="G145" i="7"/>
  <c r="E145" i="7"/>
  <c r="D145" i="7"/>
  <c r="C145" i="7"/>
  <c r="R144" i="7"/>
  <c r="Q144" i="7"/>
  <c r="O144" i="7"/>
  <c r="N144" i="7"/>
  <c r="M144" i="7"/>
  <c r="L144" i="7"/>
  <c r="K144" i="7"/>
  <c r="J144" i="7"/>
  <c r="I144" i="7"/>
  <c r="H144" i="7"/>
  <c r="G144" i="7"/>
  <c r="E144" i="7"/>
  <c r="D144" i="7"/>
  <c r="C144" i="7"/>
  <c r="R143" i="7"/>
  <c r="Q143" i="7"/>
  <c r="O143" i="7"/>
  <c r="N143" i="7"/>
  <c r="M143" i="7"/>
  <c r="L143" i="7"/>
  <c r="K143" i="7"/>
  <c r="J143" i="7"/>
  <c r="I143" i="7"/>
  <c r="H143" i="7"/>
  <c r="G143" i="7"/>
  <c r="E143" i="7"/>
  <c r="D143" i="7"/>
  <c r="C143" i="7"/>
  <c r="R142" i="7"/>
  <c r="Q142" i="7"/>
  <c r="O142" i="7"/>
  <c r="N142" i="7"/>
  <c r="M142" i="7"/>
  <c r="L142" i="7"/>
  <c r="K142" i="7"/>
  <c r="J142" i="7"/>
  <c r="I142" i="7"/>
  <c r="H142" i="7"/>
  <c r="G142" i="7"/>
  <c r="E142" i="7"/>
  <c r="D142" i="7"/>
  <c r="C142" i="7"/>
  <c r="R139" i="7"/>
  <c r="Q139" i="7"/>
  <c r="R137" i="7"/>
  <c r="Q137" i="7"/>
  <c r="R136" i="7"/>
  <c r="Q136" i="7"/>
  <c r="R133" i="7"/>
  <c r="Q133" i="7"/>
  <c r="R132" i="7"/>
  <c r="Q132" i="7"/>
  <c r="R131" i="7"/>
  <c r="Q131" i="7"/>
  <c r="R130" i="7"/>
  <c r="Q130" i="7"/>
  <c r="R127" i="7"/>
  <c r="Q127" i="7"/>
  <c r="R125" i="7"/>
  <c r="Q125" i="7"/>
  <c r="R124" i="7"/>
  <c r="Q124" i="7"/>
  <c r="R123" i="7"/>
  <c r="Q123" i="7"/>
  <c r="R122" i="7"/>
  <c r="Q122" i="7"/>
  <c r="R121" i="7"/>
  <c r="Q121" i="7"/>
  <c r="R120" i="7"/>
  <c r="Q120" i="7"/>
  <c r="R117" i="7"/>
  <c r="Q117" i="7"/>
  <c r="R116" i="7"/>
  <c r="Q116" i="7"/>
  <c r="R115" i="7"/>
  <c r="Q115" i="7"/>
  <c r="R114" i="7"/>
  <c r="Q114" i="7"/>
  <c r="R113" i="7"/>
  <c r="Q113" i="7"/>
  <c r="R112" i="7"/>
  <c r="Q112" i="7"/>
  <c r="R111" i="7"/>
  <c r="Q111" i="7"/>
  <c r="R110" i="7"/>
  <c r="Q110" i="7"/>
  <c r="R109" i="7"/>
  <c r="Q109" i="7"/>
  <c r="R108" i="7"/>
  <c r="Q108" i="7"/>
  <c r="R105" i="7"/>
  <c r="Q105" i="7"/>
  <c r="R103" i="7"/>
  <c r="Q103" i="7"/>
  <c r="R102" i="7"/>
  <c r="Q102" i="7"/>
  <c r="R99" i="7"/>
  <c r="Q99" i="7"/>
  <c r="R98" i="7"/>
  <c r="Q98" i="7"/>
  <c r="R97" i="7"/>
  <c r="Q97" i="7"/>
  <c r="R96" i="7"/>
  <c r="Q96" i="7"/>
  <c r="R93" i="7"/>
  <c r="Q93" i="7"/>
  <c r="R91" i="7"/>
  <c r="Q91" i="7"/>
  <c r="R90" i="7"/>
  <c r="Q90" i="7"/>
  <c r="R89" i="7"/>
  <c r="Q89" i="7"/>
  <c r="R88" i="7"/>
  <c r="Q88" i="7"/>
  <c r="R87" i="7"/>
  <c r="Q87" i="7"/>
  <c r="R86" i="7"/>
  <c r="Q86" i="7"/>
  <c r="R83" i="7"/>
  <c r="Q83" i="7"/>
  <c r="R82" i="7"/>
  <c r="Q82" i="7"/>
  <c r="R81" i="7"/>
  <c r="Q81" i="7"/>
  <c r="R80" i="7"/>
  <c r="Q80" i="7"/>
  <c r="R79" i="7"/>
  <c r="Q79" i="7"/>
  <c r="R78" i="7"/>
  <c r="Q78" i="7"/>
  <c r="R77" i="7"/>
  <c r="Q77" i="7"/>
  <c r="R76" i="7"/>
  <c r="Q76" i="7"/>
  <c r="R75" i="7"/>
  <c r="Q75" i="7"/>
  <c r="R74" i="7"/>
  <c r="Q74" i="7"/>
  <c r="R69" i="7"/>
  <c r="Q69" i="7"/>
  <c r="R68" i="7"/>
  <c r="Q68" i="7"/>
  <c r="R65" i="7"/>
  <c r="Q65" i="7"/>
  <c r="R64" i="7"/>
  <c r="Q64" i="7"/>
  <c r="R63" i="7"/>
  <c r="Q63" i="7"/>
  <c r="R62" i="7"/>
  <c r="Q62" i="7"/>
  <c r="R59" i="7"/>
  <c r="Q59" i="7"/>
  <c r="R57" i="7"/>
  <c r="Q57" i="7"/>
  <c r="R56" i="7"/>
  <c r="Q56" i="7"/>
  <c r="R55" i="7"/>
  <c r="Q55" i="7"/>
  <c r="R54" i="7"/>
  <c r="Q54" i="7"/>
  <c r="R53" i="7"/>
  <c r="Q53" i="7"/>
  <c r="R52" i="7"/>
  <c r="Q52" i="7"/>
  <c r="R49" i="7"/>
  <c r="Q49" i="7"/>
  <c r="R48" i="7"/>
  <c r="Q48" i="7"/>
  <c r="R47" i="7"/>
  <c r="Q47" i="7"/>
  <c r="R46" i="7"/>
  <c r="Q46" i="7"/>
  <c r="R45" i="7"/>
  <c r="Q45" i="7"/>
  <c r="R44" i="7"/>
  <c r="Q44" i="7"/>
  <c r="R43" i="7"/>
  <c r="Q43" i="7"/>
  <c r="R42" i="7"/>
  <c r="Q42" i="7"/>
  <c r="R41" i="7"/>
  <c r="Q41" i="7"/>
  <c r="R40" i="7"/>
  <c r="Q40" i="7"/>
  <c r="J223" i="2" l="1"/>
  <c r="AK223" i="2" s="1"/>
  <c r="J222" i="2"/>
  <c r="AK222" i="2" s="1"/>
  <c r="J221" i="2"/>
  <c r="AK221" i="2" s="1"/>
  <c r="J233" i="2"/>
  <c r="AK233" i="2" s="1"/>
  <c r="J232" i="2"/>
  <c r="AK232" i="2" s="1"/>
  <c r="J231" i="2"/>
  <c r="AK231" i="2" s="1"/>
  <c r="J176" i="2"/>
  <c r="AK176" i="2" s="1"/>
  <c r="J175" i="2"/>
  <c r="AK175" i="2" s="1"/>
  <c r="J177" i="2"/>
  <c r="AK177" i="2" s="1"/>
  <c r="J185" i="2"/>
  <c r="AK185" i="2" s="1"/>
  <c r="J187" i="2"/>
  <c r="AK187" i="2" s="1"/>
  <c r="J186" i="2"/>
  <c r="AK186" i="2" s="1"/>
  <c r="J195" i="2"/>
  <c r="AK195" i="2" s="1"/>
  <c r="J197" i="2"/>
  <c r="AK197" i="2" s="1"/>
  <c r="J196" i="2"/>
  <c r="AK196" i="2" s="1"/>
  <c r="J207" i="2"/>
  <c r="AK207" i="2" s="1"/>
  <c r="J206" i="2"/>
  <c r="AK206" i="2" s="1"/>
  <c r="J205" i="2"/>
  <c r="AK205" i="2" s="1"/>
  <c r="F249" i="2"/>
  <c r="AG249" i="2" s="1"/>
  <c r="M249" i="2"/>
  <c r="AN249" i="2" s="1"/>
  <c r="N247" i="2"/>
  <c r="AO247" i="2" s="1"/>
  <c r="I249" i="2"/>
  <c r="AJ249" i="2" s="1"/>
  <c r="I247" i="2"/>
  <c r="AJ247" i="2" s="1"/>
  <c r="I248" i="2"/>
  <c r="AJ248" i="2" s="1"/>
  <c r="N249" i="2"/>
  <c r="AO249" i="2" s="1"/>
  <c r="H249" i="2"/>
  <c r="AI249" i="2" s="1"/>
  <c r="H248" i="2"/>
  <c r="AI248" i="2" s="1"/>
  <c r="O247" i="2"/>
  <c r="AP247" i="2" s="1"/>
  <c r="O248" i="2"/>
  <c r="AP248" i="2" s="1"/>
  <c r="O249" i="2"/>
  <c r="AP249" i="2" s="1"/>
  <c r="Q247" i="2"/>
  <c r="AQ247" i="2" s="1"/>
  <c r="Q248" i="2"/>
  <c r="AQ248" i="2" s="1"/>
  <c r="Q249" i="2"/>
  <c r="AQ249" i="2" s="1"/>
  <c r="H247" i="2"/>
  <c r="AI247" i="2" s="1"/>
  <c r="D248" i="2"/>
  <c r="AE248" i="2" s="1"/>
  <c r="D249" i="2"/>
  <c r="AE249" i="2" s="1"/>
  <c r="D247" i="2"/>
  <c r="AE247" i="2" s="1"/>
  <c r="K249" i="2"/>
  <c r="AL249" i="2" s="1"/>
  <c r="F248" i="2"/>
  <c r="AG248" i="2" s="1"/>
  <c r="G249" i="2"/>
  <c r="AH249" i="2" s="1"/>
  <c r="G247" i="2"/>
  <c r="AH247" i="2" s="1"/>
  <c r="G248" i="2"/>
  <c r="AH248" i="2" s="1"/>
  <c r="E248" i="2"/>
  <c r="AF248" i="2" s="1"/>
  <c r="E249" i="2"/>
  <c r="AF249" i="2" s="1"/>
  <c r="E247" i="2"/>
  <c r="AF247" i="2" s="1"/>
  <c r="L249" i="2"/>
  <c r="AM249" i="2" s="1"/>
  <c r="K248" i="2"/>
  <c r="AL248" i="2" s="1"/>
  <c r="L248" i="2"/>
  <c r="AM248" i="2" s="1"/>
  <c r="M248" i="2"/>
  <c r="AN248" i="2" s="1"/>
  <c r="AQ232" i="2"/>
  <c r="F247" i="2"/>
  <c r="AG247" i="2" s="1"/>
  <c r="N248" i="2"/>
  <c r="AO248" i="2" s="1"/>
  <c r="K247" i="2"/>
  <c r="AL247" i="2" s="1"/>
  <c r="L247" i="2"/>
  <c r="AM247" i="2" s="1"/>
  <c r="M247" i="2"/>
  <c r="AN247" i="2" s="1"/>
  <c r="O233" i="2"/>
  <c r="AP233" i="2" s="1"/>
  <c r="I233" i="2"/>
  <c r="AJ233" i="2" s="1"/>
  <c r="AQ233" i="2"/>
  <c r="N232" i="2"/>
  <c r="AO232" i="2" s="1"/>
  <c r="G233" i="2"/>
  <c r="AH233" i="2" s="1"/>
  <c r="G231" i="2"/>
  <c r="AH231" i="2" s="1"/>
  <c r="G232" i="2"/>
  <c r="AH232" i="2" s="1"/>
  <c r="O232" i="2"/>
  <c r="AP232" i="2" s="1"/>
  <c r="H233" i="2"/>
  <c r="AI233" i="2" s="1"/>
  <c r="H231" i="2"/>
  <c r="AI231" i="2" s="1"/>
  <c r="H232" i="2"/>
  <c r="AI232" i="2" s="1"/>
  <c r="K231" i="2"/>
  <c r="AL231" i="2" s="1"/>
  <c r="K232" i="2"/>
  <c r="AL232" i="2" s="1"/>
  <c r="K233" i="2"/>
  <c r="AL233" i="2" s="1"/>
  <c r="L231" i="2"/>
  <c r="AM231" i="2" s="1"/>
  <c r="L232" i="2"/>
  <c r="AM232" i="2" s="1"/>
  <c r="L233" i="2"/>
  <c r="AM233" i="2" s="1"/>
  <c r="E232" i="2"/>
  <c r="AF232" i="2" s="1"/>
  <c r="M232" i="2"/>
  <c r="AN232" i="2" s="1"/>
  <c r="M233" i="2"/>
  <c r="AN233" i="2" s="1"/>
  <c r="M231" i="2"/>
  <c r="AN231" i="2" s="1"/>
  <c r="E233" i="2"/>
  <c r="AF233" i="2" s="1"/>
  <c r="F233" i="2"/>
  <c r="AG233" i="2" s="1"/>
  <c r="D233" i="2"/>
  <c r="AE233" i="2" s="1"/>
  <c r="D231" i="2"/>
  <c r="AE231" i="2" s="1"/>
  <c r="D232" i="2"/>
  <c r="AE232" i="2" s="1"/>
  <c r="N231" i="2"/>
  <c r="AO231" i="2" s="1"/>
  <c r="O231" i="2"/>
  <c r="AP231" i="2" s="1"/>
  <c r="AQ231" i="2"/>
  <c r="F232" i="2"/>
  <c r="AG232" i="2" s="1"/>
  <c r="N233" i="2"/>
  <c r="AO233" i="2" s="1"/>
  <c r="I232" i="2"/>
  <c r="AJ232" i="2" s="1"/>
  <c r="E231" i="2"/>
  <c r="AF231" i="2" s="1"/>
  <c r="F231" i="2"/>
  <c r="AG231" i="2" s="1"/>
  <c r="E222" i="2"/>
  <c r="AF222" i="2" s="1"/>
  <c r="I231" i="2"/>
  <c r="AJ231" i="2" s="1"/>
  <c r="M223" i="2"/>
  <c r="AN223" i="2" s="1"/>
  <c r="M221" i="2"/>
  <c r="AN221" i="2" s="1"/>
  <c r="M222" i="2"/>
  <c r="AN222" i="2" s="1"/>
  <c r="N221" i="2"/>
  <c r="AO221" i="2" s="1"/>
  <c r="N223" i="2"/>
  <c r="AO223" i="2" s="1"/>
  <c r="N222" i="2"/>
  <c r="AO222" i="2" s="1"/>
  <c r="E223" i="2"/>
  <c r="AF223" i="2" s="1"/>
  <c r="F223" i="2"/>
  <c r="AG223" i="2" s="1"/>
  <c r="K223" i="2"/>
  <c r="AL223" i="2" s="1"/>
  <c r="L223" i="2"/>
  <c r="AM223" i="2" s="1"/>
  <c r="G223" i="2"/>
  <c r="AH223" i="2" s="1"/>
  <c r="G221" i="2"/>
  <c r="AH221" i="2" s="1"/>
  <c r="G222" i="2"/>
  <c r="AH222" i="2" s="1"/>
  <c r="O221" i="2"/>
  <c r="AP221" i="2" s="1"/>
  <c r="AQ221" i="2"/>
  <c r="H223" i="2"/>
  <c r="AI223" i="2" s="1"/>
  <c r="H221" i="2"/>
  <c r="AI221" i="2" s="1"/>
  <c r="H222" i="2"/>
  <c r="AI222" i="2" s="1"/>
  <c r="AQ222" i="2"/>
  <c r="I223" i="2"/>
  <c r="AJ223" i="2" s="1"/>
  <c r="I221" i="2"/>
  <c r="AJ221" i="2" s="1"/>
  <c r="I222" i="2"/>
  <c r="AJ222" i="2" s="1"/>
  <c r="F222" i="2"/>
  <c r="AG222" i="2" s="1"/>
  <c r="D222" i="2"/>
  <c r="AE222" i="2" s="1"/>
  <c r="O223" i="2"/>
  <c r="AP223" i="2" s="1"/>
  <c r="AQ223" i="2"/>
  <c r="K222" i="2"/>
  <c r="AL222" i="2" s="1"/>
  <c r="D221" i="2"/>
  <c r="AE221" i="2" s="1"/>
  <c r="L222" i="2"/>
  <c r="AM222" i="2" s="1"/>
  <c r="E221" i="2"/>
  <c r="AF221" i="2" s="1"/>
  <c r="AQ205" i="2"/>
  <c r="F221" i="2"/>
  <c r="AG221" i="2" s="1"/>
  <c r="D223" i="2"/>
  <c r="AE223" i="2" s="1"/>
  <c r="O222" i="2"/>
  <c r="AP222" i="2" s="1"/>
  <c r="K221" i="2"/>
  <c r="AL221" i="2" s="1"/>
  <c r="L221" i="2"/>
  <c r="AM221" i="2" s="1"/>
  <c r="D207" i="2"/>
  <c r="AE207" i="2" s="1"/>
  <c r="I207" i="2"/>
  <c r="AJ207" i="2" s="1"/>
  <c r="M205" i="2"/>
  <c r="AN205" i="2" s="1"/>
  <c r="L205" i="2"/>
  <c r="AM205" i="2" s="1"/>
  <c r="M206" i="2"/>
  <c r="AN206" i="2" s="1"/>
  <c r="O206" i="2"/>
  <c r="AP206" i="2" s="1"/>
  <c r="O207" i="2"/>
  <c r="AP207" i="2" s="1"/>
  <c r="O205" i="2"/>
  <c r="AP205" i="2" s="1"/>
  <c r="E207" i="2"/>
  <c r="AF207" i="2" s="1"/>
  <c r="E205" i="2"/>
  <c r="AF205" i="2" s="1"/>
  <c r="E206" i="2"/>
  <c r="AF206" i="2" s="1"/>
  <c r="N206" i="2"/>
  <c r="AO206" i="2" s="1"/>
  <c r="N207" i="2"/>
  <c r="AO207" i="2" s="1"/>
  <c r="F207" i="2"/>
  <c r="AG207" i="2" s="1"/>
  <c r="F205" i="2"/>
  <c r="AG205" i="2" s="1"/>
  <c r="F206" i="2"/>
  <c r="AG206" i="2" s="1"/>
  <c r="G207" i="2"/>
  <c r="AH207" i="2" s="1"/>
  <c r="G205" i="2"/>
  <c r="AH205" i="2" s="1"/>
  <c r="G206" i="2"/>
  <c r="AH206" i="2" s="1"/>
  <c r="N205" i="2"/>
  <c r="AO205" i="2" s="1"/>
  <c r="H207" i="2"/>
  <c r="AI207" i="2" s="1"/>
  <c r="H205" i="2"/>
  <c r="AI205" i="2" s="1"/>
  <c r="H206" i="2"/>
  <c r="AI206" i="2" s="1"/>
  <c r="AQ206" i="2"/>
  <c r="K205" i="2"/>
  <c r="AL205" i="2" s="1"/>
  <c r="K206" i="2"/>
  <c r="AL206" i="2" s="1"/>
  <c r="K207" i="2"/>
  <c r="AL207" i="2" s="1"/>
  <c r="D206" i="2"/>
  <c r="AE206" i="2" s="1"/>
  <c r="L207" i="2"/>
  <c r="AM207" i="2" s="1"/>
  <c r="M207" i="2"/>
  <c r="AN207" i="2" s="1"/>
  <c r="AQ207" i="2"/>
  <c r="I206" i="2"/>
  <c r="AJ206" i="2" s="1"/>
  <c r="D205" i="2"/>
  <c r="AE205" i="2" s="1"/>
  <c r="L206" i="2"/>
  <c r="AM206" i="2" s="1"/>
  <c r="I205" i="2"/>
  <c r="AJ205" i="2" s="1"/>
  <c r="L195" i="2"/>
  <c r="AM195" i="2" s="1"/>
  <c r="L196" i="2"/>
  <c r="AM196" i="2" s="1"/>
  <c r="L197" i="2"/>
  <c r="AM197" i="2" s="1"/>
  <c r="K195" i="2"/>
  <c r="AL195" i="2" s="1"/>
  <c r="K196" i="2"/>
  <c r="AL196" i="2" s="1"/>
  <c r="K197" i="2"/>
  <c r="AL197" i="2" s="1"/>
  <c r="D197" i="2"/>
  <c r="AE197" i="2" s="1"/>
  <c r="E197" i="2"/>
  <c r="AF197" i="2" s="1"/>
  <c r="I197" i="2"/>
  <c r="AJ197" i="2" s="1"/>
  <c r="N196" i="2"/>
  <c r="AO196" i="2" s="1"/>
  <c r="N197" i="2"/>
  <c r="AO197" i="2" s="1"/>
  <c r="F197" i="2"/>
  <c r="AG197" i="2" s="1"/>
  <c r="F195" i="2"/>
  <c r="AG195" i="2" s="1"/>
  <c r="F196" i="2"/>
  <c r="AG196" i="2" s="1"/>
  <c r="N195" i="2"/>
  <c r="AO195" i="2" s="1"/>
  <c r="M196" i="2"/>
  <c r="AN196" i="2" s="1"/>
  <c r="M197" i="2"/>
  <c r="AN197" i="2" s="1"/>
  <c r="M195" i="2"/>
  <c r="AN195" i="2" s="1"/>
  <c r="G197" i="2"/>
  <c r="AH197" i="2" s="1"/>
  <c r="G195" i="2"/>
  <c r="AH195" i="2" s="1"/>
  <c r="G196" i="2"/>
  <c r="AH196" i="2" s="1"/>
  <c r="O196" i="2"/>
  <c r="AP196" i="2" s="1"/>
  <c r="AQ197" i="2"/>
  <c r="AQ195" i="2"/>
  <c r="H197" i="2"/>
  <c r="AI197" i="2" s="1"/>
  <c r="H195" i="2"/>
  <c r="AI195" i="2" s="1"/>
  <c r="H196" i="2"/>
  <c r="AI196" i="2" s="1"/>
  <c r="AQ196" i="2"/>
  <c r="D196" i="2"/>
  <c r="AE196" i="2" s="1"/>
  <c r="O195" i="2"/>
  <c r="AP195" i="2" s="1"/>
  <c r="E196" i="2"/>
  <c r="AF196" i="2" s="1"/>
  <c r="O197" i="2"/>
  <c r="AP197" i="2" s="1"/>
  <c r="I196" i="2"/>
  <c r="AJ196" i="2" s="1"/>
  <c r="D195" i="2"/>
  <c r="AE195" i="2" s="1"/>
  <c r="E195" i="2"/>
  <c r="AF195" i="2" s="1"/>
  <c r="I195" i="2"/>
  <c r="AJ195" i="2" s="1"/>
  <c r="D186" i="2"/>
  <c r="AE186" i="2" s="1"/>
  <c r="O187" i="2"/>
  <c r="AP187" i="2" s="1"/>
  <c r="K185" i="2"/>
  <c r="AL185" i="2" s="1"/>
  <c r="F187" i="2"/>
  <c r="AG187" i="2" s="1"/>
  <c r="F185" i="2"/>
  <c r="AG185" i="2" s="1"/>
  <c r="F186" i="2"/>
  <c r="AG186" i="2" s="1"/>
  <c r="O186" i="2"/>
  <c r="AP186" i="2" s="1"/>
  <c r="G187" i="2"/>
  <c r="AH187" i="2" s="1"/>
  <c r="G186" i="2"/>
  <c r="AH186" i="2" s="1"/>
  <c r="G185" i="2"/>
  <c r="AH185" i="2" s="1"/>
  <c r="AQ186" i="2"/>
  <c r="I187" i="2"/>
  <c r="AJ187" i="2" s="1"/>
  <c r="I185" i="2"/>
  <c r="AJ185" i="2" s="1"/>
  <c r="I186" i="2"/>
  <c r="AJ186" i="2" s="1"/>
  <c r="H187" i="2"/>
  <c r="AI187" i="2" s="1"/>
  <c r="H185" i="2"/>
  <c r="AI185" i="2" s="1"/>
  <c r="H186" i="2"/>
  <c r="AI186" i="2" s="1"/>
  <c r="L185" i="2"/>
  <c r="AM185" i="2" s="1"/>
  <c r="L186" i="2"/>
  <c r="AM186" i="2" s="1"/>
  <c r="L187" i="2"/>
  <c r="AM187" i="2" s="1"/>
  <c r="N186" i="2"/>
  <c r="AO186" i="2" s="1"/>
  <c r="M185" i="2"/>
  <c r="AN185" i="2" s="1"/>
  <c r="M186" i="2"/>
  <c r="AN186" i="2" s="1"/>
  <c r="M187" i="2"/>
  <c r="AN187" i="2" s="1"/>
  <c r="E187" i="2"/>
  <c r="AF187" i="2" s="1"/>
  <c r="E185" i="2"/>
  <c r="AF185" i="2" s="1"/>
  <c r="E186" i="2"/>
  <c r="AF186" i="2" s="1"/>
  <c r="K187" i="2"/>
  <c r="AL187" i="2" s="1"/>
  <c r="D187" i="2"/>
  <c r="AE187" i="2" s="1"/>
  <c r="N185" i="2"/>
  <c r="AO185" i="2" s="1"/>
  <c r="O185" i="2"/>
  <c r="AP185" i="2" s="1"/>
  <c r="AQ185" i="2"/>
  <c r="N187" i="2"/>
  <c r="AO187" i="2" s="1"/>
  <c r="AQ187" i="2"/>
  <c r="K186" i="2"/>
  <c r="AL186" i="2" s="1"/>
  <c r="D185" i="2"/>
  <c r="AE185" i="2" s="1"/>
  <c r="D176" i="2"/>
  <c r="AE176" i="2" s="1"/>
  <c r="N175" i="2"/>
  <c r="AO175" i="2" s="1"/>
  <c r="E176" i="2"/>
  <c r="AF176" i="2" s="1"/>
  <c r="K177" i="2"/>
  <c r="AL177" i="2" s="1"/>
  <c r="F177" i="2"/>
  <c r="AG177" i="2" s="1"/>
  <c r="G177" i="2"/>
  <c r="AH177" i="2" s="1"/>
  <c r="G175" i="2"/>
  <c r="AH175" i="2" s="1"/>
  <c r="G176" i="2"/>
  <c r="AH176" i="2" s="1"/>
  <c r="O175" i="2"/>
  <c r="AP175" i="2" s="1"/>
  <c r="H177" i="2"/>
  <c r="AI177" i="2" s="1"/>
  <c r="H175" i="2"/>
  <c r="AI175" i="2" s="1"/>
  <c r="H176" i="2"/>
  <c r="AI176" i="2" s="1"/>
  <c r="F176" i="2"/>
  <c r="AG176" i="2" s="1"/>
  <c r="L177" i="2"/>
  <c r="AM177" i="2" s="1"/>
  <c r="L175" i="2"/>
  <c r="AM175" i="2" s="1"/>
  <c r="L176" i="2"/>
  <c r="AM176" i="2" s="1"/>
  <c r="M177" i="2"/>
  <c r="AN177" i="2" s="1"/>
  <c r="M175" i="2"/>
  <c r="AN175" i="2" s="1"/>
  <c r="M176" i="2"/>
  <c r="AN176" i="2" s="1"/>
  <c r="AQ176" i="2"/>
  <c r="AQ177" i="2"/>
  <c r="AQ175" i="2"/>
  <c r="I177" i="2"/>
  <c r="AJ177" i="2" s="1"/>
  <c r="I175" i="2"/>
  <c r="AJ175" i="2" s="1"/>
  <c r="I176" i="2"/>
  <c r="AJ176" i="2" s="1"/>
  <c r="N177" i="2"/>
  <c r="AO177" i="2" s="1"/>
  <c r="O177" i="2"/>
  <c r="AP177" i="2" s="1"/>
  <c r="K176" i="2"/>
  <c r="AL176" i="2" s="1"/>
  <c r="D175" i="2"/>
  <c r="AE175" i="2" s="1"/>
  <c r="E175" i="2"/>
  <c r="AF175" i="2" s="1"/>
  <c r="F175" i="2"/>
  <c r="AG175" i="2" s="1"/>
  <c r="N176" i="2"/>
  <c r="AO176" i="2" s="1"/>
  <c r="D177" i="2"/>
  <c r="AE177" i="2" s="1"/>
  <c r="O176" i="2"/>
  <c r="AP176" i="2" s="1"/>
  <c r="E177" i="2"/>
  <c r="AF177" i="2" s="1"/>
  <c r="K175" i="2"/>
  <c r="AL175" i="2" s="1"/>
  <c r="B170" i="23427"/>
  <c r="A170" i="23427"/>
  <c r="B169" i="23427"/>
  <c r="A169" i="23427"/>
  <c r="B168" i="23427"/>
  <c r="A168" i="23427"/>
  <c r="B167" i="23427"/>
  <c r="A167" i="23427"/>
  <c r="B166" i="23427"/>
  <c r="A166" i="23427"/>
  <c r="B165" i="23427"/>
  <c r="A165" i="23427"/>
  <c r="B164" i="23427"/>
  <c r="A164" i="23427"/>
  <c r="B163" i="23427"/>
  <c r="A163" i="23427"/>
  <c r="B162" i="23427"/>
  <c r="A162" i="23427"/>
  <c r="B161" i="23427"/>
  <c r="A161" i="23427"/>
  <c r="B160" i="23427"/>
  <c r="A160" i="23427"/>
  <c r="B159" i="23427"/>
  <c r="A159" i="23427"/>
  <c r="B158" i="23427"/>
  <c r="A158" i="23427"/>
  <c r="B157" i="23427"/>
  <c r="A157" i="23427"/>
  <c r="B156" i="23427"/>
  <c r="A156" i="23427"/>
  <c r="B155" i="23427"/>
  <c r="A155" i="23427"/>
  <c r="B154" i="23427"/>
  <c r="A154" i="23427"/>
  <c r="B153" i="23427"/>
  <c r="A153" i="23427"/>
  <c r="B152" i="23427"/>
  <c r="A152" i="23427"/>
  <c r="B151" i="23427"/>
  <c r="A151" i="23427"/>
  <c r="B150" i="23427"/>
  <c r="A150" i="23427"/>
  <c r="B149" i="23427"/>
  <c r="A149" i="23427"/>
  <c r="B148" i="23427"/>
  <c r="A148" i="23427"/>
  <c r="B147" i="23427"/>
  <c r="A147" i="23427"/>
  <c r="B146" i="23427"/>
  <c r="A146" i="23427"/>
  <c r="B145" i="23427"/>
  <c r="A145" i="23427"/>
  <c r="B144" i="23427"/>
  <c r="A144" i="23427"/>
  <c r="B143" i="23427"/>
  <c r="A143" i="23427"/>
  <c r="B142" i="23427"/>
  <c r="A142" i="23427"/>
  <c r="B141" i="23427"/>
  <c r="A141" i="23427"/>
  <c r="B140" i="23427"/>
  <c r="A140" i="23427"/>
  <c r="B139" i="23427"/>
  <c r="A139" i="23427"/>
  <c r="B138" i="23427"/>
  <c r="A138" i="23427"/>
  <c r="B137" i="23427"/>
  <c r="A137" i="23427"/>
  <c r="B136" i="23427"/>
  <c r="A136" i="23427"/>
  <c r="B135" i="23427"/>
  <c r="A135" i="23427"/>
  <c r="B134" i="23427"/>
  <c r="A134" i="23427"/>
  <c r="B133" i="23427"/>
  <c r="A133" i="23427"/>
  <c r="B132" i="23427"/>
  <c r="A132" i="23427"/>
  <c r="B131" i="23427"/>
  <c r="A131" i="23427"/>
  <c r="B130" i="23427"/>
  <c r="A130" i="23427"/>
  <c r="B129" i="23427"/>
  <c r="A129" i="23427"/>
  <c r="B128" i="23427"/>
  <c r="A128" i="23427"/>
  <c r="B127" i="23427"/>
  <c r="A127" i="23427"/>
  <c r="B126" i="23427"/>
  <c r="A126" i="23427"/>
  <c r="B125" i="23427"/>
  <c r="A125" i="23427"/>
  <c r="B124" i="23427"/>
  <c r="A124" i="23427"/>
  <c r="B123" i="23427"/>
  <c r="A123" i="23427"/>
  <c r="B122" i="23427"/>
  <c r="A122" i="23427"/>
  <c r="B121" i="23427"/>
  <c r="A121" i="23427"/>
  <c r="B120" i="23427"/>
  <c r="A120" i="23427"/>
  <c r="B119" i="23427"/>
  <c r="A119" i="23427"/>
  <c r="B118" i="23427"/>
  <c r="A118" i="23427"/>
  <c r="B117" i="23427"/>
  <c r="A117" i="23427"/>
  <c r="B116" i="23427"/>
  <c r="A116" i="23427"/>
  <c r="B115" i="23427"/>
  <c r="A115" i="23427"/>
  <c r="B114" i="23427"/>
  <c r="A114" i="23427"/>
  <c r="B113" i="23427"/>
  <c r="A113" i="23427"/>
  <c r="B112" i="23427"/>
  <c r="A112" i="23427"/>
  <c r="B111" i="23427"/>
  <c r="A111" i="23427"/>
  <c r="R25" i="7"/>
  <c r="Q25" i="7"/>
  <c r="R23" i="7"/>
  <c r="Q23" i="7"/>
  <c r="R22" i="7"/>
  <c r="Q22" i="7"/>
  <c r="R21" i="7"/>
  <c r="Q21" i="7"/>
  <c r="R20" i="7"/>
  <c r="Q20" i="7"/>
  <c r="R19" i="7"/>
  <c r="Q19" i="7"/>
  <c r="R18" i="7"/>
  <c r="Q18" i="7"/>
  <c r="R15" i="7"/>
  <c r="Q15" i="7"/>
  <c r="R14" i="7"/>
  <c r="Q14" i="7"/>
  <c r="F207" i="7"/>
  <c r="F205" i="7"/>
  <c r="F204" i="7"/>
  <c r="F201" i="7"/>
  <c r="F200" i="7"/>
  <c r="F199" i="7"/>
  <c r="F198" i="7"/>
  <c r="F199" i="23419"/>
  <c r="F195" i="7" s="1"/>
  <c r="F197" i="23419"/>
  <c r="F193" i="7" s="1"/>
  <c r="F196" i="23419"/>
  <c r="F192" i="7" s="1"/>
  <c r="F195" i="23419"/>
  <c r="F191" i="7" s="1"/>
  <c r="F194" i="23419"/>
  <c r="F190" i="7" s="1"/>
  <c r="F193" i="23419"/>
  <c r="F189" i="7" s="1"/>
  <c r="F192" i="23419"/>
  <c r="F188" i="7" s="1"/>
  <c r="F190" i="23419"/>
  <c r="F186" i="7" s="1"/>
  <c r="F191" i="23419"/>
  <c r="F187" i="7" s="1"/>
  <c r="F189" i="23419"/>
  <c r="F185" i="7" s="1"/>
  <c r="F188" i="23419"/>
  <c r="F184" i="7" s="1"/>
  <c r="F187" i="23419"/>
  <c r="F183" i="7" s="1"/>
  <c r="F186" i="23419"/>
  <c r="F182" i="7" s="1"/>
  <c r="F185" i="23419"/>
  <c r="F181" i="7" s="1"/>
  <c r="F184" i="23419"/>
  <c r="F180" i="7" s="1"/>
  <c r="F183" i="23419"/>
  <c r="F179" i="7" s="1"/>
  <c r="F182" i="23419"/>
  <c r="F178" i="7" s="1"/>
  <c r="F181" i="23419"/>
  <c r="F177" i="7" s="1"/>
  <c r="F180" i="23419"/>
  <c r="F176" i="7" s="1"/>
  <c r="F177" i="23419"/>
  <c r="F173" i="7" s="1"/>
  <c r="F175" i="23419"/>
  <c r="F171" i="7" s="1"/>
  <c r="F174" i="23419"/>
  <c r="F170" i="7" s="1"/>
  <c r="F172" i="23419"/>
  <c r="F168" i="7" s="1"/>
  <c r="F173" i="23419"/>
  <c r="F169" i="7" s="1"/>
  <c r="F171" i="23419"/>
  <c r="F167" i="7" s="1"/>
  <c r="F170" i="23419"/>
  <c r="F166" i="7" s="1"/>
  <c r="F169" i="23419"/>
  <c r="F165" i="7" s="1"/>
  <c r="F168" i="23419"/>
  <c r="F164" i="7" s="1"/>
  <c r="F165" i="23419"/>
  <c r="F161" i="7" s="1"/>
  <c r="F163" i="23419"/>
  <c r="F159" i="7" s="1"/>
  <c r="F162" i="23419"/>
  <c r="F158" i="7" s="1"/>
  <c r="F161" i="23419"/>
  <c r="F157" i="7" s="1"/>
  <c r="F160" i="23419"/>
  <c r="F156" i="7" s="1"/>
  <c r="F159" i="23419"/>
  <c r="F155" i="7" s="1"/>
  <c r="F158" i="23419"/>
  <c r="F154" i="7" s="1"/>
  <c r="F156" i="23419"/>
  <c r="F152" i="7" s="1"/>
  <c r="F157" i="23419"/>
  <c r="F153" i="7" s="1"/>
  <c r="F155" i="23419"/>
  <c r="F151" i="7" s="1"/>
  <c r="F154" i="23419"/>
  <c r="F150" i="7" s="1"/>
  <c r="F153" i="23419"/>
  <c r="F149" i="7" s="1"/>
  <c r="F152" i="23419"/>
  <c r="F148" i="7" s="1"/>
  <c r="F151" i="23419"/>
  <c r="F147" i="7" s="1"/>
  <c r="F150" i="23419"/>
  <c r="F146" i="7" s="1"/>
  <c r="F149" i="23419"/>
  <c r="F145" i="7" s="1"/>
  <c r="F148" i="23419"/>
  <c r="F144" i="7" s="1"/>
  <c r="F147" i="23419"/>
  <c r="F143" i="7" s="1"/>
  <c r="F146" i="23419"/>
  <c r="F142" i="7" s="1"/>
  <c r="F143" i="23419"/>
  <c r="F141" i="23419"/>
  <c r="F140" i="23419"/>
  <c r="F138" i="23419"/>
  <c r="F139" i="23419"/>
  <c r="F137" i="23419"/>
  <c r="F136" i="23419"/>
  <c r="F135" i="23419"/>
  <c r="F134" i="23419"/>
  <c r="F131" i="23419"/>
  <c r="F115" i="23419"/>
  <c r="F114" i="23419"/>
  <c r="F113" i="23419"/>
  <c r="F112" i="23419"/>
  <c r="F100" i="23419"/>
  <c r="F101" i="23419"/>
  <c r="F102" i="23419"/>
  <c r="F103" i="23419"/>
  <c r="F105" i="23419"/>
  <c r="F104" i="23419"/>
  <c r="F106" i="23419"/>
  <c r="F107" i="23419"/>
  <c r="F109" i="23419"/>
  <c r="F97" i="23419"/>
  <c r="F95" i="23419"/>
  <c r="F94" i="23419"/>
  <c r="F93" i="23419"/>
  <c r="F92" i="23419"/>
  <c r="F91" i="23419"/>
  <c r="F90" i="23419"/>
  <c r="F88" i="23419"/>
  <c r="F89" i="23419"/>
  <c r="F87" i="23419"/>
  <c r="F86" i="23419"/>
  <c r="F85" i="23419"/>
  <c r="F84" i="23419"/>
  <c r="F83" i="23419"/>
  <c r="F82" i="23419"/>
  <c r="F81" i="23419"/>
  <c r="F80" i="23419"/>
  <c r="F79" i="23419"/>
  <c r="F78" i="23419"/>
  <c r="F63" i="23419"/>
  <c r="F61" i="23419"/>
  <c r="F60" i="23419"/>
  <c r="F59" i="23419"/>
  <c r="F58" i="23419"/>
  <c r="F57" i="23419"/>
  <c r="F56" i="23419"/>
  <c r="F54" i="23419"/>
  <c r="F55" i="23419"/>
  <c r="F53" i="23419"/>
  <c r="F52" i="23419"/>
  <c r="F51" i="23419"/>
  <c r="F50" i="23419"/>
  <c r="F49" i="23419"/>
  <c r="F29" i="23419" l="1"/>
  <c r="F41" i="23419" l="1"/>
  <c r="F39" i="23419"/>
  <c r="F38" i="23419"/>
  <c r="F36" i="23419"/>
  <c r="F37" i="23419"/>
  <c r="F35" i="23419"/>
  <c r="F34" i="23419"/>
  <c r="F33" i="23419"/>
  <c r="F32" i="23419"/>
  <c r="R37" i="7" l="1"/>
  <c r="Q37" i="7"/>
  <c r="R35" i="7"/>
  <c r="Q35" i="7"/>
  <c r="R34" i="7"/>
  <c r="Q34" i="7"/>
  <c r="R31" i="7"/>
  <c r="Q31" i="7"/>
  <c r="R30" i="7"/>
  <c r="Q30" i="7"/>
  <c r="R29" i="7"/>
  <c r="Q29" i="7"/>
  <c r="R28" i="7"/>
  <c r="Q28" i="7"/>
  <c r="R13" i="7"/>
  <c r="Q13" i="7"/>
  <c r="R12" i="7"/>
  <c r="Q12" i="7"/>
  <c r="R11" i="7"/>
  <c r="Q11" i="7"/>
  <c r="R10" i="7"/>
  <c r="Q10" i="7"/>
  <c r="R9" i="7"/>
  <c r="Q9" i="7"/>
  <c r="R8" i="7"/>
  <c r="Q8" i="7"/>
  <c r="R7" i="7"/>
  <c r="Q7" i="7"/>
  <c r="R6" i="7"/>
  <c r="Q6" i="7"/>
  <c r="R1194" i="23422" l="1"/>
  <c r="Q1194" i="23422"/>
  <c r="R1193" i="23422"/>
  <c r="Q1193" i="23422"/>
  <c r="R1192" i="23422"/>
  <c r="Q1192" i="23422"/>
  <c r="R1191" i="23422"/>
  <c r="Q1191" i="23422"/>
  <c r="R1190" i="23422"/>
  <c r="Q1190" i="23422"/>
  <c r="R1189" i="23422"/>
  <c r="Q1189" i="23422"/>
  <c r="R1188" i="23422"/>
  <c r="Q1188" i="23422"/>
  <c r="R1187" i="23422"/>
  <c r="Q1187" i="23422"/>
  <c r="R1186" i="23422"/>
  <c r="Q1186" i="23422"/>
  <c r="R1185" i="23422"/>
  <c r="Q1185" i="23422"/>
  <c r="R1184" i="23422"/>
  <c r="Q1184" i="23422"/>
  <c r="R1183" i="23422"/>
  <c r="Q1183" i="23422"/>
  <c r="R1182" i="23422"/>
  <c r="Q1182" i="23422"/>
  <c r="R1181" i="23422"/>
  <c r="Q1181" i="23422"/>
  <c r="R1180" i="23422"/>
  <c r="Q1180" i="23422"/>
  <c r="R1179" i="23422"/>
  <c r="Q1179" i="23422"/>
  <c r="R1178" i="23422"/>
  <c r="Q1178" i="23422"/>
  <c r="R1177" i="23422"/>
  <c r="Q1177" i="23422"/>
  <c r="R1176" i="23422"/>
  <c r="Q1176" i="23422"/>
  <c r="R1175" i="23422"/>
  <c r="Q1175" i="23422"/>
  <c r="R1174" i="23422"/>
  <c r="Q1174" i="23422"/>
  <c r="R1173" i="23422"/>
  <c r="Q1173" i="23422"/>
  <c r="R1172" i="23422"/>
  <c r="Q1172" i="23422"/>
  <c r="R1171" i="23422"/>
  <c r="Q1171" i="23422"/>
  <c r="R1170" i="23422"/>
  <c r="Q1170" i="23422"/>
  <c r="R1169" i="23422"/>
  <c r="Q1169" i="23422"/>
  <c r="R1168" i="23422"/>
  <c r="Q1168" i="23422"/>
  <c r="R1167" i="23422"/>
  <c r="Q1167" i="23422"/>
  <c r="R1166" i="23422"/>
  <c r="Q1166" i="23422"/>
  <c r="R1165" i="23422"/>
  <c r="Q1165" i="23422"/>
  <c r="R1164" i="23422"/>
  <c r="Q1164" i="23422"/>
  <c r="R1163" i="23422"/>
  <c r="Q1163" i="23422"/>
  <c r="R1162" i="23422"/>
  <c r="Q1162" i="23422"/>
  <c r="R1161" i="23422"/>
  <c r="Q1161" i="23422"/>
  <c r="R1160" i="23422"/>
  <c r="Q1160" i="23422"/>
  <c r="R1159" i="23422"/>
  <c r="Q1159" i="23422"/>
  <c r="R1158" i="23422"/>
  <c r="Q1158" i="23422"/>
  <c r="R1157" i="23422"/>
  <c r="Q1157" i="23422"/>
  <c r="R1156" i="23422"/>
  <c r="Q1156" i="23422"/>
  <c r="R1155" i="23422"/>
  <c r="Q1155" i="23422"/>
  <c r="R1154" i="23422"/>
  <c r="Q1154" i="23422"/>
  <c r="R1153" i="23422"/>
  <c r="Q1153" i="23422"/>
  <c r="R1152" i="23422"/>
  <c r="Q1152" i="23422"/>
  <c r="R1151" i="23422"/>
  <c r="Q1151" i="23422"/>
  <c r="R1150" i="23422"/>
  <c r="Q1150" i="23422"/>
  <c r="R1149" i="23422"/>
  <c r="Q1149" i="23422"/>
  <c r="R1148" i="23422"/>
  <c r="Q1148" i="23422"/>
  <c r="R1147" i="23422"/>
  <c r="Q1147" i="23422"/>
  <c r="R1146" i="23422"/>
  <c r="Q1146" i="23422"/>
  <c r="R1145" i="23422"/>
  <c r="Q1145" i="23422"/>
  <c r="R1144" i="23422"/>
  <c r="Q1144" i="23422"/>
  <c r="R1143" i="23422"/>
  <c r="Q1143" i="23422"/>
  <c r="R1142" i="23422"/>
  <c r="Q1142" i="23422"/>
  <c r="R1141" i="23422"/>
  <c r="Q1141" i="23422"/>
  <c r="R1140" i="23422"/>
  <c r="Q1140" i="23422"/>
  <c r="R1139" i="23422"/>
  <c r="Q1139" i="23422"/>
  <c r="R1138" i="23422"/>
  <c r="Q1138" i="23422"/>
  <c r="R1137" i="23422"/>
  <c r="Q1137" i="23422"/>
  <c r="R1136" i="23422"/>
  <c r="Q1136" i="23422"/>
  <c r="R1135" i="23422"/>
  <c r="Q1135" i="23422"/>
  <c r="R1134" i="23422"/>
  <c r="Q1134" i="23422"/>
  <c r="R1133" i="23422"/>
  <c r="Q1133" i="23422"/>
  <c r="R1132" i="23422"/>
  <c r="Q1132" i="23422"/>
  <c r="R1131" i="23422"/>
  <c r="Q1131" i="23422"/>
  <c r="R1130" i="23422"/>
  <c r="Q1130" i="23422"/>
  <c r="R1129" i="23422"/>
  <c r="Q1129" i="23422"/>
  <c r="R1128" i="23422"/>
  <c r="Q1128" i="23422"/>
  <c r="R1127" i="23422"/>
  <c r="Q1127" i="23422"/>
  <c r="R1126" i="23422"/>
  <c r="Q1126" i="23422"/>
  <c r="R1125" i="23422"/>
  <c r="Q1125" i="23422"/>
  <c r="R1124" i="23422"/>
  <c r="Q1124" i="23422"/>
  <c r="R1123" i="23422"/>
  <c r="Q1123" i="23422"/>
  <c r="R1122" i="23422"/>
  <c r="Q1122" i="23422"/>
  <c r="R1121" i="23422"/>
  <c r="Q1121" i="23422"/>
  <c r="R1120" i="23422"/>
  <c r="Q1120" i="23422"/>
  <c r="R1119" i="23422"/>
  <c r="Q1119" i="23422"/>
  <c r="R1118" i="23422"/>
  <c r="Q1118" i="23422"/>
  <c r="R1117" i="23422"/>
  <c r="Q1117" i="23422"/>
  <c r="R1116" i="23422"/>
  <c r="Q1116" i="23422"/>
  <c r="R1115" i="23422"/>
  <c r="Q1115" i="23422"/>
  <c r="R1114" i="23422"/>
  <c r="Q1114" i="23422"/>
  <c r="R1113" i="23422"/>
  <c r="Q1113" i="23422"/>
  <c r="R1112" i="23422"/>
  <c r="Q1112" i="23422"/>
  <c r="R1111" i="23422"/>
  <c r="Q1111" i="23422"/>
  <c r="R1110" i="23422"/>
  <c r="Q1110" i="23422"/>
  <c r="R1109" i="23422"/>
  <c r="Q1109" i="23422"/>
  <c r="R1108" i="23422"/>
  <c r="Q1108" i="23422"/>
  <c r="R1107" i="23422"/>
  <c r="Q1107" i="23422"/>
  <c r="R1106" i="23422"/>
  <c r="Q1106" i="23422"/>
  <c r="R1105" i="23422"/>
  <c r="Q1105" i="23422"/>
  <c r="R1104" i="23422"/>
  <c r="Q1104" i="23422"/>
  <c r="R1103" i="23422"/>
  <c r="Q1103" i="23422"/>
  <c r="R1102" i="23422"/>
  <c r="Q1102" i="23422"/>
  <c r="R1101" i="23422"/>
  <c r="Q1101" i="23422"/>
  <c r="R1100" i="23422"/>
  <c r="Q1100" i="23422"/>
  <c r="R1099" i="23422"/>
  <c r="Q1099" i="23422"/>
  <c r="R1098" i="23422"/>
  <c r="Q1098" i="23422"/>
  <c r="R1097" i="23422"/>
  <c r="Q1097" i="23422"/>
  <c r="R1096" i="23422"/>
  <c r="Q1096" i="23422"/>
  <c r="R1095" i="23422"/>
  <c r="Q1095" i="23422"/>
  <c r="R1094" i="23422"/>
  <c r="Q1094" i="23422"/>
  <c r="R1093" i="23422"/>
  <c r="Q1093" i="23422"/>
  <c r="R1092" i="23422"/>
  <c r="Q1092" i="23422"/>
  <c r="R1091" i="23422"/>
  <c r="Q1091" i="23422"/>
  <c r="R1090" i="23422"/>
  <c r="Q1090" i="23422"/>
  <c r="R1089" i="23422"/>
  <c r="Q1089" i="23422"/>
  <c r="R1088" i="23422"/>
  <c r="Q1088" i="23422"/>
  <c r="R1087" i="23422"/>
  <c r="Q1087" i="23422"/>
  <c r="G5" i="23432" l="1"/>
  <c r="K4" i="23420" l="1"/>
  <c r="I4" i="23420"/>
  <c r="CP9" i="23424" l="1"/>
  <c r="BJ9" i="23424" l="1"/>
  <c r="O197" i="23424"/>
  <c r="N197" i="23424"/>
  <c r="M197" i="23424"/>
  <c r="L197" i="23424"/>
  <c r="N49" i="23420" s="1"/>
  <c r="K197" i="23424"/>
  <c r="N175" i="23420" s="1"/>
  <c r="J197" i="23424"/>
  <c r="N121" i="23420" s="1"/>
  <c r="I197" i="23424"/>
  <c r="H197" i="23424"/>
  <c r="G197" i="23424"/>
  <c r="F197" i="23424"/>
  <c r="E197" i="23424"/>
  <c r="D197" i="23424"/>
  <c r="BL9" i="23424" l="1"/>
  <c r="BK9" i="23424"/>
  <c r="CO9" i="23424"/>
  <c r="CN9" i="23424"/>
  <c r="CM9" i="23424"/>
  <c r="CL9" i="23424"/>
  <c r="CK9" i="23424"/>
  <c r="CJ9" i="23424"/>
  <c r="CI9" i="23424"/>
  <c r="CH9" i="23424"/>
  <c r="CG9" i="23424"/>
  <c r="CF9" i="23424"/>
  <c r="CE9" i="23424"/>
  <c r="CD9" i="23424"/>
  <c r="BO9" i="23424"/>
  <c r="E193" i="23424" l="1"/>
  <c r="E196" i="23424"/>
  <c r="E195" i="23424"/>
  <c r="E194" i="23424"/>
  <c r="F196" i="23424"/>
  <c r="F195" i="23424"/>
  <c r="F194" i="23424"/>
  <c r="F193" i="23424"/>
  <c r="J194" i="23424"/>
  <c r="N118" i="23420" s="1"/>
  <c r="J193" i="23424"/>
  <c r="J196" i="23424"/>
  <c r="N120" i="23420" s="1"/>
  <c r="J195" i="23424"/>
  <c r="N119" i="23420" s="1"/>
  <c r="G196" i="23424"/>
  <c r="G195" i="23424"/>
  <c r="G194" i="23424"/>
  <c r="G193" i="23424"/>
  <c r="K196" i="23424"/>
  <c r="N174" i="23420" s="1"/>
  <c r="K195" i="23424"/>
  <c r="N173" i="23420" s="1"/>
  <c r="K194" i="23424"/>
  <c r="N172" i="23420" s="1"/>
  <c r="K193" i="23424"/>
  <c r="O196" i="23424"/>
  <c r="O195" i="23424"/>
  <c r="O194" i="23424"/>
  <c r="O193" i="23424"/>
  <c r="D196" i="23424"/>
  <c r="D195" i="23424"/>
  <c r="D194" i="23424"/>
  <c r="D193" i="23424"/>
  <c r="H196" i="23424"/>
  <c r="H195" i="23424"/>
  <c r="H194" i="23424"/>
  <c r="H193" i="23424"/>
  <c r="L196" i="23424"/>
  <c r="N48" i="23420" s="1"/>
  <c r="L195" i="23424"/>
  <c r="N47" i="23420" s="1"/>
  <c r="L194" i="23424"/>
  <c r="N46" i="23420" s="1"/>
  <c r="L193" i="23424"/>
  <c r="I196" i="23424"/>
  <c r="I195" i="23424"/>
  <c r="I194" i="23424"/>
  <c r="I193" i="23424"/>
  <c r="M196" i="23424"/>
  <c r="M195" i="23424"/>
  <c r="M194" i="23424"/>
  <c r="M193" i="23424"/>
  <c r="N196" i="23424"/>
  <c r="N195" i="23424"/>
  <c r="N194" i="23424"/>
  <c r="N193" i="23424"/>
  <c r="AP171" i="23424" l="1"/>
  <c r="AP151" i="23424"/>
  <c r="AP188" i="23424"/>
  <c r="AP168" i="23424"/>
  <c r="AP148" i="23424"/>
  <c r="AP185" i="23424"/>
  <c r="AP165" i="23424"/>
  <c r="AP179" i="23424"/>
  <c r="AP159" i="23424"/>
  <c r="AP139" i="23424"/>
  <c r="AP172" i="23424"/>
  <c r="AP170" i="23424"/>
  <c r="AP167" i="23424"/>
  <c r="AP183" i="23424"/>
  <c r="AP162" i="23424"/>
  <c r="AP161" i="23424"/>
  <c r="AP135" i="23424"/>
  <c r="AP184" i="23424"/>
  <c r="AP173" i="23424"/>
  <c r="AP152" i="23424"/>
  <c r="AP178" i="23424"/>
  <c r="AP166" i="23424"/>
  <c r="AP131" i="23424"/>
  <c r="AP123" i="23424"/>
  <c r="AP114" i="23424"/>
  <c r="AP175" i="23424"/>
  <c r="AP157" i="23424"/>
  <c r="AP150" i="23424"/>
  <c r="AP147" i="23424"/>
  <c r="AP140" i="23424"/>
  <c r="AP189" i="23424"/>
  <c r="AP145" i="23424"/>
  <c r="AP134" i="23424"/>
  <c r="AP121" i="23424"/>
  <c r="AP97" i="23424"/>
  <c r="AP77" i="23424"/>
  <c r="AP94" i="23424"/>
  <c r="AP74" i="23424"/>
  <c r="AP155" i="23424"/>
  <c r="AP111" i="23424"/>
  <c r="AP91" i="23424"/>
  <c r="AP71" i="23424"/>
  <c r="AP186" i="23424"/>
  <c r="AP142" i="23424"/>
  <c r="AP180" i="23424"/>
  <c r="AP163" i="23424"/>
  <c r="AP160" i="23424"/>
  <c r="AP120" i="23424"/>
  <c r="AP115" i="23424"/>
  <c r="AP105" i="23424"/>
  <c r="AP85" i="23424"/>
  <c r="AP65" i="23424"/>
  <c r="AP182" i="23424"/>
  <c r="AP89" i="23424"/>
  <c r="AP177" i="23424"/>
  <c r="AP158" i="23424"/>
  <c r="AP87" i="23424"/>
  <c r="AP86" i="23424"/>
  <c r="AP52" i="23424"/>
  <c r="AP153" i="23424"/>
  <c r="AP133" i="23424"/>
  <c r="AP113" i="23424"/>
  <c r="AP112" i="23424"/>
  <c r="AP109" i="23424"/>
  <c r="AP141" i="23424"/>
  <c r="AP146" i="23424"/>
  <c r="AP144" i="23424"/>
  <c r="AP81" i="23424"/>
  <c r="AP70" i="23424"/>
  <c r="AP58" i="23424"/>
  <c r="AP30" i="23424"/>
  <c r="AP10" i="23424"/>
  <c r="AP143" i="23424"/>
  <c r="AP136" i="23424"/>
  <c r="AP125" i="23424"/>
  <c r="AP118" i="23424"/>
  <c r="AP103" i="23424"/>
  <c r="AP63" i="23424"/>
  <c r="AP47" i="23424"/>
  <c r="AP27" i="23424"/>
  <c r="AP181" i="23424"/>
  <c r="AP174" i="23424"/>
  <c r="AP154" i="23424"/>
  <c r="AP129" i="23424"/>
  <c r="AP119" i="23424"/>
  <c r="AP72" i="23424"/>
  <c r="AP138" i="23424"/>
  <c r="AP130" i="23424"/>
  <c r="AP98" i="23424"/>
  <c r="AP29" i="23424"/>
  <c r="AP17" i="23424"/>
  <c r="AP67" i="23424"/>
  <c r="AP44" i="23424"/>
  <c r="AP101" i="23424"/>
  <c r="AP92" i="23424"/>
  <c r="AP59" i="23424"/>
  <c r="AP45" i="23424"/>
  <c r="AP39" i="23424"/>
  <c r="AP34" i="23424"/>
  <c r="AP95" i="23424"/>
  <c r="AP24" i="23424"/>
  <c r="AP13" i="23424"/>
  <c r="AP169" i="23424"/>
  <c r="AP124" i="23424"/>
  <c r="AP117" i="23424"/>
  <c r="AP106" i="23424"/>
  <c r="AP102" i="23424"/>
  <c r="AP82" i="23424"/>
  <c r="AP78" i="23424"/>
  <c r="AP60" i="23424"/>
  <c r="AP33" i="23424"/>
  <c r="AP137" i="23424"/>
  <c r="AP132" i="23424"/>
  <c r="AP96" i="23424"/>
  <c r="AP90" i="23424"/>
  <c r="AP79" i="23424"/>
  <c r="AP68" i="23424"/>
  <c r="AP55" i="23424"/>
  <c r="AP41" i="23424"/>
  <c r="AP176" i="23424"/>
  <c r="AP57" i="23424"/>
  <c r="AP53" i="23424"/>
  <c r="AP149" i="23424"/>
  <c r="AP93" i="23424"/>
  <c r="AP128" i="23424"/>
  <c r="AP127" i="23424"/>
  <c r="AP88" i="23424"/>
  <c r="AP75" i="23424"/>
  <c r="AP73" i="23424"/>
  <c r="AP43" i="23424"/>
  <c r="AP46" i="23424"/>
  <c r="AP15" i="23424"/>
  <c r="AP21" i="23424"/>
  <c r="AP28" i="23424"/>
  <c r="AP22" i="23424"/>
  <c r="AP64" i="23424"/>
  <c r="AP108" i="23424"/>
  <c r="AP56" i="23424"/>
  <c r="AP31" i="23424"/>
  <c r="AP16" i="23424"/>
  <c r="AP35" i="23424"/>
  <c r="AP80" i="23424"/>
  <c r="AP104" i="23424"/>
  <c r="AP100" i="23424"/>
  <c r="AP107" i="23424"/>
  <c r="AP23" i="23424"/>
  <c r="AP42" i="23424"/>
  <c r="AP32" i="23424"/>
  <c r="AP126" i="23424"/>
  <c r="AP66" i="23424"/>
  <c r="AP36" i="23424"/>
  <c r="AP164" i="23424"/>
  <c r="AP12" i="23424"/>
  <c r="AP37" i="23424"/>
  <c r="AP62" i="23424"/>
  <c r="AP38" i="23424"/>
  <c r="AP50" i="23424"/>
  <c r="AP49" i="23424"/>
  <c r="AP61" i="23424"/>
  <c r="AP19" i="23424"/>
  <c r="AP84" i="23424"/>
  <c r="AP25" i="23424"/>
  <c r="AP156" i="23424"/>
  <c r="AP116" i="23424"/>
  <c r="AP99" i="23424"/>
  <c r="AP69" i="23424"/>
  <c r="AP40" i="23424"/>
  <c r="AP26" i="23424"/>
  <c r="AP54" i="23424"/>
  <c r="AP122" i="23424"/>
  <c r="AP48" i="23424"/>
  <c r="AP187" i="23424"/>
  <c r="AP14" i="23424"/>
  <c r="AP83" i="23424"/>
  <c r="AP20" i="23424"/>
  <c r="AP76" i="23424"/>
  <c r="AP51" i="23424"/>
  <c r="AP110" i="23424"/>
  <c r="AP18" i="23424"/>
  <c r="AP11" i="23424"/>
  <c r="AM180" i="23424"/>
  <c r="AM160" i="23424"/>
  <c r="AM140" i="23424"/>
  <c r="AM177" i="23424"/>
  <c r="AM157" i="23424"/>
  <c r="AM174" i="23424"/>
  <c r="AM154" i="23424"/>
  <c r="AM188" i="23424"/>
  <c r="AM168" i="23424"/>
  <c r="AM148" i="23424"/>
  <c r="AM173" i="23424"/>
  <c r="AM175" i="23424"/>
  <c r="AM171" i="23424"/>
  <c r="AM146" i="23424"/>
  <c r="AM133" i="23424"/>
  <c r="AM145" i="23424"/>
  <c r="AM150" i="23424"/>
  <c r="AM131" i="23424"/>
  <c r="AM122" i="23424"/>
  <c r="AM149" i="23424"/>
  <c r="AM136" i="23424"/>
  <c r="AM184" i="23424"/>
  <c r="AM153" i="23424"/>
  <c r="AM132" i="23424"/>
  <c r="AM127" i="23424"/>
  <c r="AM120" i="23424"/>
  <c r="AM178" i="23424"/>
  <c r="AM170" i="23424"/>
  <c r="AM167" i="23424"/>
  <c r="AM189" i="23424"/>
  <c r="AM169" i="23424"/>
  <c r="AM138" i="23424"/>
  <c r="AM112" i="23424"/>
  <c r="AM106" i="23424"/>
  <c r="AM86" i="23424"/>
  <c r="AM66" i="23424"/>
  <c r="AM103" i="23424"/>
  <c r="AM83" i="23424"/>
  <c r="AM63" i="23424"/>
  <c r="AM165" i="23424"/>
  <c r="AM152" i="23424"/>
  <c r="AM116" i="23424"/>
  <c r="AM100" i="23424"/>
  <c r="AM80" i="23424"/>
  <c r="AM60" i="23424"/>
  <c r="AM183" i="23424"/>
  <c r="AM134" i="23424"/>
  <c r="AM121" i="23424"/>
  <c r="AM94" i="23424"/>
  <c r="AM74" i="23424"/>
  <c r="AM179" i="23424"/>
  <c r="AM156" i="23424"/>
  <c r="AM118" i="23424"/>
  <c r="AM95" i="23424"/>
  <c r="AM182" i="23424"/>
  <c r="AM161" i="23424"/>
  <c r="AM144" i="23424"/>
  <c r="AM92" i="23424"/>
  <c r="AM88" i="23424"/>
  <c r="AM163" i="23424"/>
  <c r="AM139" i="23424"/>
  <c r="AM135" i="23424"/>
  <c r="AM187" i="23424"/>
  <c r="AM137" i="23424"/>
  <c r="AM172" i="23424"/>
  <c r="AM155" i="23424"/>
  <c r="AM147" i="23424"/>
  <c r="AM114" i="23424"/>
  <c r="AM158" i="23424"/>
  <c r="AM115" i="23424"/>
  <c r="AM102" i="23424"/>
  <c r="AM59" i="23424"/>
  <c r="AM39" i="23424"/>
  <c r="AM19" i="23424"/>
  <c r="AM123" i="23424"/>
  <c r="AM110" i="23424"/>
  <c r="AM69" i="23424"/>
  <c r="AM36" i="23424"/>
  <c r="AM166" i="23424"/>
  <c r="AM129" i="23424"/>
  <c r="AM105" i="23424"/>
  <c r="AM104" i="23424"/>
  <c r="AM84" i="23424"/>
  <c r="AM65" i="23424"/>
  <c r="AM125" i="23424"/>
  <c r="AM108" i="23424"/>
  <c r="AM85" i="23424"/>
  <c r="AM57" i="23424"/>
  <c r="AM35" i="23424"/>
  <c r="AM14" i="23424"/>
  <c r="AM77" i="23424"/>
  <c r="AM29" i="23424"/>
  <c r="AM130" i="23424"/>
  <c r="AM25" i="23424"/>
  <c r="AM10" i="23424"/>
  <c r="AM73" i="23424"/>
  <c r="AM46" i="23424"/>
  <c r="AM40" i="23424"/>
  <c r="AM21" i="23424"/>
  <c r="AM98" i="23424"/>
  <c r="AM58" i="23424"/>
  <c r="AM101" i="23424"/>
  <c r="AM143" i="23424"/>
  <c r="AM119" i="23424"/>
  <c r="AM67" i="23424"/>
  <c r="AM44" i="23424"/>
  <c r="AM24" i="23424"/>
  <c r="AM159" i="23424"/>
  <c r="AM109" i="23424"/>
  <c r="AM78" i="23424"/>
  <c r="AM164" i="23424"/>
  <c r="AM82" i="23424"/>
  <c r="AM34" i="23424"/>
  <c r="AM96" i="23424"/>
  <c r="AM89" i="23424"/>
  <c r="AM76" i="23424"/>
  <c r="AM71" i="23424"/>
  <c r="AM64" i="23424"/>
  <c r="AM162" i="23424"/>
  <c r="AM176" i="23424"/>
  <c r="AM142" i="23424"/>
  <c r="AM41" i="23424"/>
  <c r="AM141" i="23424"/>
  <c r="AM117" i="23424"/>
  <c r="AM111" i="23424"/>
  <c r="AM68" i="23424"/>
  <c r="AM128" i="23424"/>
  <c r="AM126" i="23424"/>
  <c r="AM93" i="23424"/>
  <c r="AM61" i="23424"/>
  <c r="AM54" i="23424"/>
  <c r="AM38" i="23424"/>
  <c r="AM26" i="23424"/>
  <c r="AM97" i="23424"/>
  <c r="AM48" i="23424"/>
  <c r="AM27" i="23424"/>
  <c r="AM56" i="23424"/>
  <c r="AM15" i="23424"/>
  <c r="AM16" i="23424"/>
  <c r="AM79" i="23424"/>
  <c r="AM70" i="23424"/>
  <c r="AM28" i="23424"/>
  <c r="AM22" i="23424"/>
  <c r="AM17" i="23424"/>
  <c r="AM107" i="23424"/>
  <c r="AM47" i="23424"/>
  <c r="AM42" i="23424"/>
  <c r="AM23" i="23424"/>
  <c r="AM72" i="23424"/>
  <c r="AM32" i="23424"/>
  <c r="AM20" i="23424"/>
  <c r="AM87" i="23424"/>
  <c r="AM90" i="23424"/>
  <c r="AM62" i="23424"/>
  <c r="AM55" i="23424"/>
  <c r="AM50" i="23424"/>
  <c r="AM49" i="23424"/>
  <c r="AM31" i="23424"/>
  <c r="AM12" i="23424"/>
  <c r="AM181" i="23424"/>
  <c r="AM99" i="23424"/>
  <c r="AM53" i="23424"/>
  <c r="AM37" i="23424"/>
  <c r="AM124" i="23424"/>
  <c r="AM151" i="23424"/>
  <c r="AM18" i="23424"/>
  <c r="AM33" i="23424"/>
  <c r="AM45" i="23424"/>
  <c r="AM11" i="23424"/>
  <c r="AM51" i="23424"/>
  <c r="AM30" i="23424"/>
  <c r="AM52" i="23424"/>
  <c r="AM75" i="23424"/>
  <c r="AM43" i="23424"/>
  <c r="AM13" i="23424"/>
  <c r="AM113" i="23424"/>
  <c r="AM186" i="23424"/>
  <c r="AM185" i="23424"/>
  <c r="AM91" i="23424"/>
  <c r="AM81" i="23424"/>
  <c r="BC175" i="23424"/>
  <c r="BC155" i="23424"/>
  <c r="BC172" i="23424"/>
  <c r="BC152" i="23424"/>
  <c r="BC189" i="23424"/>
  <c r="BC169" i="23424"/>
  <c r="BC149" i="23424"/>
  <c r="BC183" i="23424"/>
  <c r="BC163" i="23424"/>
  <c r="BC143" i="23424"/>
  <c r="BC187" i="23424"/>
  <c r="BC185" i="23424"/>
  <c r="BC158" i="23424"/>
  <c r="BC156" i="23424"/>
  <c r="BC180" i="23424"/>
  <c r="BC151" i="23424"/>
  <c r="BC181" i="23424"/>
  <c r="BC174" i="23424"/>
  <c r="BC168" i="23424"/>
  <c r="BC154" i="23424"/>
  <c r="BC140" i="23424"/>
  <c r="BC167" i="23424"/>
  <c r="BC144" i="23424"/>
  <c r="BC142" i="23424"/>
  <c r="BC118" i="23424"/>
  <c r="BC128" i="23424"/>
  <c r="BC115" i="23424"/>
  <c r="BC160" i="23424"/>
  <c r="BC137" i="23424"/>
  <c r="BC177" i="23424"/>
  <c r="BC113" i="23424"/>
  <c r="BC101" i="23424"/>
  <c r="BC81" i="23424"/>
  <c r="BC61" i="23424"/>
  <c r="BC188" i="23424"/>
  <c r="BC131" i="23424"/>
  <c r="BC98" i="23424"/>
  <c r="BC78" i="23424"/>
  <c r="BC58" i="23424"/>
  <c r="BC182" i="23424"/>
  <c r="BC153" i="23424"/>
  <c r="BC129" i="23424"/>
  <c r="BC127" i="23424"/>
  <c r="BC95" i="23424"/>
  <c r="BC75" i="23424"/>
  <c r="BC55" i="23424"/>
  <c r="BC170" i="23424"/>
  <c r="BC132" i="23424"/>
  <c r="BC179" i="23424"/>
  <c r="BC166" i="23424"/>
  <c r="BC126" i="23424"/>
  <c r="BC117" i="23424"/>
  <c r="BC109" i="23424"/>
  <c r="BC89" i="23424"/>
  <c r="BC69" i="23424"/>
  <c r="BC164" i="23424"/>
  <c r="BC173" i="23424"/>
  <c r="BC145" i="23424"/>
  <c r="BC116" i="23424"/>
  <c r="BC104" i="23424"/>
  <c r="BC102" i="23424"/>
  <c r="BC76" i="23424"/>
  <c r="BC125" i="23424"/>
  <c r="BC72" i="23424"/>
  <c r="BC186" i="23424"/>
  <c r="BC176" i="23424"/>
  <c r="BC96" i="23424"/>
  <c r="BC159" i="23424"/>
  <c r="BC157" i="23424"/>
  <c r="BC133" i="23424"/>
  <c r="BC119" i="23424"/>
  <c r="BC73" i="23424"/>
  <c r="BC52" i="23424"/>
  <c r="BC34" i="23424"/>
  <c r="BC14" i="23424"/>
  <c r="BC139" i="23424"/>
  <c r="BC122" i="23424"/>
  <c r="BC74" i="23424"/>
  <c r="BC31" i="23424"/>
  <c r="BC184" i="23424"/>
  <c r="BC124" i="23424"/>
  <c r="BC178" i="23424"/>
  <c r="BC165" i="23424"/>
  <c r="BC161" i="23424"/>
  <c r="BC120" i="23424"/>
  <c r="BC108" i="23424"/>
  <c r="BC107" i="23424"/>
  <c r="BC77" i="23424"/>
  <c r="BC60" i="23424"/>
  <c r="BC106" i="23424"/>
  <c r="BC93" i="23424"/>
  <c r="BC82" i="23424"/>
  <c r="BC37" i="23424"/>
  <c r="BC15" i="23424"/>
  <c r="BC65" i="23424"/>
  <c r="BC53" i="23424"/>
  <c r="BC103" i="23424"/>
  <c r="BC147" i="23424"/>
  <c r="BC121" i="23424"/>
  <c r="BC90" i="23424"/>
  <c r="BC71" i="23424"/>
  <c r="BC68" i="23424"/>
  <c r="BC51" i="23424"/>
  <c r="BC50" i="23424"/>
  <c r="BC36" i="23424"/>
  <c r="BC26" i="23424"/>
  <c r="BC22" i="23424"/>
  <c r="BC11" i="23424"/>
  <c r="BC87" i="23424"/>
  <c r="BC83" i="23424"/>
  <c r="BC79" i="23424"/>
  <c r="BC123" i="23424"/>
  <c r="BC100" i="23424"/>
  <c r="BC97" i="23424"/>
  <c r="BC91" i="23424"/>
  <c r="BC88" i="23424"/>
  <c r="BC62" i="23424"/>
  <c r="BC56" i="23424"/>
  <c r="BC54" i="23424"/>
  <c r="BC47" i="23424"/>
  <c r="BC25" i="23424"/>
  <c r="BC146" i="23424"/>
  <c r="BC150" i="23424"/>
  <c r="BC148" i="23424"/>
  <c r="BC111" i="23424"/>
  <c r="BC23" i="23424"/>
  <c r="BC162" i="23424"/>
  <c r="BC114" i="23424"/>
  <c r="BC44" i="23424"/>
  <c r="BC43" i="23424"/>
  <c r="BC171" i="23424"/>
  <c r="BC141" i="23424"/>
  <c r="BC39" i="23424"/>
  <c r="BC38" i="23424"/>
  <c r="BC136" i="23424"/>
  <c r="BC135" i="23424"/>
  <c r="BC92" i="23424"/>
  <c r="BC66" i="23424"/>
  <c r="BC40" i="23424"/>
  <c r="BC13" i="23424"/>
  <c r="BC70" i="23424"/>
  <c r="BC49" i="23424"/>
  <c r="BC45" i="23424"/>
  <c r="BC24" i="23424"/>
  <c r="BC112" i="23424"/>
  <c r="BC85" i="23424"/>
  <c r="BC63" i="23424"/>
  <c r="BC32" i="23424"/>
  <c r="BC18" i="23424"/>
  <c r="BC42" i="23424"/>
  <c r="BC33" i="23424"/>
  <c r="BC134" i="23424"/>
  <c r="BC99" i="23424"/>
  <c r="BC110" i="23424"/>
  <c r="BC94" i="23424"/>
  <c r="BC80" i="23424"/>
  <c r="BC10" i="23424"/>
  <c r="BC12" i="23424"/>
  <c r="BC48" i="23424"/>
  <c r="BC67" i="23424"/>
  <c r="BC138" i="23424"/>
  <c r="BC21" i="23424"/>
  <c r="BC59" i="23424"/>
  <c r="BC130" i="23424"/>
  <c r="BC16" i="23424"/>
  <c r="BC30" i="23424"/>
  <c r="BC28" i="23424"/>
  <c r="BC84" i="23424"/>
  <c r="BC86" i="23424"/>
  <c r="BC29" i="23424"/>
  <c r="BC105" i="23424"/>
  <c r="BC41" i="23424"/>
  <c r="BC19" i="23424"/>
  <c r="BC27" i="23424"/>
  <c r="BC57" i="23424"/>
  <c r="BC35" i="23424"/>
  <c r="BC17" i="23424"/>
  <c r="BC64" i="23424"/>
  <c r="BC20" i="23424"/>
  <c r="BC46" i="23424"/>
  <c r="BF186" i="23424"/>
  <c r="BF166" i="23424"/>
  <c r="BF146" i="23424"/>
  <c r="BF183" i="23424"/>
  <c r="BF163" i="23424"/>
  <c r="BF180" i="23424"/>
  <c r="BF160" i="23424"/>
  <c r="BF174" i="23424"/>
  <c r="BF154" i="23424"/>
  <c r="BF182" i="23424"/>
  <c r="BF184" i="23424"/>
  <c r="BF179" i="23424"/>
  <c r="BF155" i="23424"/>
  <c r="BF148" i="23424"/>
  <c r="BF177" i="23424"/>
  <c r="BF150" i="23424"/>
  <c r="BF141" i="23424"/>
  <c r="BF136" i="23424"/>
  <c r="BF173" i="23424"/>
  <c r="BF171" i="23424"/>
  <c r="BF142" i="23424"/>
  <c r="BF128" i="23424"/>
  <c r="BF185" i="23424"/>
  <c r="BF159" i="23424"/>
  <c r="BF187" i="23424"/>
  <c r="BF124" i="23424"/>
  <c r="BF164" i="23424"/>
  <c r="BF156" i="23424"/>
  <c r="BF152" i="23424"/>
  <c r="BF123" i="23424"/>
  <c r="BF140" i="23424"/>
  <c r="BF127" i="23424"/>
  <c r="BF92" i="23424"/>
  <c r="BF72" i="23424"/>
  <c r="BF170" i="23424"/>
  <c r="BF153" i="23424"/>
  <c r="BF151" i="23424"/>
  <c r="BF143" i="23424"/>
  <c r="BF126" i="23424"/>
  <c r="BF117" i="23424"/>
  <c r="BF109" i="23424"/>
  <c r="BF89" i="23424"/>
  <c r="BF69" i="23424"/>
  <c r="BF172" i="23424"/>
  <c r="BF132" i="23424"/>
  <c r="BF125" i="23424"/>
  <c r="BF106" i="23424"/>
  <c r="BF86" i="23424"/>
  <c r="BF66" i="23424"/>
  <c r="BF122" i="23424"/>
  <c r="BF149" i="23424"/>
  <c r="BF137" i="23424"/>
  <c r="BF133" i="23424"/>
  <c r="BF100" i="23424"/>
  <c r="BF80" i="23424"/>
  <c r="BF101" i="23424"/>
  <c r="BF97" i="23424"/>
  <c r="BF75" i="23424"/>
  <c r="BF57" i="23424"/>
  <c r="BF181" i="23424"/>
  <c r="BF165" i="23424"/>
  <c r="BF68" i="23424"/>
  <c r="BF53" i="23424"/>
  <c r="BF162" i="23424"/>
  <c r="BF95" i="23424"/>
  <c r="BF134" i="23424"/>
  <c r="BF120" i="23424"/>
  <c r="BF119" i="23424"/>
  <c r="BF157" i="23424"/>
  <c r="BF139" i="23424"/>
  <c r="BF45" i="23424"/>
  <c r="BF25" i="23424"/>
  <c r="BF99" i="23424"/>
  <c r="BF67" i="23424"/>
  <c r="BF42" i="23424"/>
  <c r="BF161" i="23424"/>
  <c r="BF138" i="23424"/>
  <c r="BF79" i="23424"/>
  <c r="BF61" i="23424"/>
  <c r="BF59" i="23424"/>
  <c r="BF47" i="23424"/>
  <c r="BF169" i="23424"/>
  <c r="BF147" i="23424"/>
  <c r="BF71" i="23424"/>
  <c r="BF65" i="23424"/>
  <c r="BF11" i="23424"/>
  <c r="BF18" i="23424"/>
  <c r="BF113" i="23424"/>
  <c r="BF168" i="23424"/>
  <c r="BF83" i="23424"/>
  <c r="BF52" i="23424"/>
  <c r="BF49" i="23424"/>
  <c r="BF41" i="23424"/>
  <c r="BF31" i="23424"/>
  <c r="BF115" i="23424"/>
  <c r="BF103" i="23424"/>
  <c r="BF87" i="23424"/>
  <c r="BF30" i="23424"/>
  <c r="BF56" i="23424"/>
  <c r="BF54" i="23424"/>
  <c r="BF167" i="23424"/>
  <c r="BF110" i="23424"/>
  <c r="BF178" i="23424"/>
  <c r="BF94" i="23424"/>
  <c r="BF129" i="23424"/>
  <c r="BF107" i="23424"/>
  <c r="BF40" i="23424"/>
  <c r="BF158" i="23424"/>
  <c r="BF131" i="23424"/>
  <c r="BF118" i="23424"/>
  <c r="BF111" i="23424"/>
  <c r="BF98" i="23424"/>
  <c r="BF93" i="23424"/>
  <c r="BF73" i="23424"/>
  <c r="BF51" i="23424"/>
  <c r="BF39" i="23424"/>
  <c r="BF38" i="23424"/>
  <c r="BF37" i="23424"/>
  <c r="BF17" i="23424"/>
  <c r="BF16" i="23424"/>
  <c r="BF145" i="23424"/>
  <c r="BF77" i="23424"/>
  <c r="BF48" i="23424"/>
  <c r="BF121" i="23424"/>
  <c r="BF175" i="23424"/>
  <c r="BF116" i="23424"/>
  <c r="BF81" i="23424"/>
  <c r="BF85" i="23424"/>
  <c r="BF13" i="23424"/>
  <c r="BF96" i="23424"/>
  <c r="BF88" i="23424"/>
  <c r="BF55" i="23424"/>
  <c r="BF112" i="23424"/>
  <c r="BF63" i="23424"/>
  <c r="BF36" i="23424"/>
  <c r="BF144" i="23424"/>
  <c r="BF12" i="23424"/>
  <c r="BF76" i="23424"/>
  <c r="BF60" i="23424"/>
  <c r="BF58" i="23424"/>
  <c r="BF33" i="23424"/>
  <c r="BF135" i="23424"/>
  <c r="BF82" i="23424"/>
  <c r="BF91" i="23424"/>
  <c r="BF62" i="23424"/>
  <c r="BF20" i="23424"/>
  <c r="BF102" i="23424"/>
  <c r="BF34" i="23424"/>
  <c r="BF21" i="23424"/>
  <c r="BF44" i="23424"/>
  <c r="BF104" i="23424"/>
  <c r="BF70" i="23424"/>
  <c r="BF46" i="23424"/>
  <c r="BF14" i="23424"/>
  <c r="BF78" i="23424"/>
  <c r="BF43" i="23424"/>
  <c r="BF84" i="23424"/>
  <c r="BF28" i="23424"/>
  <c r="BF130" i="23424"/>
  <c r="BF23" i="23424"/>
  <c r="BF64" i="23424"/>
  <c r="BF35" i="23424"/>
  <c r="BF10" i="23424"/>
  <c r="BF176" i="23424"/>
  <c r="BF108" i="23424"/>
  <c r="BF74" i="23424"/>
  <c r="BF15" i="23424"/>
  <c r="BF26" i="23424"/>
  <c r="BF24" i="23424"/>
  <c r="BF19" i="23424"/>
  <c r="BF50" i="23424"/>
  <c r="BF29" i="23424"/>
  <c r="BF27" i="23424"/>
  <c r="BF188" i="23424"/>
  <c r="BF32" i="23424"/>
  <c r="BF189" i="23424"/>
  <c r="BF90" i="23424"/>
  <c r="BF105" i="23424"/>
  <c r="BF22" i="23424"/>
  <c r="BF114" i="23424"/>
  <c r="AS182" i="23424"/>
  <c r="AS162" i="23424"/>
  <c r="AS142" i="23424"/>
  <c r="AS179" i="23424"/>
  <c r="AS159" i="23424"/>
  <c r="AS176" i="23424"/>
  <c r="AS156" i="23424"/>
  <c r="AS170" i="23424"/>
  <c r="AS150" i="23424"/>
  <c r="AS169" i="23424"/>
  <c r="AS166" i="23424"/>
  <c r="AS144" i="23424"/>
  <c r="AS135" i="23424"/>
  <c r="AS132" i="23424"/>
  <c r="AS189" i="23424"/>
  <c r="AS188" i="23424"/>
  <c r="AS180" i="23424"/>
  <c r="AS124" i="23424"/>
  <c r="AS163" i="23424"/>
  <c r="AS181" i="23424"/>
  <c r="AS167" i="23424"/>
  <c r="AS146" i="23424"/>
  <c r="AS130" i="23424"/>
  <c r="AS154" i="23424"/>
  <c r="AS126" i="23424"/>
  <c r="AS187" i="23424"/>
  <c r="AS185" i="23424"/>
  <c r="AS148" i="23424"/>
  <c r="AS125" i="23424"/>
  <c r="AS186" i="23424"/>
  <c r="AS111" i="23424"/>
  <c r="AS108" i="23424"/>
  <c r="AS88" i="23424"/>
  <c r="AS68" i="23424"/>
  <c r="AS183" i="23424"/>
  <c r="AS165" i="23424"/>
  <c r="AS160" i="23424"/>
  <c r="AS120" i="23424"/>
  <c r="AS115" i="23424"/>
  <c r="AS105" i="23424"/>
  <c r="AS85" i="23424"/>
  <c r="AS65" i="23424"/>
  <c r="AS168" i="23424"/>
  <c r="AS102" i="23424"/>
  <c r="AS82" i="23424"/>
  <c r="AS62" i="23424"/>
  <c r="AS158" i="23424"/>
  <c r="AS139" i="23424"/>
  <c r="AS119" i="23424"/>
  <c r="AS114" i="23424"/>
  <c r="AS96" i="23424"/>
  <c r="AS76" i="23424"/>
  <c r="AS137" i="23424"/>
  <c r="AS121" i="23424"/>
  <c r="AS83" i="23424"/>
  <c r="AS153" i="23424"/>
  <c r="AS143" i="23424"/>
  <c r="AS155" i="23424"/>
  <c r="AS103" i="23424"/>
  <c r="AS145" i="23424"/>
  <c r="AS136" i="23424"/>
  <c r="AS116" i="23424"/>
  <c r="AS174" i="23424"/>
  <c r="AS91" i="23424"/>
  <c r="AS41" i="23424"/>
  <c r="AS21" i="23424"/>
  <c r="AS129" i="23424"/>
  <c r="AS104" i="23424"/>
  <c r="AS97" i="23424"/>
  <c r="AS55" i="23424"/>
  <c r="AS38" i="23424"/>
  <c r="AS173" i="23424"/>
  <c r="AS172" i="23424"/>
  <c r="AS157" i="23424"/>
  <c r="AS122" i="23424"/>
  <c r="AS106" i="23424"/>
  <c r="AS66" i="23424"/>
  <c r="AS161" i="23424"/>
  <c r="AS134" i="23424"/>
  <c r="AS133" i="23424"/>
  <c r="AS95" i="23424"/>
  <c r="AS81" i="23424"/>
  <c r="AS77" i="23424"/>
  <c r="AS67" i="23424"/>
  <c r="AS63" i="23424"/>
  <c r="AS13" i="23424"/>
  <c r="AS33" i="23424"/>
  <c r="AS127" i="23424"/>
  <c r="AS89" i="23424"/>
  <c r="AS70" i="23424"/>
  <c r="AS24" i="23424"/>
  <c r="AS147" i="23424"/>
  <c r="AS112" i="23424"/>
  <c r="AS74" i="23424"/>
  <c r="AS44" i="23424"/>
  <c r="AS28" i="23424"/>
  <c r="AS20" i="23424"/>
  <c r="AS99" i="23424"/>
  <c r="AS93" i="23424"/>
  <c r="AS78" i="23424"/>
  <c r="AS109" i="23424"/>
  <c r="AS117" i="23424"/>
  <c r="AS86" i="23424"/>
  <c r="AS90" i="23424"/>
  <c r="AS32" i="23424"/>
  <c r="AS27" i="23424"/>
  <c r="AS23" i="23424"/>
  <c r="AS151" i="23424"/>
  <c r="AS75" i="23424"/>
  <c r="AS71" i="23424"/>
  <c r="AS57" i="23424"/>
  <c r="AS178" i="23424"/>
  <c r="AS149" i="23424"/>
  <c r="AS118" i="23424"/>
  <c r="AS84" i="23424"/>
  <c r="AS50" i="23424"/>
  <c r="AS42" i="23424"/>
  <c r="AS141" i="23424"/>
  <c r="AS128" i="23424"/>
  <c r="AS47" i="23424"/>
  <c r="AS36" i="23424"/>
  <c r="AS175" i="23424"/>
  <c r="AS100" i="23424"/>
  <c r="AS138" i="23424"/>
  <c r="AS64" i="23424"/>
  <c r="AS16" i="23424"/>
  <c r="AS107" i="23424"/>
  <c r="AS73" i="23424"/>
  <c r="AS56" i="23424"/>
  <c r="AS35" i="23424"/>
  <c r="AS22" i="23424"/>
  <c r="AS80" i="23424"/>
  <c r="AS79" i="23424"/>
  <c r="AS51" i="23424"/>
  <c r="AS171" i="23424"/>
  <c r="AS92" i="23424"/>
  <c r="AS53" i="23424"/>
  <c r="AS29" i="23424"/>
  <c r="AS58" i="23424"/>
  <c r="AS49" i="23424"/>
  <c r="AS131" i="23424"/>
  <c r="AS25" i="23424"/>
  <c r="AS18" i="23424"/>
  <c r="AS12" i="23424"/>
  <c r="AS15" i="23424"/>
  <c r="AS87" i="23424"/>
  <c r="AS10" i="23424"/>
  <c r="AS140" i="23424"/>
  <c r="AS69" i="23424"/>
  <c r="AS101" i="23424"/>
  <c r="AS59" i="23424"/>
  <c r="AS34" i="23424"/>
  <c r="AS164" i="23424"/>
  <c r="AS19" i="23424"/>
  <c r="AS61" i="23424"/>
  <c r="AS40" i="23424"/>
  <c r="AS37" i="23424"/>
  <c r="AS26" i="23424"/>
  <c r="AS60" i="23424"/>
  <c r="AS31" i="23424"/>
  <c r="AS14" i="23424"/>
  <c r="AS54" i="23424"/>
  <c r="AS123" i="23424"/>
  <c r="AS98" i="23424"/>
  <c r="AS43" i="23424"/>
  <c r="AS48" i="23424"/>
  <c r="AS152" i="23424"/>
  <c r="AS52" i="23424"/>
  <c r="AS46" i="23424"/>
  <c r="AS72" i="23424"/>
  <c r="AS184" i="23424"/>
  <c r="AS177" i="23424"/>
  <c r="AS45" i="23424"/>
  <c r="AS30" i="23424"/>
  <c r="AS17" i="23424"/>
  <c r="AS110" i="23424"/>
  <c r="AS39" i="23424"/>
  <c r="AS113" i="23424"/>
  <c r="AS11" i="23424"/>
  <c r="AS94" i="23424"/>
  <c r="AZ184" i="23424"/>
  <c r="AZ164" i="23424"/>
  <c r="AZ144" i="23424"/>
  <c r="AZ181" i="23424"/>
  <c r="AZ161" i="23424"/>
  <c r="AZ178" i="23424"/>
  <c r="AZ158" i="23424"/>
  <c r="AZ172" i="23424"/>
  <c r="AZ152" i="23424"/>
  <c r="AZ189" i="23424"/>
  <c r="AZ188" i="23424"/>
  <c r="AZ186" i="23424"/>
  <c r="AZ159" i="23424"/>
  <c r="AZ157" i="23424"/>
  <c r="AZ137" i="23424"/>
  <c r="AZ134" i="23424"/>
  <c r="AZ182" i="23424"/>
  <c r="AZ166" i="23424"/>
  <c r="AZ146" i="23424"/>
  <c r="AZ133" i="23424"/>
  <c r="AZ126" i="23424"/>
  <c r="AZ173" i="23424"/>
  <c r="AZ165" i="23424"/>
  <c r="AZ154" i="23424"/>
  <c r="AZ169" i="23424"/>
  <c r="AZ187" i="23424"/>
  <c r="AZ185" i="23424"/>
  <c r="AZ183" i="23424"/>
  <c r="AZ129" i="23424"/>
  <c r="AZ125" i="23424"/>
  <c r="AZ179" i="23424"/>
  <c r="AZ167" i="23424"/>
  <c r="AZ162" i="23424"/>
  <c r="AZ151" i="23424"/>
  <c r="AZ148" i="23424"/>
  <c r="AZ142" i="23424"/>
  <c r="AZ176" i="23424"/>
  <c r="AZ171" i="23424"/>
  <c r="AZ174" i="23424"/>
  <c r="AZ168" i="23424"/>
  <c r="AZ124" i="23424"/>
  <c r="AZ163" i="23424"/>
  <c r="AZ136" i="23424"/>
  <c r="AZ119" i="23424"/>
  <c r="AZ110" i="23424"/>
  <c r="AZ90" i="23424"/>
  <c r="AZ70" i="23424"/>
  <c r="AZ177" i="23424"/>
  <c r="AZ107" i="23424"/>
  <c r="AZ87" i="23424"/>
  <c r="AZ67" i="23424"/>
  <c r="AZ175" i="23424"/>
  <c r="AZ131" i="23424"/>
  <c r="AZ130" i="23424"/>
  <c r="AZ104" i="23424"/>
  <c r="AZ84" i="23424"/>
  <c r="AZ64" i="23424"/>
  <c r="AZ153" i="23424"/>
  <c r="AZ140" i="23424"/>
  <c r="AZ143" i="23424"/>
  <c r="AZ128" i="23424"/>
  <c r="AZ98" i="23424"/>
  <c r="AZ78" i="23424"/>
  <c r="AZ105" i="23424"/>
  <c r="AZ103" i="23424"/>
  <c r="AZ77" i="23424"/>
  <c r="AZ145" i="23424"/>
  <c r="AZ141" i="23424"/>
  <c r="AZ114" i="23424"/>
  <c r="AZ58" i="23424"/>
  <c r="AZ54" i="23424"/>
  <c r="AZ150" i="23424"/>
  <c r="AZ147" i="23424"/>
  <c r="AZ97" i="23424"/>
  <c r="AZ138" i="23424"/>
  <c r="AZ149" i="23424"/>
  <c r="AZ66" i="23424"/>
  <c r="AZ53" i="23424"/>
  <c r="AZ43" i="23424"/>
  <c r="AZ23" i="23424"/>
  <c r="AZ40" i="23424"/>
  <c r="AZ180" i="23424"/>
  <c r="AZ132" i="23424"/>
  <c r="AZ117" i="23424"/>
  <c r="AZ45" i="23424"/>
  <c r="AZ112" i="23424"/>
  <c r="AZ109" i="23424"/>
  <c r="AZ27" i="23424"/>
  <c r="AZ12" i="23424"/>
  <c r="AZ19" i="23424"/>
  <c r="AZ51" i="23424"/>
  <c r="AZ115" i="23424"/>
  <c r="AZ160" i="23424"/>
  <c r="AZ106" i="23424"/>
  <c r="AZ93" i="23424"/>
  <c r="AZ37" i="23424"/>
  <c r="AZ127" i="23424"/>
  <c r="AZ121" i="23424"/>
  <c r="AZ102" i="23424"/>
  <c r="AZ99" i="23424"/>
  <c r="AZ61" i="23424"/>
  <c r="AZ42" i="23424"/>
  <c r="AZ32" i="23424"/>
  <c r="AZ82" i="23424"/>
  <c r="AZ68" i="23424"/>
  <c r="AZ96" i="23424"/>
  <c r="AZ123" i="23424"/>
  <c r="AZ94" i="23424"/>
  <c r="AZ83" i="23424"/>
  <c r="AZ79" i="23424"/>
  <c r="AZ65" i="23424"/>
  <c r="AZ156" i="23424"/>
  <c r="AZ91" i="23424"/>
  <c r="AZ88" i="23424"/>
  <c r="AZ69" i="23424"/>
  <c r="AZ75" i="23424"/>
  <c r="AZ111" i="23424"/>
  <c r="AZ100" i="23424"/>
  <c r="AZ56" i="23424"/>
  <c r="AZ31" i="23424"/>
  <c r="AZ120" i="23424"/>
  <c r="AZ39" i="23424"/>
  <c r="AZ38" i="23424"/>
  <c r="AZ116" i="23424"/>
  <c r="AZ155" i="23424"/>
  <c r="AZ25" i="23424"/>
  <c r="AZ24" i="23424"/>
  <c r="AZ11" i="23424"/>
  <c r="AZ63" i="23424"/>
  <c r="AZ92" i="23424"/>
  <c r="AZ89" i="23424"/>
  <c r="AZ29" i="23424"/>
  <c r="AZ73" i="23424"/>
  <c r="AZ49" i="23424"/>
  <c r="AZ47" i="23424"/>
  <c r="AZ36" i="23424"/>
  <c r="AZ18" i="23424"/>
  <c r="AZ170" i="23424"/>
  <c r="AZ135" i="23424"/>
  <c r="AZ95" i="23424"/>
  <c r="AZ72" i="23424"/>
  <c r="AZ30" i="23424"/>
  <c r="AZ33" i="23424"/>
  <c r="AZ14" i="23424"/>
  <c r="AZ26" i="23424"/>
  <c r="AZ71" i="23424"/>
  <c r="AZ60" i="23424"/>
  <c r="AZ34" i="23424"/>
  <c r="AZ48" i="23424"/>
  <c r="AZ52" i="23424"/>
  <c r="AZ122" i="23424"/>
  <c r="AZ16" i="23424"/>
  <c r="AZ80" i="23424"/>
  <c r="AZ44" i="23424"/>
  <c r="AZ10" i="23424"/>
  <c r="AZ86" i="23424"/>
  <c r="AZ76" i="23424"/>
  <c r="AZ113" i="23424"/>
  <c r="AZ139" i="23424"/>
  <c r="AZ85" i="23424"/>
  <c r="AZ101" i="23424"/>
  <c r="AZ28" i="23424"/>
  <c r="AZ21" i="23424"/>
  <c r="AZ118" i="23424"/>
  <c r="AZ59" i="23424"/>
  <c r="AZ41" i="23424"/>
  <c r="AZ17" i="23424"/>
  <c r="AZ55" i="23424"/>
  <c r="AZ15" i="23424"/>
  <c r="AZ57" i="23424"/>
  <c r="AZ13" i="23424"/>
  <c r="AZ22" i="23424"/>
  <c r="AZ50" i="23424"/>
  <c r="AZ46" i="23424"/>
  <c r="AZ35" i="23424"/>
  <c r="AZ74" i="23424"/>
  <c r="AZ81" i="23424"/>
  <c r="AZ62" i="23424"/>
  <c r="AZ108" i="23424"/>
  <c r="AZ20" i="23424"/>
  <c r="AW173" i="23424"/>
  <c r="AW153" i="23424"/>
  <c r="AW170" i="23424"/>
  <c r="AW150" i="23424"/>
  <c r="AW187" i="23424"/>
  <c r="AW167" i="23424"/>
  <c r="AW147" i="23424"/>
  <c r="AW181" i="23424"/>
  <c r="AW161" i="23424"/>
  <c r="AW141" i="23424"/>
  <c r="AW165" i="23424"/>
  <c r="AW164" i="23424"/>
  <c r="AW163" i="23424"/>
  <c r="AW160" i="23424"/>
  <c r="AW143" i="23424"/>
  <c r="AW189" i="23424"/>
  <c r="AW176" i="23424"/>
  <c r="AW152" i="23424"/>
  <c r="AW134" i="23424"/>
  <c r="AW184" i="23424"/>
  <c r="AW178" i="23424"/>
  <c r="AW168" i="23424"/>
  <c r="AW155" i="23424"/>
  <c r="AW186" i="23424"/>
  <c r="AW116" i="23424"/>
  <c r="AW185" i="23424"/>
  <c r="AW183" i="23424"/>
  <c r="AW159" i="23424"/>
  <c r="AW180" i="23424"/>
  <c r="AW146" i="23424"/>
  <c r="AW135" i="23424"/>
  <c r="AW99" i="23424"/>
  <c r="AW79" i="23424"/>
  <c r="AW139" i="23424"/>
  <c r="AW114" i="23424"/>
  <c r="AW96" i="23424"/>
  <c r="AW76" i="23424"/>
  <c r="AW177" i="23424"/>
  <c r="AW158" i="23424"/>
  <c r="AW136" i="23424"/>
  <c r="AW93" i="23424"/>
  <c r="AW73" i="23424"/>
  <c r="AW53" i="23424"/>
  <c r="AW188" i="23424"/>
  <c r="AW175" i="23424"/>
  <c r="AW107" i="23424"/>
  <c r="AW87" i="23424"/>
  <c r="AW67" i="23424"/>
  <c r="AW133" i="23424"/>
  <c r="AW127" i="23424"/>
  <c r="AW113" i="23424"/>
  <c r="AW112" i="23424"/>
  <c r="AW110" i="23424"/>
  <c r="AW109" i="23424"/>
  <c r="AW82" i="23424"/>
  <c r="AW169" i="23424"/>
  <c r="AW131" i="23424"/>
  <c r="AW122" i="23424"/>
  <c r="AW111" i="23424"/>
  <c r="AW106" i="23424"/>
  <c r="AW78" i="23424"/>
  <c r="AW59" i="23424"/>
  <c r="AW102" i="23424"/>
  <c r="AW179" i="23424"/>
  <c r="AW140" i="23424"/>
  <c r="AW154" i="23424"/>
  <c r="AW72" i="23424"/>
  <c r="AW55" i="23424"/>
  <c r="AW32" i="23424"/>
  <c r="AW12" i="23424"/>
  <c r="AW29" i="23424"/>
  <c r="AW182" i="23424"/>
  <c r="AW162" i="23424"/>
  <c r="AW149" i="23424"/>
  <c r="AW98" i="23424"/>
  <c r="AW65" i="23424"/>
  <c r="AW54" i="23424"/>
  <c r="AW157" i="23424"/>
  <c r="AW119" i="23424"/>
  <c r="AW52" i="23424"/>
  <c r="AW117" i="23424"/>
  <c r="AW86" i="23424"/>
  <c r="AW74" i="23424"/>
  <c r="AW33" i="23424"/>
  <c r="AW16" i="23424"/>
  <c r="AW23" i="23424"/>
  <c r="AW124" i="23424"/>
  <c r="AW64" i="23424"/>
  <c r="AW38" i="23424"/>
  <c r="AW144" i="23424"/>
  <c r="AW60" i="23424"/>
  <c r="AW43" i="23424"/>
  <c r="AW27" i="23424"/>
  <c r="AW142" i="23424"/>
  <c r="AW137" i="23424"/>
  <c r="AW132" i="23424"/>
  <c r="AW75" i="23424"/>
  <c r="AW68" i="23424"/>
  <c r="AW151" i="23424"/>
  <c r="AW129" i="23424"/>
  <c r="AW100" i="23424"/>
  <c r="AW83" i="23424"/>
  <c r="AW101" i="23424"/>
  <c r="AW84" i="23424"/>
  <c r="AW66" i="23424"/>
  <c r="AW47" i="23424"/>
  <c r="AW36" i="23424"/>
  <c r="AW103" i="23424"/>
  <c r="AW148" i="23424"/>
  <c r="AW128" i="23424"/>
  <c r="AW172" i="23424"/>
  <c r="AW171" i="23424"/>
  <c r="AW145" i="23424"/>
  <c r="AW88" i="23424"/>
  <c r="AW61" i="23424"/>
  <c r="AW51" i="23424"/>
  <c r="AW37" i="23424"/>
  <c r="AW90" i="23424"/>
  <c r="AW56" i="23424"/>
  <c r="AW48" i="23424"/>
  <c r="AW120" i="23424"/>
  <c r="AW108" i="23424"/>
  <c r="AW104" i="23424"/>
  <c r="AW35" i="23424"/>
  <c r="AW49" i="23424"/>
  <c r="AW80" i="23424"/>
  <c r="AW39" i="23424"/>
  <c r="AW28" i="23424"/>
  <c r="AW17" i="23424"/>
  <c r="AW10" i="23424"/>
  <c r="AW70" i="23424"/>
  <c r="AW85" i="23424"/>
  <c r="AW25" i="23424"/>
  <c r="AW24" i="23424"/>
  <c r="AW126" i="23424"/>
  <c r="AW118" i="23424"/>
  <c r="AW63" i="23424"/>
  <c r="AW18" i="23424"/>
  <c r="AW62" i="23424"/>
  <c r="AW19" i="23424"/>
  <c r="AW50" i="23424"/>
  <c r="AW40" i="23424"/>
  <c r="AW26" i="23424"/>
  <c r="AW22" i="23424"/>
  <c r="AW44" i="23424"/>
  <c r="AW30" i="23424"/>
  <c r="AW69" i="23424"/>
  <c r="AW41" i="23424"/>
  <c r="AW166" i="23424"/>
  <c r="AW71" i="23424"/>
  <c r="AW156" i="23424"/>
  <c r="AW138" i="23424"/>
  <c r="AW89" i="23424"/>
  <c r="AW31" i="23424"/>
  <c r="AW14" i="23424"/>
  <c r="AW174" i="23424"/>
  <c r="AW21" i="23424"/>
  <c r="AW125" i="23424"/>
  <c r="AW123" i="23424"/>
  <c r="AW34" i="23424"/>
  <c r="AW115" i="23424"/>
  <c r="AW15" i="23424"/>
  <c r="AW45" i="23424"/>
  <c r="AW20" i="23424"/>
  <c r="AW57" i="23424"/>
  <c r="AW46" i="23424"/>
  <c r="AW13" i="23424"/>
  <c r="AW95" i="23424"/>
  <c r="AW77" i="23424"/>
  <c r="AW105" i="23424"/>
  <c r="AW58" i="23424"/>
  <c r="AW97" i="23424"/>
  <c r="AW11" i="23424"/>
  <c r="AW94" i="23424"/>
  <c r="AW92" i="23424"/>
  <c r="AW42" i="23424"/>
  <c r="AW121" i="23424"/>
  <c r="AW91" i="23424"/>
  <c r="AW81" i="23424"/>
  <c r="AW130" i="23424"/>
  <c r="AE178" i="23424"/>
  <c r="AE158" i="23424"/>
  <c r="AE138" i="23424"/>
  <c r="AE175" i="23424"/>
  <c r="AE155" i="23424"/>
  <c r="AE172" i="23424"/>
  <c r="AE152" i="23424"/>
  <c r="AE186" i="23424"/>
  <c r="AE166" i="23424"/>
  <c r="AE146" i="23424"/>
  <c r="AE182" i="23424"/>
  <c r="AE184" i="23424"/>
  <c r="AE179" i="23424"/>
  <c r="AE177" i="23424"/>
  <c r="AE148" i="23424"/>
  <c r="AE131" i="23424"/>
  <c r="AE150" i="23424"/>
  <c r="AE149" i="23424"/>
  <c r="AE173" i="23424"/>
  <c r="AE171" i="23424"/>
  <c r="AE157" i="23424"/>
  <c r="AE142" i="23424"/>
  <c r="AE170" i="23424"/>
  <c r="AE156" i="23424"/>
  <c r="AE132" i="23424"/>
  <c r="AE188" i="23424"/>
  <c r="AE121" i="23424"/>
  <c r="AE180" i="23424"/>
  <c r="AE169" i="23424"/>
  <c r="AE164" i="23424"/>
  <c r="AE145" i="23424"/>
  <c r="AE128" i="23424"/>
  <c r="AE118" i="23424"/>
  <c r="AE189" i="23424"/>
  <c r="AE140" i="23424"/>
  <c r="AE113" i="23424"/>
  <c r="AE104" i="23424"/>
  <c r="AE84" i="23424"/>
  <c r="AE64" i="23424"/>
  <c r="AE133" i="23424"/>
  <c r="AE126" i="23424"/>
  <c r="AE101" i="23424"/>
  <c r="AE81" i="23424"/>
  <c r="AE61" i="23424"/>
  <c r="AE167" i="23424"/>
  <c r="AE162" i="23424"/>
  <c r="AE144" i="23424"/>
  <c r="AE125" i="23424"/>
  <c r="AE124" i="23424"/>
  <c r="AE123" i="23424"/>
  <c r="AE98" i="23424"/>
  <c r="AE78" i="23424"/>
  <c r="AE58" i="23424"/>
  <c r="AE141" i="23424"/>
  <c r="AE122" i="23424"/>
  <c r="AE92" i="23424"/>
  <c r="AE72" i="23424"/>
  <c r="AE183" i="23424"/>
  <c r="AE154" i="23424"/>
  <c r="AE97" i="23424"/>
  <c r="AE66" i="23424"/>
  <c r="AE68" i="23424"/>
  <c r="AE139" i="23424"/>
  <c r="AE135" i="23424"/>
  <c r="AE137" i="23424"/>
  <c r="AE130" i="23424"/>
  <c r="AE187" i="23424"/>
  <c r="AE159" i="23424"/>
  <c r="AE108" i="23424"/>
  <c r="AE107" i="23424"/>
  <c r="AE37" i="23424"/>
  <c r="AE17" i="23424"/>
  <c r="AE109" i="23424"/>
  <c r="AE95" i="23424"/>
  <c r="AE77" i="23424"/>
  <c r="AE34" i="23424"/>
  <c r="AE185" i="23424"/>
  <c r="AE134" i="23424"/>
  <c r="AE143" i="23424"/>
  <c r="AE136" i="23424"/>
  <c r="AE103" i="23424"/>
  <c r="AE102" i="23424"/>
  <c r="AE96" i="23424"/>
  <c r="AE91" i="23424"/>
  <c r="AE59" i="23424"/>
  <c r="AE80" i="23424"/>
  <c r="AE15" i="23424"/>
  <c r="AE76" i="23424"/>
  <c r="AE48" i="23424"/>
  <c r="AE69" i="23424"/>
  <c r="AE56" i="23424"/>
  <c r="AE55" i="23424"/>
  <c r="AE54" i="23424"/>
  <c r="AE49" i="23424"/>
  <c r="AE36" i="23424"/>
  <c r="AE31" i="23424"/>
  <c r="AE111" i="23424"/>
  <c r="AE26" i="23424"/>
  <c r="AE22" i="23424"/>
  <c r="AE11" i="23424"/>
  <c r="AE57" i="23424"/>
  <c r="AE168" i="23424"/>
  <c r="AE160" i="23424"/>
  <c r="AE161" i="23424"/>
  <c r="AE41" i="23424"/>
  <c r="AE35" i="23424"/>
  <c r="AE25" i="23424"/>
  <c r="AE14" i="23424"/>
  <c r="AE147" i="23424"/>
  <c r="AE181" i="23424"/>
  <c r="AE94" i="23424"/>
  <c r="AE87" i="23424"/>
  <c r="AE99" i="23424"/>
  <c r="AE163" i="23424"/>
  <c r="AE106" i="23424"/>
  <c r="AE46" i="23424"/>
  <c r="AE174" i="23424"/>
  <c r="AE86" i="23424"/>
  <c r="AE71" i="23424"/>
  <c r="AE90" i="23424"/>
  <c r="AE12" i="23424"/>
  <c r="AE120" i="23424"/>
  <c r="AE20" i="23424"/>
  <c r="AE43" i="23424"/>
  <c r="AE93" i="23424"/>
  <c r="AE83" i="23424"/>
  <c r="AE50" i="23424"/>
  <c r="AE19" i="23424"/>
  <c r="AE74" i="23424"/>
  <c r="AE52" i="23424"/>
  <c r="AE112" i="23424"/>
  <c r="AE67" i="23424"/>
  <c r="AE38" i="23424"/>
  <c r="AE27" i="23424"/>
  <c r="AE119" i="23424"/>
  <c r="AE89" i="23424"/>
  <c r="AE73" i="23424"/>
  <c r="AE28" i="23424"/>
  <c r="AE105" i="23424"/>
  <c r="AE13" i="23424"/>
  <c r="AE24" i="23424"/>
  <c r="AE40" i="23424"/>
  <c r="AE100" i="23424"/>
  <c r="AE165" i="23424"/>
  <c r="AE79" i="23424"/>
  <c r="AE45" i="23424"/>
  <c r="AE70" i="23424"/>
  <c r="AE29" i="23424"/>
  <c r="AE88" i="23424"/>
  <c r="AE62" i="23424"/>
  <c r="AE32" i="23424"/>
  <c r="AE53" i="23424"/>
  <c r="AE116" i="23424"/>
  <c r="AE127" i="23424"/>
  <c r="AE117" i="23424"/>
  <c r="AE85" i="23424"/>
  <c r="AE10" i="23424"/>
  <c r="AE60" i="23424"/>
  <c r="AE44" i="23424"/>
  <c r="AE75" i="23424"/>
  <c r="AE65" i="23424"/>
  <c r="AE82" i="23424"/>
  <c r="AE42" i="23424"/>
  <c r="AE110" i="23424"/>
  <c r="AE16" i="23424"/>
  <c r="AE115" i="23424"/>
  <c r="AE30" i="23424"/>
  <c r="AE51" i="23424"/>
  <c r="AE18" i="23424"/>
  <c r="AE176" i="23424"/>
  <c r="AE33" i="23424"/>
  <c r="AE153" i="23424"/>
  <c r="AE151" i="23424"/>
  <c r="AE63" i="23424"/>
  <c r="AE23" i="23424"/>
  <c r="AE114" i="23424"/>
  <c r="AE129" i="23424"/>
  <c r="AE47" i="23424"/>
  <c r="AE39" i="23424"/>
  <c r="AE21" i="23424"/>
  <c r="AI189" i="23424"/>
  <c r="AI169" i="23424"/>
  <c r="AI149" i="23424"/>
  <c r="AI186" i="23424"/>
  <c r="AI166" i="23424"/>
  <c r="AI146" i="23424"/>
  <c r="AI183" i="23424"/>
  <c r="AI163" i="23424"/>
  <c r="AI177" i="23424"/>
  <c r="AI157" i="23424"/>
  <c r="AI137" i="23424"/>
  <c r="AI181" i="23424"/>
  <c r="AI174" i="23424"/>
  <c r="AI178" i="23424"/>
  <c r="AI176" i="23424"/>
  <c r="AI147" i="23424"/>
  <c r="AI141" i="23424"/>
  <c r="AI172" i="23424"/>
  <c r="AI170" i="23424"/>
  <c r="AI179" i="23424"/>
  <c r="AI171" i="23424"/>
  <c r="AI159" i="23424"/>
  <c r="AI187" i="23424"/>
  <c r="AI180" i="23424"/>
  <c r="AI162" i="23424"/>
  <c r="AI184" i="23424"/>
  <c r="AI182" i="23424"/>
  <c r="AI165" i="23424"/>
  <c r="AI156" i="23424"/>
  <c r="AI152" i="23424"/>
  <c r="AI124" i="23424"/>
  <c r="AI112" i="23424"/>
  <c r="AI138" i="23424"/>
  <c r="AI133" i="23424"/>
  <c r="AI175" i="23424"/>
  <c r="AI173" i="23424"/>
  <c r="AI154" i="23424"/>
  <c r="AI123" i="23424"/>
  <c r="AI117" i="23424"/>
  <c r="AI95" i="23424"/>
  <c r="AI75" i="23424"/>
  <c r="AI144" i="23424"/>
  <c r="AI122" i="23424"/>
  <c r="AI92" i="23424"/>
  <c r="AI72" i="23424"/>
  <c r="AI109" i="23424"/>
  <c r="AI89" i="23424"/>
  <c r="AI69" i="23424"/>
  <c r="AI148" i="23424"/>
  <c r="AI145" i="23424"/>
  <c r="AI150" i="23424"/>
  <c r="AI134" i="23424"/>
  <c r="AI103" i="23424"/>
  <c r="AI83" i="23424"/>
  <c r="AI63" i="23424"/>
  <c r="AI164" i="23424"/>
  <c r="AI96" i="23424"/>
  <c r="AI120" i="23424"/>
  <c r="AI67" i="23424"/>
  <c r="AI53" i="23424"/>
  <c r="AI50" i="23424"/>
  <c r="AI153" i="23424"/>
  <c r="AI185" i="23424"/>
  <c r="AI80" i="23424"/>
  <c r="AI62" i="23424"/>
  <c r="AI60" i="23424"/>
  <c r="AI48" i="23424"/>
  <c r="AI28" i="23424"/>
  <c r="AI158" i="23424"/>
  <c r="AI79" i="23424"/>
  <c r="AI61" i="23424"/>
  <c r="AI45" i="23424"/>
  <c r="AI136" i="23424"/>
  <c r="AI127" i="23424"/>
  <c r="AI125" i="23424"/>
  <c r="AI116" i="23424"/>
  <c r="AI97" i="23424"/>
  <c r="AI81" i="23424"/>
  <c r="AI70" i="23424"/>
  <c r="AI64" i="23424"/>
  <c r="AI58" i="23424"/>
  <c r="AI57" i="23424"/>
  <c r="AI56" i="23424"/>
  <c r="AI155" i="23424"/>
  <c r="AI118" i="23424"/>
  <c r="AI111" i="23424"/>
  <c r="AI84" i="23424"/>
  <c r="AI66" i="23424"/>
  <c r="AI41" i="23424"/>
  <c r="AI31" i="23424"/>
  <c r="AI11" i="23424"/>
  <c r="AI35" i="23424"/>
  <c r="AI25" i="23424"/>
  <c r="AI143" i="23424"/>
  <c r="AI161" i="23424"/>
  <c r="AI128" i="23424"/>
  <c r="AI104" i="23424"/>
  <c r="AI47" i="23424"/>
  <c r="AI30" i="23424"/>
  <c r="AI18" i="23424"/>
  <c r="AI160" i="23424"/>
  <c r="AI114" i="23424"/>
  <c r="AI85" i="23424"/>
  <c r="AI76" i="23424"/>
  <c r="AI105" i="23424"/>
  <c r="AI168" i="23424"/>
  <c r="AI130" i="23424"/>
  <c r="AI108" i="23424"/>
  <c r="AI98" i="23424"/>
  <c r="AI86" i="23424"/>
  <c r="AI59" i="23424"/>
  <c r="AI39" i="23424"/>
  <c r="AI29" i="23424"/>
  <c r="AI106" i="23424"/>
  <c r="AI93" i="23424"/>
  <c r="AI107" i="23424"/>
  <c r="AI78" i="23424"/>
  <c r="AI46" i="23424"/>
  <c r="AI129" i="23424"/>
  <c r="AI91" i="23424"/>
  <c r="AI71" i="23424"/>
  <c r="AI139" i="23424"/>
  <c r="AI113" i="23424"/>
  <c r="AI101" i="23424"/>
  <c r="AI26" i="23424"/>
  <c r="AI27" i="23424"/>
  <c r="AI74" i="23424"/>
  <c r="AI20" i="23424"/>
  <c r="AI52" i="23424"/>
  <c r="AI44" i="23424"/>
  <c r="AI34" i="23424"/>
  <c r="AI77" i="23424"/>
  <c r="AI54" i="23424"/>
  <c r="AI38" i="23424"/>
  <c r="AI21" i="23424"/>
  <c r="AI15" i="23424"/>
  <c r="AI73" i="23424"/>
  <c r="AI16" i="23424"/>
  <c r="AI132" i="23424"/>
  <c r="AI82" i="23424"/>
  <c r="AI51" i="23424"/>
  <c r="AI22" i="23424"/>
  <c r="AI17" i="23424"/>
  <c r="AI10" i="23424"/>
  <c r="AI13" i="23424"/>
  <c r="AI94" i="23424"/>
  <c r="AI88" i="23424"/>
  <c r="AI24" i="23424"/>
  <c r="AI32" i="23424"/>
  <c r="AI90" i="23424"/>
  <c r="AI102" i="23424"/>
  <c r="AI55" i="23424"/>
  <c r="AI142" i="23424"/>
  <c r="AI167" i="23424"/>
  <c r="AI126" i="23424"/>
  <c r="AI49" i="23424"/>
  <c r="AI100" i="23424"/>
  <c r="AI99" i="23424"/>
  <c r="AI19" i="23424"/>
  <c r="AI87" i="23424"/>
  <c r="AI140" i="23424"/>
  <c r="AI131" i="23424"/>
  <c r="AI68" i="23424"/>
  <c r="AI40" i="23424"/>
  <c r="AI14" i="23424"/>
  <c r="AI37" i="23424"/>
  <c r="AI115" i="23424"/>
  <c r="AI33" i="23424"/>
  <c r="AI65" i="23424"/>
  <c r="AI151" i="23424"/>
  <c r="AI23" i="23424"/>
  <c r="AI188" i="23424"/>
  <c r="AI110" i="23424"/>
  <c r="AI36" i="23424"/>
  <c r="AI119" i="23424"/>
  <c r="AI135" i="23424"/>
  <c r="AI12" i="23424"/>
  <c r="AI121" i="23424"/>
  <c r="AI43" i="23424"/>
  <c r="AI42" i="23424"/>
  <c r="AA187" i="23424"/>
  <c r="AA167" i="23424"/>
  <c r="AA147" i="23424"/>
  <c r="AA184" i="23424"/>
  <c r="AA164" i="23424"/>
  <c r="AA181" i="23424"/>
  <c r="AA161" i="23424"/>
  <c r="AA175" i="23424"/>
  <c r="AA155" i="23424"/>
  <c r="AA185" i="23424"/>
  <c r="AA183" i="23424"/>
  <c r="AA156" i="23424"/>
  <c r="AA180" i="23424"/>
  <c r="AA152" i="23424"/>
  <c r="AA151" i="23424"/>
  <c r="AA142" i="23424"/>
  <c r="AA137" i="23424"/>
  <c r="AA174" i="23424"/>
  <c r="AA169" i="23424"/>
  <c r="AA148" i="23424"/>
  <c r="AA144" i="23424"/>
  <c r="AA140" i="23424"/>
  <c r="AA129" i="23424"/>
  <c r="AA182" i="23424"/>
  <c r="AA143" i="23424"/>
  <c r="AA141" i="23424"/>
  <c r="AA186" i="23424"/>
  <c r="AA188" i="23424"/>
  <c r="AA172" i="23424"/>
  <c r="AA125" i="23424"/>
  <c r="AA160" i="23424"/>
  <c r="AA178" i="23424"/>
  <c r="AA165" i="23424"/>
  <c r="AA139" i="23424"/>
  <c r="AA134" i="23424"/>
  <c r="AA124" i="23424"/>
  <c r="AA159" i="23424"/>
  <c r="AA132" i="23424"/>
  <c r="AA93" i="23424"/>
  <c r="AA73" i="23424"/>
  <c r="AA176" i="23424"/>
  <c r="AA171" i="23424"/>
  <c r="AA154" i="23424"/>
  <c r="AA128" i="23424"/>
  <c r="AA110" i="23424"/>
  <c r="AA90" i="23424"/>
  <c r="AA70" i="23424"/>
  <c r="AA127" i="23424"/>
  <c r="AA118" i="23424"/>
  <c r="AA107" i="23424"/>
  <c r="AA87" i="23424"/>
  <c r="AA67" i="23424"/>
  <c r="AA189" i="23424"/>
  <c r="AA173" i="23424"/>
  <c r="AA133" i="23424"/>
  <c r="AA126" i="23424"/>
  <c r="AA157" i="23424"/>
  <c r="AA138" i="23424"/>
  <c r="AA123" i="23424"/>
  <c r="AA101" i="23424"/>
  <c r="AA81" i="23424"/>
  <c r="AA170" i="23424"/>
  <c r="AA117" i="23424"/>
  <c r="AA102" i="23424"/>
  <c r="AA76" i="23424"/>
  <c r="AA72" i="23424"/>
  <c r="AA58" i="23424"/>
  <c r="AA98" i="23424"/>
  <c r="AA54" i="23424"/>
  <c r="AA166" i="23424"/>
  <c r="AA150" i="23424"/>
  <c r="AA96" i="23424"/>
  <c r="AA92" i="23424"/>
  <c r="AA163" i="23424"/>
  <c r="AA158" i="23424"/>
  <c r="AA120" i="23424"/>
  <c r="AA46" i="23424"/>
  <c r="AA26" i="23424"/>
  <c r="AA100" i="23424"/>
  <c r="AA89" i="23424"/>
  <c r="AA75" i="23424"/>
  <c r="AA43" i="23424"/>
  <c r="AA179" i="23424"/>
  <c r="AA162" i="23424"/>
  <c r="AA121" i="23424"/>
  <c r="AA80" i="23424"/>
  <c r="AA62" i="23424"/>
  <c r="AA60" i="23424"/>
  <c r="AA48" i="23424"/>
  <c r="AA149" i="23424"/>
  <c r="AA97" i="23424"/>
  <c r="AA94" i="23424"/>
  <c r="AA91" i="23424"/>
  <c r="AA52" i="23424"/>
  <c r="AA51" i="23424"/>
  <c r="AA37" i="23424"/>
  <c r="AA23" i="23424"/>
  <c r="AA12" i="23424"/>
  <c r="AA84" i="23424"/>
  <c r="AA66" i="23424"/>
  <c r="AA53" i="23424"/>
  <c r="AA50" i="23424"/>
  <c r="AA42" i="23424"/>
  <c r="AA32" i="23424"/>
  <c r="AA19" i="23424"/>
  <c r="AA116" i="23424"/>
  <c r="AA88" i="23424"/>
  <c r="AA69" i="23424"/>
  <c r="AA104" i="23424"/>
  <c r="AA168" i="23424"/>
  <c r="AA153" i="23424"/>
  <c r="AA114" i="23424"/>
  <c r="AA63" i="23424"/>
  <c r="AA57" i="23424"/>
  <c r="AA41" i="23424"/>
  <c r="AA130" i="23424"/>
  <c r="AA77" i="23424"/>
  <c r="AA45" i="23424"/>
  <c r="AA39" i="23424"/>
  <c r="AA38" i="23424"/>
  <c r="AA17" i="23424"/>
  <c r="AA177" i="23424"/>
  <c r="AA115" i="23424"/>
  <c r="AA74" i="23424"/>
  <c r="AA146" i="23424"/>
  <c r="AA109" i="23424"/>
  <c r="AA122" i="23424"/>
  <c r="AA106" i="23424"/>
  <c r="AA55" i="23424"/>
  <c r="AA136" i="23424"/>
  <c r="AA61" i="23424"/>
  <c r="AA33" i="23424"/>
  <c r="AA71" i="23424"/>
  <c r="AA13" i="23424"/>
  <c r="AA64" i="23424"/>
  <c r="AA59" i="23424"/>
  <c r="AA14" i="23424"/>
  <c r="AA145" i="23424"/>
  <c r="AA113" i="23424"/>
  <c r="AA108" i="23424"/>
  <c r="AA86" i="23424"/>
  <c r="AA20" i="23424"/>
  <c r="AA56" i="23424"/>
  <c r="AA103" i="23424"/>
  <c r="AA35" i="23424"/>
  <c r="AA27" i="23424"/>
  <c r="AA79" i="23424"/>
  <c r="AA22" i="23424"/>
  <c r="AA44" i="23424"/>
  <c r="AA131" i="23424"/>
  <c r="AA85" i="23424"/>
  <c r="AA68" i="23424"/>
  <c r="AA40" i="23424"/>
  <c r="AA11" i="23424"/>
  <c r="AA105" i="23424"/>
  <c r="AA15" i="23424"/>
  <c r="AA78" i="23424"/>
  <c r="AA29" i="23424"/>
  <c r="AA24" i="23424"/>
  <c r="AA49" i="23424"/>
  <c r="AA30" i="23424"/>
  <c r="AA16" i="23424"/>
  <c r="AA25" i="23424"/>
  <c r="AA18" i="23424"/>
  <c r="AA28" i="23424"/>
  <c r="AA21" i="23424"/>
  <c r="AA112" i="23424"/>
  <c r="AA111" i="23424"/>
  <c r="AA99" i="23424"/>
  <c r="AA10" i="23424"/>
  <c r="AA31" i="23424"/>
  <c r="AA47" i="23424"/>
  <c r="AA36" i="23424"/>
  <c r="AA34" i="23424"/>
  <c r="AA83" i="23424"/>
  <c r="AA82" i="23424"/>
  <c r="AA65" i="23424"/>
  <c r="AA119" i="23424"/>
  <c r="AA135" i="23424"/>
  <c r="AA95" i="23424"/>
  <c r="N117" i="23420"/>
  <c r="N45" i="23420"/>
  <c r="N171" i="23420"/>
  <c r="BC9" i="23424"/>
  <c r="BE9" i="23424" s="1"/>
  <c r="AZ9" i="23424"/>
  <c r="BA9" i="23424" s="1"/>
  <c r="AM9" i="23424"/>
  <c r="AO9" i="23424" s="1"/>
  <c r="AW9" i="23424"/>
  <c r="AX9" i="23424" s="1"/>
  <c r="AI9" i="23424"/>
  <c r="AK9" i="23424" s="1"/>
  <c r="BF9" i="23424"/>
  <c r="BG9" i="23424" s="1"/>
  <c r="AS9" i="23424"/>
  <c r="AU9" i="23424" s="1"/>
  <c r="AE9" i="23424"/>
  <c r="AF9" i="23424" s="1"/>
  <c r="AP9" i="23424"/>
  <c r="AR9" i="23424" s="1"/>
  <c r="AA9" i="23424"/>
  <c r="AB9" i="23424" s="1"/>
  <c r="R1086" i="23422"/>
  <c r="Q1086" i="23422"/>
  <c r="R1085" i="23422"/>
  <c r="Q1085" i="23422"/>
  <c r="AR152" i="23424" l="1"/>
  <c r="AQ152" i="23424"/>
  <c r="AK70" i="23424"/>
  <c r="AJ70" i="23424"/>
  <c r="AJ30" i="23424"/>
  <c r="AK30" i="23424"/>
  <c r="AJ67" i="23424"/>
  <c r="AK67" i="23424"/>
  <c r="AR79" i="23424"/>
  <c r="AQ79" i="23424"/>
  <c r="AR38" i="23424"/>
  <c r="AQ38" i="23424"/>
  <c r="AR64" i="23424"/>
  <c r="AQ64" i="23424"/>
  <c r="AN145" i="23424"/>
  <c r="AO145" i="23424"/>
  <c r="AQ76" i="23424"/>
  <c r="AR76" i="23424"/>
  <c r="AR158" i="23424"/>
  <c r="AQ158" i="23424"/>
  <c r="AK93" i="23424"/>
  <c r="AJ93" i="23424"/>
  <c r="AR77" i="23424"/>
  <c r="AQ77" i="23424"/>
  <c r="AR59" i="23424"/>
  <c r="AQ59" i="23424"/>
  <c r="AQ161" i="23424"/>
  <c r="AR161" i="23424"/>
  <c r="AQ118" i="23424"/>
  <c r="AR118" i="23424"/>
  <c r="AX106" i="23424"/>
  <c r="AY106" i="23424"/>
  <c r="AQ176" i="23424"/>
  <c r="AR176" i="23424"/>
  <c r="AF89" i="23424"/>
  <c r="AG89" i="23424"/>
  <c r="AN76" i="23424"/>
  <c r="AO76" i="23424"/>
  <c r="AC38" i="23424"/>
  <c r="AB38" i="23424"/>
  <c r="AC73" i="23424"/>
  <c r="AB73" i="23424"/>
  <c r="AJ82" i="23424"/>
  <c r="AK82" i="23424"/>
  <c r="AK64" i="23424"/>
  <c r="AJ64" i="23424"/>
  <c r="AK179" i="23424"/>
  <c r="AJ179" i="23424"/>
  <c r="AG75" i="23424"/>
  <c r="AF75" i="23424"/>
  <c r="AG11" i="23424"/>
  <c r="AF11" i="23424"/>
  <c r="AF97" i="23424"/>
  <c r="AG97" i="23424"/>
  <c r="AG171" i="23424"/>
  <c r="AF171" i="23424"/>
  <c r="AY34" i="23424"/>
  <c r="AX34" i="23424"/>
  <c r="AY129" i="23424"/>
  <c r="AX129" i="23424"/>
  <c r="AY184" i="23424"/>
  <c r="AX184" i="23424"/>
  <c r="BA85" i="23424"/>
  <c r="BB85" i="23424"/>
  <c r="BB99" i="23424"/>
  <c r="BA99" i="23424"/>
  <c r="BB143" i="23424"/>
  <c r="BA143" i="23424"/>
  <c r="AU94" i="23424"/>
  <c r="AT94" i="23424"/>
  <c r="AU31" i="23424"/>
  <c r="AT31" i="23424"/>
  <c r="AU78" i="23424"/>
  <c r="AT78" i="23424"/>
  <c r="AT145" i="23424"/>
  <c r="AU145" i="23424"/>
  <c r="AT105" i="23424"/>
  <c r="AU105" i="23424"/>
  <c r="BH23" i="23424"/>
  <c r="BG23" i="23424"/>
  <c r="BH58" i="23424"/>
  <c r="BG58" i="23424"/>
  <c r="BH59" i="23424"/>
  <c r="BG59" i="23424"/>
  <c r="BG117" i="23424"/>
  <c r="BH117" i="23424"/>
  <c r="BG171" i="23424"/>
  <c r="BH171" i="23424"/>
  <c r="BD67" i="23424"/>
  <c r="BE67" i="23424"/>
  <c r="BD90" i="23424"/>
  <c r="BE90" i="23424"/>
  <c r="BE104" i="23424"/>
  <c r="BD104" i="23424"/>
  <c r="BE182" i="23424"/>
  <c r="BD182" i="23424"/>
  <c r="BD154" i="23424"/>
  <c r="BE154" i="23424"/>
  <c r="AO181" i="23424"/>
  <c r="AN181" i="23424"/>
  <c r="AO176" i="23424"/>
  <c r="AN176" i="23424"/>
  <c r="AN163" i="23424"/>
  <c r="AO163" i="23424"/>
  <c r="AN165" i="23424"/>
  <c r="AO165" i="23424"/>
  <c r="AR19" i="23424"/>
  <c r="AQ19" i="23424"/>
  <c r="AQ16" i="23424"/>
  <c r="AR16" i="23424"/>
  <c r="AR95" i="23424"/>
  <c r="AQ95" i="23424"/>
  <c r="AC84" i="23424"/>
  <c r="AB84" i="23424"/>
  <c r="AK129" i="23424"/>
  <c r="AJ129" i="23424"/>
  <c r="AC15" i="23424"/>
  <c r="AB15" i="23424"/>
  <c r="AC37" i="23424"/>
  <c r="AB37" i="23424"/>
  <c r="AB142" i="23424"/>
  <c r="AC142" i="23424"/>
  <c r="AK15" i="23424"/>
  <c r="AJ15" i="23424"/>
  <c r="AJ116" i="23424"/>
  <c r="AK116" i="23424"/>
  <c r="AJ147" i="23424"/>
  <c r="AK147" i="23424"/>
  <c r="AG31" i="23424"/>
  <c r="AF31" i="23424"/>
  <c r="AG92" i="23424"/>
  <c r="AF92" i="23424"/>
  <c r="AY42" i="23424"/>
  <c r="AX42" i="23424"/>
  <c r="AX51" i="23424"/>
  <c r="AY51" i="23424"/>
  <c r="AY132" i="23424"/>
  <c r="AX132" i="23424"/>
  <c r="AX96" i="23424"/>
  <c r="AY96" i="23424"/>
  <c r="BB74" i="23424"/>
  <c r="BA74" i="23424"/>
  <c r="BB36" i="23424"/>
  <c r="BA36" i="23424"/>
  <c r="BA75" i="23424"/>
  <c r="BB75" i="23424"/>
  <c r="BB84" i="23424"/>
  <c r="BA84" i="23424"/>
  <c r="BA134" i="23424"/>
  <c r="BB134" i="23424"/>
  <c r="AU110" i="23424"/>
  <c r="AT110" i="23424"/>
  <c r="AU92" i="23424"/>
  <c r="AT92" i="23424"/>
  <c r="AT50" i="23424"/>
  <c r="AU50" i="23424"/>
  <c r="AU153" i="23424"/>
  <c r="AT153" i="23424"/>
  <c r="AT188" i="23424"/>
  <c r="AU188" i="23424"/>
  <c r="BH189" i="23424"/>
  <c r="BG189" i="23424"/>
  <c r="BH43" i="23424"/>
  <c r="BG43" i="23424"/>
  <c r="BH39" i="23424"/>
  <c r="BG39" i="23424"/>
  <c r="BH161" i="23424"/>
  <c r="BG161" i="23424"/>
  <c r="BH101" i="23424"/>
  <c r="BG101" i="23424"/>
  <c r="BG153" i="23424"/>
  <c r="BH153" i="23424"/>
  <c r="BE80" i="23424"/>
  <c r="BD80" i="23424"/>
  <c r="BE135" i="23424"/>
  <c r="BD135" i="23424"/>
  <c r="BE88" i="23424"/>
  <c r="BD88" i="23424"/>
  <c r="BE139" i="23424"/>
  <c r="BD139" i="23424"/>
  <c r="BD131" i="23424"/>
  <c r="BE131" i="23424"/>
  <c r="BD151" i="23424"/>
  <c r="BE151" i="23424"/>
  <c r="AO113" i="23424"/>
  <c r="AN113" i="23424"/>
  <c r="AO50" i="23424"/>
  <c r="AN50" i="23424"/>
  <c r="AN27" i="23424"/>
  <c r="AO27" i="23424"/>
  <c r="AO73" i="23424"/>
  <c r="AN73" i="23424"/>
  <c r="AC41" i="23424"/>
  <c r="AB41" i="23424"/>
  <c r="AC95" i="23424"/>
  <c r="AB95" i="23424"/>
  <c r="AC66" i="23424"/>
  <c r="AB66" i="23424"/>
  <c r="AC148" i="23424"/>
  <c r="AB148" i="23424"/>
  <c r="AK91" i="23424"/>
  <c r="AJ91" i="23424"/>
  <c r="AK95" i="23424"/>
  <c r="AJ95" i="23424"/>
  <c r="AG13" i="23424"/>
  <c r="AF13" i="23424"/>
  <c r="AF133" i="23424"/>
  <c r="AG133" i="23424"/>
  <c r="AY48" i="23424"/>
  <c r="AX48" i="23424"/>
  <c r="BA20" i="23424"/>
  <c r="BB20" i="23424"/>
  <c r="BA23" i="23424"/>
  <c r="BB23" i="23424"/>
  <c r="AT49" i="23424"/>
  <c r="AU49" i="23424"/>
  <c r="BG114" i="23424"/>
  <c r="BH114" i="23424"/>
  <c r="BH181" i="23424"/>
  <c r="BG181" i="23424"/>
  <c r="BD47" i="23424"/>
  <c r="BE47" i="23424"/>
  <c r="AO79" i="23424"/>
  <c r="AN79" i="23424"/>
  <c r="AN149" i="23424"/>
  <c r="AO149" i="23424"/>
  <c r="AR153" i="23424"/>
  <c r="AQ153" i="23424"/>
  <c r="AC113" i="23424"/>
  <c r="AB113" i="23424"/>
  <c r="AC123" i="23424"/>
  <c r="AB123" i="23424"/>
  <c r="AK19" i="23424"/>
  <c r="AJ19" i="23424"/>
  <c r="AB130" i="23424"/>
  <c r="AC130" i="23424"/>
  <c r="AB126" i="23424"/>
  <c r="AC126" i="23424"/>
  <c r="AK135" i="23424"/>
  <c r="AJ135" i="23424"/>
  <c r="AK107" i="23424"/>
  <c r="AJ107" i="23424"/>
  <c r="AK164" i="23424"/>
  <c r="AJ164" i="23424"/>
  <c r="AF114" i="23424"/>
  <c r="AG114" i="23424"/>
  <c r="AF34" i="23424"/>
  <c r="AG34" i="23424"/>
  <c r="AG113" i="23424"/>
  <c r="AF113" i="23424"/>
  <c r="AY118" i="23424"/>
  <c r="AX118" i="23424"/>
  <c r="AX65" i="23424"/>
  <c r="AY65" i="23424"/>
  <c r="BB86" i="23424"/>
  <c r="BA86" i="23424"/>
  <c r="BA149" i="23424"/>
  <c r="BB149" i="23424"/>
  <c r="AU40" i="23424"/>
  <c r="AT40" i="23424"/>
  <c r="AT106" i="23424"/>
  <c r="AU106" i="23424"/>
  <c r="BG144" i="23424"/>
  <c r="BH144" i="23424"/>
  <c r="BG150" i="23424"/>
  <c r="BH150" i="23424"/>
  <c r="BE164" i="23424"/>
  <c r="BD164" i="23424"/>
  <c r="AO110" i="23424"/>
  <c r="AN110" i="23424"/>
  <c r="AB105" i="23424"/>
  <c r="AC105" i="23424"/>
  <c r="AC108" i="23424"/>
  <c r="AB108" i="23424"/>
  <c r="AC101" i="23424"/>
  <c r="AB101" i="23424"/>
  <c r="AK87" i="23424"/>
  <c r="AJ87" i="23424"/>
  <c r="AJ53" i="23424"/>
  <c r="AK53" i="23424"/>
  <c r="AG90" i="23424"/>
  <c r="AF90" i="23424"/>
  <c r="AY130" i="23424"/>
  <c r="AX130" i="23424"/>
  <c r="AX52" i="23424"/>
  <c r="AY52" i="23424"/>
  <c r="BA95" i="23424"/>
  <c r="BB95" i="23424"/>
  <c r="BB133" i="23424"/>
  <c r="BA133" i="23424"/>
  <c r="AU133" i="23424"/>
  <c r="AT133" i="23424"/>
  <c r="BH16" i="23424"/>
  <c r="BG16" i="23424"/>
  <c r="BD13" i="23424"/>
  <c r="BE13" i="23424"/>
  <c r="AO98" i="23424"/>
  <c r="AN98" i="23424"/>
  <c r="AQ111" i="23424"/>
  <c r="AR111" i="23424"/>
  <c r="AC135" i="23424"/>
  <c r="AB135" i="23424"/>
  <c r="AB39" i="23424"/>
  <c r="AC39" i="23424"/>
  <c r="AB100" i="23424"/>
  <c r="AC100" i="23424"/>
  <c r="AC169" i="23424"/>
  <c r="AB169" i="23424"/>
  <c r="AK43" i="23424"/>
  <c r="AJ43" i="23424"/>
  <c r="AC59" i="23424"/>
  <c r="AB59" i="23424"/>
  <c r="AC124" i="23424"/>
  <c r="AB124" i="23424"/>
  <c r="AJ128" i="23424"/>
  <c r="AK128" i="23424"/>
  <c r="AG85" i="23424"/>
  <c r="AF85" i="23424"/>
  <c r="AG131" i="23424"/>
  <c r="AF131" i="23424"/>
  <c r="AX169" i="23424"/>
  <c r="AY169" i="23424"/>
  <c r="BB37" i="23424"/>
  <c r="BA37" i="23424"/>
  <c r="AU28" i="23424"/>
  <c r="AT28" i="23424"/>
  <c r="BH103" i="23424"/>
  <c r="BG103" i="23424"/>
  <c r="BE53" i="23424"/>
  <c r="BD53" i="23424"/>
  <c r="AO161" i="23424"/>
  <c r="AN161" i="23424"/>
  <c r="AC64" i="23424"/>
  <c r="AB64" i="23424"/>
  <c r="AB49" i="23424"/>
  <c r="AC49" i="23424"/>
  <c r="AC89" i="23424"/>
  <c r="AB89" i="23424"/>
  <c r="AK42" i="23424"/>
  <c r="AJ42" i="23424"/>
  <c r="AJ18" i="23424"/>
  <c r="AK18" i="23424"/>
  <c r="AG21" i="23424"/>
  <c r="AF21" i="23424"/>
  <c r="AG136" i="23424"/>
  <c r="AF136" i="23424"/>
  <c r="AY19" i="23424"/>
  <c r="AX19" i="23424"/>
  <c r="AY136" i="23424"/>
  <c r="AX136" i="23424"/>
  <c r="BB31" i="23424"/>
  <c r="BA31" i="23424"/>
  <c r="BB168" i="23424"/>
  <c r="BA168" i="23424"/>
  <c r="AU47" i="23424"/>
  <c r="AT47" i="23424"/>
  <c r="AU181" i="23424"/>
  <c r="AT181" i="23424"/>
  <c r="BH54" i="23424"/>
  <c r="BG54" i="23424"/>
  <c r="BE46" i="23424"/>
  <c r="BD46" i="23424"/>
  <c r="BE184" i="23424"/>
  <c r="BD184" i="23424"/>
  <c r="AO81" i="23424"/>
  <c r="AN81" i="23424"/>
  <c r="AO129" i="23424"/>
  <c r="AN129" i="23424"/>
  <c r="AR11" i="23424"/>
  <c r="AQ11" i="23424"/>
  <c r="AQ27" i="23424"/>
  <c r="AR27" i="23424"/>
  <c r="AC24" i="23424"/>
  <c r="AB24" i="23424"/>
  <c r="AC93" i="23424"/>
  <c r="AB93" i="23424"/>
  <c r="AK132" i="23424"/>
  <c r="AJ132" i="23424"/>
  <c r="AB82" i="23424"/>
  <c r="AC82" i="23424"/>
  <c r="AB120" i="23424"/>
  <c r="AC120" i="23424"/>
  <c r="AK49" i="23424"/>
  <c r="AJ49" i="23424"/>
  <c r="AK173" i="23424"/>
  <c r="AJ173" i="23424"/>
  <c r="AG46" i="23424"/>
  <c r="AF46" i="23424"/>
  <c r="AY174" i="23424"/>
  <c r="AX174" i="23424"/>
  <c r="AY189" i="23424"/>
  <c r="AX189" i="23424"/>
  <c r="BB142" i="23424"/>
  <c r="BA142" i="23424"/>
  <c r="AU165" i="23424"/>
  <c r="AT165" i="23424"/>
  <c r="BD35" i="23424"/>
  <c r="BE35" i="23424"/>
  <c r="AO66" i="23424"/>
  <c r="AN66" i="23424"/>
  <c r="AB83" i="23424"/>
  <c r="AC83" i="23424"/>
  <c r="AJ117" i="23424"/>
  <c r="AK117" i="23424"/>
  <c r="AJ170" i="23424"/>
  <c r="AK170" i="23424"/>
  <c r="AF39" i="23424"/>
  <c r="AG39" i="23424"/>
  <c r="AF44" i="23424"/>
  <c r="AG44" i="23424"/>
  <c r="AF105" i="23424"/>
  <c r="AG105" i="23424"/>
  <c r="AG71" i="23424"/>
  <c r="AF71" i="23424"/>
  <c r="AG22" i="23424"/>
  <c r="AF22" i="23424"/>
  <c r="AF143" i="23424"/>
  <c r="AG143" i="23424"/>
  <c r="AF154" i="23424"/>
  <c r="AG154" i="23424"/>
  <c r="AF64" i="23424"/>
  <c r="AG64" i="23424"/>
  <c r="AG173" i="23424"/>
  <c r="AF173" i="23424"/>
  <c r="AY81" i="23424"/>
  <c r="AX81" i="23424"/>
  <c r="AY123" i="23424"/>
  <c r="AX123" i="23424"/>
  <c r="AY62" i="23424"/>
  <c r="AX62" i="23424"/>
  <c r="AX56" i="23424"/>
  <c r="AY56" i="23424"/>
  <c r="AY151" i="23424"/>
  <c r="AX151" i="23424"/>
  <c r="AY119" i="23424"/>
  <c r="AX119" i="23424"/>
  <c r="AX111" i="23424"/>
  <c r="AY111" i="23424"/>
  <c r="AX158" i="23424"/>
  <c r="AY158" i="23424"/>
  <c r="AY134" i="23424"/>
  <c r="AX134" i="23424"/>
  <c r="BB108" i="23424"/>
  <c r="BA108" i="23424"/>
  <c r="BA139" i="23424"/>
  <c r="BB139" i="23424"/>
  <c r="BB135" i="23424"/>
  <c r="BA135" i="23424"/>
  <c r="BB56" i="23424"/>
  <c r="BA56" i="23424"/>
  <c r="BB102" i="23424"/>
  <c r="BA102" i="23424"/>
  <c r="BA43" i="23424"/>
  <c r="BB43" i="23424"/>
  <c r="BB140" i="23424"/>
  <c r="BA140" i="23424"/>
  <c r="BB174" i="23424"/>
  <c r="BA174" i="23424"/>
  <c r="BB146" i="23424"/>
  <c r="BA146" i="23424"/>
  <c r="AU11" i="23424"/>
  <c r="AT11" i="23424"/>
  <c r="AU60" i="23424"/>
  <c r="AT60" i="23424"/>
  <c r="AT58" i="23424"/>
  <c r="AU58" i="23424"/>
  <c r="AU128" i="23424"/>
  <c r="AT128" i="23424"/>
  <c r="AT93" i="23424"/>
  <c r="AU93" i="23424"/>
  <c r="AU134" i="23424"/>
  <c r="AT134" i="23424"/>
  <c r="AU103" i="23424"/>
  <c r="AT103" i="23424"/>
  <c r="AT115" i="23424"/>
  <c r="AU115" i="23424"/>
  <c r="AU163" i="23424"/>
  <c r="AT163" i="23424"/>
  <c r="BG22" i="23424"/>
  <c r="BH22" i="23424"/>
  <c r="BH130" i="23424"/>
  <c r="BG130" i="23424"/>
  <c r="BH60" i="23424"/>
  <c r="BG60" i="23424"/>
  <c r="BG17" i="23424"/>
  <c r="BH17" i="23424"/>
  <c r="BH56" i="23424"/>
  <c r="BG56" i="23424"/>
  <c r="BH61" i="23424"/>
  <c r="BG61" i="23424"/>
  <c r="BH57" i="23424"/>
  <c r="BG57" i="23424"/>
  <c r="BG126" i="23424"/>
  <c r="BH126" i="23424"/>
  <c r="BH173" i="23424"/>
  <c r="BG173" i="23424"/>
  <c r="BD20" i="23424"/>
  <c r="BE20" i="23424"/>
  <c r="BE48" i="23424"/>
  <c r="BD48" i="23424"/>
  <c r="BD40" i="23424"/>
  <c r="BE40" i="23424"/>
  <c r="BE54" i="23424"/>
  <c r="BD54" i="23424"/>
  <c r="BD121" i="23424"/>
  <c r="BE121" i="23424"/>
  <c r="BD31" i="23424"/>
  <c r="BE31" i="23424"/>
  <c r="BE116" i="23424"/>
  <c r="BD116" i="23424"/>
  <c r="BE58" i="23424"/>
  <c r="BD58" i="23424"/>
  <c r="BE168" i="23424"/>
  <c r="BD168" i="23424"/>
  <c r="AN91" i="23424"/>
  <c r="AO91" i="23424"/>
  <c r="AO12" i="23424"/>
  <c r="AN12" i="23424"/>
  <c r="AN16" i="23424"/>
  <c r="AO16" i="23424"/>
  <c r="AO162" i="23424"/>
  <c r="AN162" i="23424"/>
  <c r="AO21" i="23424"/>
  <c r="AN21" i="23424"/>
  <c r="AO166" i="23424"/>
  <c r="AN166" i="23424"/>
  <c r="AO88" i="23424"/>
  <c r="AN88" i="23424"/>
  <c r="AN63" i="23424"/>
  <c r="AO63" i="23424"/>
  <c r="AO122" i="23424"/>
  <c r="AN122" i="23424"/>
  <c r="AQ18" i="23424"/>
  <c r="AR18" i="23424"/>
  <c r="AR61" i="23424"/>
  <c r="AQ61" i="23424"/>
  <c r="AR31" i="23424"/>
  <c r="AQ31" i="23424"/>
  <c r="AR41" i="23424"/>
  <c r="AQ41" i="23424"/>
  <c r="AR34" i="23424"/>
  <c r="AQ34" i="23424"/>
  <c r="AQ47" i="23424"/>
  <c r="AR47" i="23424"/>
  <c r="AQ52" i="23424"/>
  <c r="AR52" i="23424"/>
  <c r="AR155" i="23424"/>
  <c r="AQ155" i="23424"/>
  <c r="AR173" i="23424"/>
  <c r="AQ173" i="23424"/>
  <c r="AC119" i="23424"/>
  <c r="AB119" i="23424"/>
  <c r="AC29" i="23424"/>
  <c r="AB29" i="23424"/>
  <c r="AB145" i="23424"/>
  <c r="AC145" i="23424"/>
  <c r="AB45" i="23424"/>
  <c r="AC45" i="23424"/>
  <c r="AC12" i="23424"/>
  <c r="AB12" i="23424"/>
  <c r="AC26" i="23424"/>
  <c r="AB26" i="23424"/>
  <c r="AC138" i="23424"/>
  <c r="AB138" i="23424"/>
  <c r="AC132" i="23424"/>
  <c r="AB132" i="23424"/>
  <c r="AB174" i="23424"/>
  <c r="AC174" i="23424"/>
  <c r="AK121" i="23424"/>
  <c r="AJ121" i="23424"/>
  <c r="AK99" i="23424"/>
  <c r="AJ99" i="23424"/>
  <c r="AJ16" i="23424"/>
  <c r="AK16" i="23424"/>
  <c r="AK46" i="23424"/>
  <c r="AJ46" i="23424"/>
  <c r="AJ47" i="23424"/>
  <c r="AK47" i="23424"/>
  <c r="AJ81" i="23424"/>
  <c r="AK81" i="23424"/>
  <c r="AJ120" i="23424"/>
  <c r="AK120" i="23424"/>
  <c r="AJ123" i="23424"/>
  <c r="AK123" i="23424"/>
  <c r="AK172" i="23424"/>
  <c r="AJ172" i="23424"/>
  <c r="AF47" i="23424"/>
  <c r="AG47" i="23424"/>
  <c r="AG60" i="23424"/>
  <c r="AF60" i="23424"/>
  <c r="AG28" i="23424"/>
  <c r="AF28" i="23424"/>
  <c r="AG86" i="23424"/>
  <c r="AF86" i="23424"/>
  <c r="AG26" i="23424"/>
  <c r="AF26" i="23424"/>
  <c r="AG134" i="23424"/>
  <c r="AF134" i="23424"/>
  <c r="AF183" i="23424"/>
  <c r="AG183" i="23424"/>
  <c r="AG84" i="23424"/>
  <c r="AF84" i="23424"/>
  <c r="AG149" i="23424"/>
  <c r="AF149" i="23424"/>
  <c r="AY91" i="23424"/>
  <c r="AX91" i="23424"/>
  <c r="AY125" i="23424"/>
  <c r="AX125" i="23424"/>
  <c r="AX18" i="23424"/>
  <c r="AY18" i="23424"/>
  <c r="AY90" i="23424"/>
  <c r="AX90" i="23424"/>
  <c r="AY68" i="23424"/>
  <c r="AX68" i="23424"/>
  <c r="AY157" i="23424"/>
  <c r="AX157" i="23424"/>
  <c r="AX122" i="23424"/>
  <c r="AY122" i="23424"/>
  <c r="AY177" i="23424"/>
  <c r="AX177" i="23424"/>
  <c r="AX152" i="23424"/>
  <c r="AY152" i="23424"/>
  <c r="BB62" i="23424"/>
  <c r="BA62" i="23424"/>
  <c r="BB113" i="23424"/>
  <c r="BA113" i="23424"/>
  <c r="BB170" i="23424"/>
  <c r="BA170" i="23424"/>
  <c r="BB100" i="23424"/>
  <c r="BA100" i="23424"/>
  <c r="BB121" i="23424"/>
  <c r="BA121" i="23424"/>
  <c r="BB53" i="23424"/>
  <c r="BA53" i="23424"/>
  <c r="BB153" i="23424"/>
  <c r="BA153" i="23424"/>
  <c r="BB171" i="23424"/>
  <c r="BA171" i="23424"/>
  <c r="BB166" i="23424"/>
  <c r="BA166" i="23424"/>
  <c r="AU113" i="23424"/>
  <c r="AT113" i="23424"/>
  <c r="AU26" i="23424"/>
  <c r="AT26" i="23424"/>
  <c r="AU29" i="23424"/>
  <c r="AT29" i="23424"/>
  <c r="AU141" i="23424"/>
  <c r="AT141" i="23424"/>
  <c r="AU99" i="23424"/>
  <c r="AT99" i="23424"/>
  <c r="AU161" i="23424"/>
  <c r="AT161" i="23424"/>
  <c r="AT155" i="23424"/>
  <c r="AU155" i="23424"/>
  <c r="AT120" i="23424"/>
  <c r="AU120" i="23424"/>
  <c r="AU124" i="23424"/>
  <c r="AT124" i="23424"/>
  <c r="BG105" i="23424"/>
  <c r="BH105" i="23424"/>
  <c r="BH28" i="23424"/>
  <c r="BG28" i="23424"/>
  <c r="BH76" i="23424"/>
  <c r="BG76" i="23424"/>
  <c r="BH37" i="23424"/>
  <c r="BG37" i="23424"/>
  <c r="BH30" i="23424"/>
  <c r="BG30" i="23424"/>
  <c r="BG79" i="23424"/>
  <c r="BH79" i="23424"/>
  <c r="BG75" i="23424"/>
  <c r="BH75" i="23424"/>
  <c r="BG143" i="23424"/>
  <c r="BH143" i="23424"/>
  <c r="BG136" i="23424"/>
  <c r="BH136" i="23424"/>
  <c r="BE64" i="23424"/>
  <c r="BD64" i="23424"/>
  <c r="BE12" i="23424"/>
  <c r="BD12" i="23424"/>
  <c r="BD66" i="23424"/>
  <c r="BE66" i="23424"/>
  <c r="BD56" i="23424"/>
  <c r="BE56" i="23424"/>
  <c r="BE147" i="23424"/>
  <c r="BD147" i="23424"/>
  <c r="BD74" i="23424"/>
  <c r="BE74" i="23424"/>
  <c r="BD145" i="23424"/>
  <c r="BE145" i="23424"/>
  <c r="BD78" i="23424"/>
  <c r="BE78" i="23424"/>
  <c r="BE174" i="23424"/>
  <c r="BD174" i="23424"/>
  <c r="AN185" i="23424"/>
  <c r="AO185" i="23424"/>
  <c r="AO31" i="23424"/>
  <c r="AN31" i="23424"/>
  <c r="AO15" i="23424"/>
  <c r="AN15" i="23424"/>
  <c r="AO64" i="23424"/>
  <c r="AN64" i="23424"/>
  <c r="AO40" i="23424"/>
  <c r="AN40" i="23424"/>
  <c r="AN36" i="23424"/>
  <c r="AO36" i="23424"/>
  <c r="AN92" i="23424"/>
  <c r="AO92" i="23424"/>
  <c r="AN83" i="23424"/>
  <c r="AO83" i="23424"/>
  <c r="AO131" i="23424"/>
  <c r="AN131" i="23424"/>
  <c r="AQ110" i="23424"/>
  <c r="AR110" i="23424"/>
  <c r="AQ49" i="23424"/>
  <c r="AR49" i="23424"/>
  <c r="AR56" i="23424"/>
  <c r="AQ56" i="23424"/>
  <c r="AR55" i="23424"/>
  <c r="AQ55" i="23424"/>
  <c r="AR39" i="23424"/>
  <c r="AQ39" i="23424"/>
  <c r="AQ63" i="23424"/>
  <c r="AR63" i="23424"/>
  <c r="AQ86" i="23424"/>
  <c r="AR86" i="23424"/>
  <c r="AQ74" i="23424"/>
  <c r="AR74" i="23424"/>
  <c r="AQ184" i="23424"/>
  <c r="AR184" i="23424"/>
  <c r="AB65" i="23424"/>
  <c r="AC65" i="23424"/>
  <c r="AB78" i="23424"/>
  <c r="AC78" i="23424"/>
  <c r="AC14" i="23424"/>
  <c r="AB14" i="23424"/>
  <c r="AC77" i="23424"/>
  <c r="AB77" i="23424"/>
  <c r="AB23" i="23424"/>
  <c r="AC23" i="23424"/>
  <c r="AC46" i="23424"/>
  <c r="AB46" i="23424"/>
  <c r="AC157" i="23424"/>
  <c r="AB157" i="23424"/>
  <c r="AB159" i="23424"/>
  <c r="AC159" i="23424"/>
  <c r="AB137" i="23424"/>
  <c r="AC137" i="23424"/>
  <c r="AK12" i="23424"/>
  <c r="AJ12" i="23424"/>
  <c r="AJ100" i="23424"/>
  <c r="AK100" i="23424"/>
  <c r="AK73" i="23424"/>
  <c r="AJ73" i="23424"/>
  <c r="AK78" i="23424"/>
  <c r="AJ78" i="23424"/>
  <c r="AJ104" i="23424"/>
  <c r="AK104" i="23424"/>
  <c r="AK97" i="23424"/>
  <c r="AJ97" i="23424"/>
  <c r="AJ96" i="23424"/>
  <c r="AK96" i="23424"/>
  <c r="AJ154" i="23424"/>
  <c r="AK154" i="23424"/>
  <c r="AK141" i="23424"/>
  <c r="AJ141" i="23424"/>
  <c r="AG129" i="23424"/>
  <c r="AF129" i="23424"/>
  <c r="AF10" i="23424"/>
  <c r="AG10" i="23424"/>
  <c r="AG73" i="23424"/>
  <c r="AF73" i="23424"/>
  <c r="AG174" i="23424"/>
  <c r="AF174" i="23424"/>
  <c r="AF111" i="23424"/>
  <c r="AG111" i="23424"/>
  <c r="AG185" i="23424"/>
  <c r="AF185" i="23424"/>
  <c r="AG72" i="23424"/>
  <c r="AF72" i="23424"/>
  <c r="AG104" i="23424"/>
  <c r="AF104" i="23424"/>
  <c r="AF150" i="23424"/>
  <c r="AG150" i="23424"/>
  <c r="AX121" i="23424"/>
  <c r="AY121" i="23424"/>
  <c r="AX21" i="23424"/>
  <c r="AY21" i="23424"/>
  <c r="AX63" i="23424"/>
  <c r="AY63" i="23424"/>
  <c r="AY37" i="23424"/>
  <c r="AX37" i="23424"/>
  <c r="AX75" i="23424"/>
  <c r="AY75" i="23424"/>
  <c r="AX54" i="23424"/>
  <c r="AY54" i="23424"/>
  <c r="AY131" i="23424"/>
  <c r="AX131" i="23424"/>
  <c r="AX76" i="23424"/>
  <c r="AY76" i="23424"/>
  <c r="AY176" i="23424"/>
  <c r="AX176" i="23424"/>
  <c r="BB81" i="23424"/>
  <c r="BA81" i="23424"/>
  <c r="BB76" i="23424"/>
  <c r="BA76" i="23424"/>
  <c r="BA18" i="23424"/>
  <c r="BB18" i="23424"/>
  <c r="BB111" i="23424"/>
  <c r="BA111" i="23424"/>
  <c r="BB127" i="23424"/>
  <c r="BA127" i="23424"/>
  <c r="BB66" i="23424"/>
  <c r="BA66" i="23424"/>
  <c r="BB64" i="23424"/>
  <c r="BA64" i="23424"/>
  <c r="BB176" i="23424"/>
  <c r="BA176" i="23424"/>
  <c r="BB182" i="23424"/>
  <c r="BA182" i="23424"/>
  <c r="AT39" i="23424"/>
  <c r="AU39" i="23424"/>
  <c r="AT37" i="23424"/>
  <c r="AU37" i="23424"/>
  <c r="AU53" i="23424"/>
  <c r="AT53" i="23424"/>
  <c r="AU42" i="23424"/>
  <c r="AT42" i="23424"/>
  <c r="AU20" i="23424"/>
  <c r="AT20" i="23424"/>
  <c r="AU66" i="23424"/>
  <c r="AT66" i="23424"/>
  <c r="AU143" i="23424"/>
  <c r="AT143" i="23424"/>
  <c r="AT160" i="23424"/>
  <c r="AU160" i="23424"/>
  <c r="AU180" i="23424"/>
  <c r="AT180" i="23424"/>
  <c r="BH90" i="23424"/>
  <c r="BG90" i="23424"/>
  <c r="BH84" i="23424"/>
  <c r="BG84" i="23424"/>
  <c r="BH12" i="23424"/>
  <c r="BG12" i="23424"/>
  <c r="BG38" i="23424"/>
  <c r="BH38" i="23424"/>
  <c r="BH87" i="23424"/>
  <c r="BG87" i="23424"/>
  <c r="BH138" i="23424"/>
  <c r="BG138" i="23424"/>
  <c r="BG97" i="23424"/>
  <c r="BH97" i="23424"/>
  <c r="BG151" i="23424"/>
  <c r="BH151" i="23424"/>
  <c r="BG141" i="23424"/>
  <c r="BH141" i="23424"/>
  <c r="BD17" i="23424"/>
  <c r="BE17" i="23424"/>
  <c r="BD10" i="23424"/>
  <c r="BE10" i="23424"/>
  <c r="BE92" i="23424"/>
  <c r="BD92" i="23424"/>
  <c r="BE62" i="23424"/>
  <c r="BD62" i="23424"/>
  <c r="BE103" i="23424"/>
  <c r="BD103" i="23424"/>
  <c r="BE122" i="23424"/>
  <c r="BD122" i="23424"/>
  <c r="BE173" i="23424"/>
  <c r="BD173" i="23424"/>
  <c r="BD98" i="23424"/>
  <c r="BE98" i="23424"/>
  <c r="BE181" i="23424"/>
  <c r="BD181" i="23424"/>
  <c r="AO186" i="23424"/>
  <c r="AN186" i="23424"/>
  <c r="AO49" i="23424"/>
  <c r="AN49" i="23424"/>
  <c r="AO56" i="23424"/>
  <c r="AN56" i="23424"/>
  <c r="AN71" i="23424"/>
  <c r="AO71" i="23424"/>
  <c r="AO46" i="23424"/>
  <c r="AN46" i="23424"/>
  <c r="AN69" i="23424"/>
  <c r="AO69" i="23424"/>
  <c r="AN144" i="23424"/>
  <c r="AO144" i="23424"/>
  <c r="AN103" i="23424"/>
  <c r="AO103" i="23424"/>
  <c r="AO150" i="23424"/>
  <c r="AN150" i="23424"/>
  <c r="AR51" i="23424"/>
  <c r="AQ51" i="23424"/>
  <c r="AR50" i="23424"/>
  <c r="AQ50" i="23424"/>
  <c r="AR108" i="23424"/>
  <c r="AQ108" i="23424"/>
  <c r="AR68" i="23424"/>
  <c r="AQ68" i="23424"/>
  <c r="AR45" i="23424"/>
  <c r="AQ45" i="23424"/>
  <c r="AQ103" i="23424"/>
  <c r="AR103" i="23424"/>
  <c r="AQ87" i="23424"/>
  <c r="AR87" i="23424"/>
  <c r="AQ94" i="23424"/>
  <c r="AR94" i="23424"/>
  <c r="AR135" i="23424"/>
  <c r="AQ135" i="23424"/>
  <c r="AR90" i="23424"/>
  <c r="AQ90" i="23424"/>
  <c r="AK106" i="23424"/>
  <c r="AJ106" i="23424"/>
  <c r="AY149" i="23424"/>
  <c r="AX149" i="23424"/>
  <c r="AO112" i="23424"/>
  <c r="AN112" i="23424"/>
  <c r="BH55" i="23424"/>
  <c r="BG55" i="23424"/>
  <c r="AU96" i="23424"/>
  <c r="AT96" i="23424"/>
  <c r="BG88" i="23424"/>
  <c r="BH88" i="23424"/>
  <c r="BG111" i="23424"/>
  <c r="BH111" i="23424"/>
  <c r="BG52" i="23424"/>
  <c r="BH52" i="23424"/>
  <c r="BG45" i="23424"/>
  <c r="BH45" i="23424"/>
  <c r="BG149" i="23424"/>
  <c r="BH149" i="23424"/>
  <c r="BH140" i="23424"/>
  <c r="BG140" i="23424"/>
  <c r="BG184" i="23424"/>
  <c r="BH184" i="23424"/>
  <c r="BD105" i="23424"/>
  <c r="BE105" i="23424"/>
  <c r="BE33" i="23424"/>
  <c r="BD33" i="23424"/>
  <c r="BE171" i="23424"/>
  <c r="BD171" i="23424"/>
  <c r="BE79" i="23424"/>
  <c r="BD79" i="23424"/>
  <c r="BE93" i="23424"/>
  <c r="BD93" i="23424"/>
  <c r="BD119" i="23424"/>
  <c r="BE119" i="23424"/>
  <c r="BE126" i="23424"/>
  <c r="BD126" i="23424"/>
  <c r="BD113" i="23424"/>
  <c r="BE113" i="23424"/>
  <c r="BE187" i="23424"/>
  <c r="BD187" i="23424"/>
  <c r="AO30" i="23424"/>
  <c r="AN30" i="23424"/>
  <c r="AO20" i="23424"/>
  <c r="AN20" i="23424"/>
  <c r="AO54" i="23424"/>
  <c r="AN54" i="23424"/>
  <c r="AO164" i="23424"/>
  <c r="AN164" i="23424"/>
  <c r="AO77" i="23424"/>
  <c r="AN77" i="23424"/>
  <c r="AN102" i="23424"/>
  <c r="AO102" i="23424"/>
  <c r="AO179" i="23424"/>
  <c r="AN179" i="23424"/>
  <c r="AN169" i="23424"/>
  <c r="AO169" i="23424"/>
  <c r="AO173" i="23424"/>
  <c r="AN173" i="23424"/>
  <c r="AR48" i="23424"/>
  <c r="AQ48" i="23424"/>
  <c r="AR36" i="23424"/>
  <c r="AQ36" i="23424"/>
  <c r="AR46" i="23424"/>
  <c r="AQ46" i="23424"/>
  <c r="AQ33" i="23424"/>
  <c r="AR33" i="23424"/>
  <c r="AQ17" i="23424"/>
  <c r="AR17" i="23424"/>
  <c r="AR30" i="23424"/>
  <c r="AQ30" i="23424"/>
  <c r="AR85" i="23424"/>
  <c r="AQ85" i="23424"/>
  <c r="AR189" i="23424"/>
  <c r="AQ189" i="23424"/>
  <c r="AR172" i="23424"/>
  <c r="AQ172" i="23424"/>
  <c r="AC10" i="23424"/>
  <c r="AB10" i="23424"/>
  <c r="AC131" i="23424"/>
  <c r="AB131" i="23424"/>
  <c r="AC136" i="23424"/>
  <c r="AB136" i="23424"/>
  <c r="AC168" i="23424"/>
  <c r="AB168" i="23424"/>
  <c r="AC149" i="23424"/>
  <c r="AB149" i="23424"/>
  <c r="AC166" i="23424"/>
  <c r="AB166" i="23424"/>
  <c r="AC107" i="23424"/>
  <c r="AB107" i="23424"/>
  <c r="AC125" i="23424"/>
  <c r="AB125" i="23424"/>
  <c r="AB185" i="23424"/>
  <c r="AC185" i="23424"/>
  <c r="AK151" i="23424"/>
  <c r="AJ151" i="23424"/>
  <c r="AK90" i="23424"/>
  <c r="AJ90" i="23424"/>
  <c r="AK44" i="23424"/>
  <c r="AJ44" i="23424"/>
  <c r="AK86" i="23424"/>
  <c r="AJ86" i="23424"/>
  <c r="AK31" i="23424"/>
  <c r="AJ31" i="23424"/>
  <c r="AJ79" i="23424"/>
  <c r="AK79" i="23424"/>
  <c r="AK145" i="23424"/>
  <c r="AJ145" i="23424"/>
  <c r="AK152" i="23424"/>
  <c r="AJ152" i="23424"/>
  <c r="AK157" i="23424"/>
  <c r="AJ157" i="23424"/>
  <c r="AG176" i="23424"/>
  <c r="AF176" i="23424"/>
  <c r="AG62" i="23424"/>
  <c r="AF62" i="23424"/>
  <c r="AG52" i="23424"/>
  <c r="AF52" i="23424"/>
  <c r="AG181" i="23424"/>
  <c r="AF181" i="23424"/>
  <c r="AF69" i="23424"/>
  <c r="AG69" i="23424"/>
  <c r="AG107" i="23424"/>
  <c r="AF107" i="23424"/>
  <c r="AG123" i="23424"/>
  <c r="AF123" i="23424"/>
  <c r="AF164" i="23424"/>
  <c r="AG164" i="23424"/>
  <c r="AG146" i="23424"/>
  <c r="AF146" i="23424"/>
  <c r="AY105" i="23424"/>
  <c r="AX105" i="23424"/>
  <c r="AX71" i="23424"/>
  <c r="AY71" i="23424"/>
  <c r="AY10" i="23424"/>
  <c r="AX10" i="23424"/>
  <c r="AX128" i="23424"/>
  <c r="AY128" i="23424"/>
  <c r="AY144" i="23424"/>
  <c r="AX144" i="23424"/>
  <c r="AY12" i="23424"/>
  <c r="AX12" i="23424"/>
  <c r="AX127" i="23424"/>
  <c r="AY127" i="23424"/>
  <c r="AY146" i="23424"/>
  <c r="AX146" i="23424"/>
  <c r="AY141" i="23424"/>
  <c r="AX141" i="23424"/>
  <c r="BB57" i="23424"/>
  <c r="BA57" i="23424"/>
  <c r="BB52" i="23424"/>
  <c r="BA52" i="23424"/>
  <c r="BB92" i="23424"/>
  <c r="BA92" i="23424"/>
  <c r="BA79" i="23424"/>
  <c r="BB79" i="23424"/>
  <c r="BA19" i="23424"/>
  <c r="BB19" i="23424"/>
  <c r="BB58" i="23424"/>
  <c r="BA58" i="23424"/>
  <c r="BA87" i="23424"/>
  <c r="BB87" i="23424"/>
  <c r="BB125" i="23424"/>
  <c r="BA125" i="23424"/>
  <c r="BB189" i="23424"/>
  <c r="BA189" i="23424"/>
  <c r="AU72" i="23424"/>
  <c r="AT72" i="23424"/>
  <c r="AU101" i="23424"/>
  <c r="AT101" i="23424"/>
  <c r="AU35" i="23424"/>
  <c r="AT35" i="23424"/>
  <c r="AU71" i="23424"/>
  <c r="AT71" i="23424"/>
  <c r="AU70" i="23424"/>
  <c r="AT70" i="23424"/>
  <c r="AU55" i="23424"/>
  <c r="AT55" i="23424"/>
  <c r="AU114" i="23424"/>
  <c r="AT114" i="23424"/>
  <c r="AT186" i="23424"/>
  <c r="AU186" i="23424"/>
  <c r="AU169" i="23424"/>
  <c r="AT169" i="23424"/>
  <c r="BH19" i="23424"/>
  <c r="BG19" i="23424"/>
  <c r="BG44" i="23424"/>
  <c r="BH44" i="23424"/>
  <c r="BH96" i="23424"/>
  <c r="BG96" i="23424"/>
  <c r="BH118" i="23424"/>
  <c r="BG118" i="23424"/>
  <c r="BH83" i="23424"/>
  <c r="BG83" i="23424"/>
  <c r="BG139" i="23424"/>
  <c r="BH139" i="23424"/>
  <c r="BH122" i="23424"/>
  <c r="BG122" i="23424"/>
  <c r="BH123" i="23424"/>
  <c r="BG123" i="23424"/>
  <c r="BH182" i="23424"/>
  <c r="BG182" i="23424"/>
  <c r="BE29" i="23424"/>
  <c r="BD29" i="23424"/>
  <c r="BE42" i="23424"/>
  <c r="BD42" i="23424"/>
  <c r="BD43" i="23424"/>
  <c r="BE43" i="23424"/>
  <c r="BE83" i="23424"/>
  <c r="BD83" i="23424"/>
  <c r="BD106" i="23424"/>
  <c r="BE106" i="23424"/>
  <c r="BD133" i="23424"/>
  <c r="BE133" i="23424"/>
  <c r="BE166" i="23424"/>
  <c r="BD166" i="23424"/>
  <c r="BE177" i="23424"/>
  <c r="BD177" i="23424"/>
  <c r="BE143" i="23424"/>
  <c r="BD143" i="23424"/>
  <c r="AO51" i="23424"/>
  <c r="AN51" i="23424"/>
  <c r="AN32" i="23424"/>
  <c r="AO32" i="23424"/>
  <c r="AO61" i="23424"/>
  <c r="AN61" i="23424"/>
  <c r="AO78" i="23424"/>
  <c r="AN78" i="23424"/>
  <c r="AN14" i="23424"/>
  <c r="AO14" i="23424"/>
  <c r="AN115" i="23424"/>
  <c r="AO115" i="23424"/>
  <c r="AO74" i="23424"/>
  <c r="AN74" i="23424"/>
  <c r="AO189" i="23424"/>
  <c r="AN189" i="23424"/>
  <c r="AO148" i="23424"/>
  <c r="AN148" i="23424"/>
  <c r="AQ122" i="23424"/>
  <c r="AR122" i="23424"/>
  <c r="AR66" i="23424"/>
  <c r="AQ66" i="23424"/>
  <c r="AR43" i="23424"/>
  <c r="AQ43" i="23424"/>
  <c r="AR60" i="23424"/>
  <c r="AQ60" i="23424"/>
  <c r="AR29" i="23424"/>
  <c r="AQ29" i="23424"/>
  <c r="AR58" i="23424"/>
  <c r="AQ58" i="23424"/>
  <c r="AR105" i="23424"/>
  <c r="AQ105" i="23424"/>
  <c r="AQ140" i="23424"/>
  <c r="AR140" i="23424"/>
  <c r="AQ139" i="23424"/>
  <c r="AR139" i="23424"/>
  <c r="AC158" i="23424"/>
  <c r="AB158" i="23424"/>
  <c r="AK126" i="23424"/>
  <c r="AJ126" i="23424"/>
  <c r="AK175" i="23424"/>
  <c r="AJ175" i="23424"/>
  <c r="AG106" i="23424"/>
  <c r="AF106" i="23424"/>
  <c r="AG140" i="23424"/>
  <c r="AF140" i="23424"/>
  <c r="AY61" i="23424"/>
  <c r="AX61" i="23424"/>
  <c r="AX143" i="23424"/>
  <c r="AY143" i="23424"/>
  <c r="BB138" i="23424"/>
  <c r="BA138" i="23424"/>
  <c r="AT61" i="23424"/>
  <c r="AU61" i="23424"/>
  <c r="AT83" i="23424"/>
  <c r="AU83" i="23424"/>
  <c r="BH36" i="23424"/>
  <c r="BG36" i="23424"/>
  <c r="BG170" i="23424"/>
  <c r="BH170" i="23424"/>
  <c r="BE65" i="23424"/>
  <c r="BD65" i="23424"/>
  <c r="AN55" i="23424"/>
  <c r="AO55" i="23424"/>
  <c r="AO86" i="23424"/>
  <c r="AN86" i="23424"/>
  <c r="AQ97" i="23424"/>
  <c r="AR97" i="23424"/>
  <c r="AC13" i="23424"/>
  <c r="AB13" i="23424"/>
  <c r="AB152" i="23424"/>
  <c r="AC152" i="23424"/>
  <c r="AK127" i="23424"/>
  <c r="AJ127" i="23424"/>
  <c r="AF127" i="23424"/>
  <c r="AG127" i="23424"/>
  <c r="AG141" i="23424"/>
  <c r="AF141" i="23424"/>
  <c r="AY24" i="23424"/>
  <c r="AX24" i="23424"/>
  <c r="AX160" i="23424"/>
  <c r="AY160" i="23424"/>
  <c r="BB106" i="23424"/>
  <c r="BA106" i="23424"/>
  <c r="AT19" i="23424"/>
  <c r="AU19" i="23424"/>
  <c r="AU68" i="23424"/>
  <c r="AT68" i="23424"/>
  <c r="BH73" i="23424"/>
  <c r="BG73" i="23424"/>
  <c r="BH148" i="23424"/>
  <c r="BG148" i="23424"/>
  <c r="BD15" i="23424"/>
  <c r="BE15" i="23424"/>
  <c r="AO43" i="23424"/>
  <c r="AN43" i="23424"/>
  <c r="AO95" i="23424"/>
  <c r="AN95" i="23424"/>
  <c r="AR121" i="23424"/>
  <c r="AQ121" i="23424"/>
  <c r="AC71" i="23424"/>
  <c r="AB71" i="23424"/>
  <c r="AC189" i="23424"/>
  <c r="AB189" i="23424"/>
  <c r="AK54" i="23424"/>
  <c r="AJ54" i="23424"/>
  <c r="AJ138" i="23424"/>
  <c r="AK138" i="23424"/>
  <c r="AG38" i="23424"/>
  <c r="AF38" i="23424"/>
  <c r="AF179" i="23424"/>
  <c r="AG179" i="23424"/>
  <c r="AY27" i="23424"/>
  <c r="AX27" i="23424"/>
  <c r="BA50" i="23424"/>
  <c r="BB50" i="23424"/>
  <c r="BB147" i="23424"/>
  <c r="BA147" i="23424"/>
  <c r="AU79" i="23424"/>
  <c r="AT79" i="23424"/>
  <c r="AU88" i="23424"/>
  <c r="AT88" i="23424"/>
  <c r="BH93" i="23424"/>
  <c r="BG93" i="23424"/>
  <c r="BE19" i="23424"/>
  <c r="BD19" i="23424"/>
  <c r="BD81" i="23424"/>
  <c r="BE81" i="23424"/>
  <c r="AO34" i="23424"/>
  <c r="AN34" i="23424"/>
  <c r="AR12" i="23424"/>
  <c r="AQ12" i="23424"/>
  <c r="AR182" i="23424"/>
  <c r="AQ182" i="23424"/>
  <c r="AC114" i="23424"/>
  <c r="AB114" i="23424"/>
  <c r="AB156" i="23424"/>
  <c r="AC156" i="23424"/>
  <c r="AK35" i="23424"/>
  <c r="AJ35" i="23424"/>
  <c r="AG53" i="23424"/>
  <c r="AF53" i="23424"/>
  <c r="AF184" i="23424"/>
  <c r="AG184" i="23424"/>
  <c r="AY182" i="23424"/>
  <c r="AX182" i="23424"/>
  <c r="BB156" i="23424"/>
  <c r="BA156" i="23424"/>
  <c r="AU177" i="23424"/>
  <c r="AT177" i="23424"/>
  <c r="AU144" i="23424"/>
  <c r="AT144" i="23424"/>
  <c r="BD41" i="23424"/>
  <c r="BE41" i="23424"/>
  <c r="AO52" i="23424"/>
  <c r="AN52" i="23424"/>
  <c r="AN175" i="23424"/>
  <c r="AO175" i="23424"/>
  <c r="AR145" i="23424"/>
  <c r="AQ145" i="23424"/>
  <c r="AC85" i="23424"/>
  <c r="AB85" i="23424"/>
  <c r="AB150" i="23424"/>
  <c r="AC150" i="23424"/>
  <c r="AK23" i="23424"/>
  <c r="AJ23" i="23424"/>
  <c r="AJ61" i="23424"/>
  <c r="AK61" i="23424"/>
  <c r="AK137" i="23424"/>
  <c r="AJ137" i="23424"/>
  <c r="AG94" i="23424"/>
  <c r="AF94" i="23424"/>
  <c r="AG98" i="23424"/>
  <c r="AF98" i="23424"/>
  <c r="AX58" i="23424"/>
  <c r="AY58" i="23424"/>
  <c r="AY60" i="23424"/>
  <c r="AX60" i="23424"/>
  <c r="AY165" i="23424"/>
  <c r="AX165" i="23424"/>
  <c r="BB65" i="23424"/>
  <c r="BA65" i="23424"/>
  <c r="BB188" i="23424"/>
  <c r="BA188" i="23424"/>
  <c r="AT24" i="23424"/>
  <c r="AU24" i="23424"/>
  <c r="AT166" i="23424"/>
  <c r="AU166" i="23424"/>
  <c r="AC99" i="23424"/>
  <c r="AB99" i="23424"/>
  <c r="AB54" i="23424"/>
  <c r="AC54" i="23424"/>
  <c r="AK65" i="23424"/>
  <c r="AJ65" i="23424"/>
  <c r="AK41" i="23424"/>
  <c r="AJ41" i="23424"/>
  <c r="AF88" i="23424"/>
  <c r="AG88" i="23424"/>
  <c r="AG166" i="23424"/>
  <c r="AF166" i="23424"/>
  <c r="AY32" i="23424"/>
  <c r="AX32" i="23424"/>
  <c r="BB83" i="23424"/>
  <c r="BA83" i="23424"/>
  <c r="AU56" i="23424"/>
  <c r="AT56" i="23424"/>
  <c r="BH24" i="23424"/>
  <c r="BG24" i="23424"/>
  <c r="BH152" i="23424"/>
  <c r="BG152" i="23424"/>
  <c r="BE157" i="23424"/>
  <c r="BD157" i="23424"/>
  <c r="AO109" i="23424"/>
  <c r="AN109" i="23424"/>
  <c r="AQ54" i="23424"/>
  <c r="AR54" i="23424"/>
  <c r="AQ70" i="23424"/>
  <c r="AR70" i="23424"/>
  <c r="AC69" i="23424"/>
  <c r="AB69" i="23424"/>
  <c r="AC175" i="23424"/>
  <c r="AB175" i="23424"/>
  <c r="AK66" i="23424"/>
  <c r="AJ66" i="23424"/>
  <c r="AK163" i="23424"/>
  <c r="AJ163" i="23424"/>
  <c r="AG19" i="23424"/>
  <c r="AF19" i="23424"/>
  <c r="AG125" i="23424"/>
  <c r="AF125" i="23424"/>
  <c r="AY28" i="23424"/>
  <c r="AX28" i="23424"/>
  <c r="AY181" i="23424"/>
  <c r="AX181" i="23424"/>
  <c r="BA141" i="23424"/>
  <c r="BB141" i="23424"/>
  <c r="AT73" i="23424"/>
  <c r="AU73" i="23424"/>
  <c r="AU170" i="23424"/>
  <c r="AT170" i="23424"/>
  <c r="BG119" i="23424"/>
  <c r="BH119" i="23424"/>
  <c r="BE132" i="23424"/>
  <c r="BD132" i="23424"/>
  <c r="AO121" i="23424"/>
  <c r="AN121" i="23424"/>
  <c r="AR179" i="23424"/>
  <c r="AQ179" i="23424"/>
  <c r="AC122" i="23424"/>
  <c r="AB122" i="23424"/>
  <c r="AB58" i="23424"/>
  <c r="AC58" i="23424"/>
  <c r="AK115" i="23424"/>
  <c r="AJ115" i="23424"/>
  <c r="AJ84" i="23424"/>
  <c r="AK84" i="23424"/>
  <c r="AK183" i="23424"/>
  <c r="AJ183" i="23424"/>
  <c r="AF15" i="23424"/>
  <c r="AG15" i="23424"/>
  <c r="AX13" i="23424"/>
  <c r="AY13" i="23424"/>
  <c r="AY72" i="23424"/>
  <c r="AX72" i="23424"/>
  <c r="BB60" i="23424"/>
  <c r="BA60" i="23424"/>
  <c r="BB70" i="23424"/>
  <c r="BA70" i="23424"/>
  <c r="AT23" i="23424"/>
  <c r="AU23" i="23424"/>
  <c r="BG15" i="23424"/>
  <c r="BH15" i="23424"/>
  <c r="BH106" i="23424"/>
  <c r="BG106" i="23424"/>
  <c r="BE96" i="23424"/>
  <c r="BD96" i="23424"/>
  <c r="AO85" i="23424"/>
  <c r="AN85" i="23424"/>
  <c r="AR165" i="23424"/>
  <c r="AQ165" i="23424"/>
  <c r="AC27" i="23424"/>
  <c r="AB27" i="23424"/>
  <c r="AC80" i="23424"/>
  <c r="AB80" i="23424"/>
  <c r="AB90" i="23424"/>
  <c r="AC90" i="23424"/>
  <c r="AC141" i="23424"/>
  <c r="AB141" i="23424"/>
  <c r="AC181" i="23424"/>
  <c r="AB181" i="23424"/>
  <c r="AJ37" i="23424"/>
  <c r="AK37" i="23424"/>
  <c r="AJ94" i="23424"/>
  <c r="AK94" i="23424"/>
  <c r="AK27" i="23424"/>
  <c r="AJ27" i="23424"/>
  <c r="AK168" i="23424"/>
  <c r="AJ168" i="23424"/>
  <c r="AK111" i="23424"/>
  <c r="AJ111" i="23424"/>
  <c r="AK60" i="23424"/>
  <c r="AJ60" i="23424"/>
  <c r="AK109" i="23424"/>
  <c r="AJ109" i="23424"/>
  <c r="AK184" i="23424"/>
  <c r="AJ184" i="23424"/>
  <c r="AJ146" i="23424"/>
  <c r="AK146" i="23424"/>
  <c r="AG115" i="23424"/>
  <c r="AF115" i="23424"/>
  <c r="AF83" i="23424"/>
  <c r="AG83" i="23424"/>
  <c r="AF130" i="23424"/>
  <c r="AG130" i="23424"/>
  <c r="AG188" i="23424"/>
  <c r="AF188" i="23424"/>
  <c r="AG172" i="23424"/>
  <c r="AF172" i="23424"/>
  <c r="AY46" i="23424"/>
  <c r="AX46" i="23424"/>
  <c r="AX30" i="23424"/>
  <c r="AY30" i="23424"/>
  <c r="AY80" i="23424"/>
  <c r="AX80" i="23424"/>
  <c r="AY47" i="23424"/>
  <c r="AX47" i="23424"/>
  <c r="AY23" i="23424"/>
  <c r="AX23" i="23424"/>
  <c r="AY154" i="23424"/>
  <c r="AX154" i="23424"/>
  <c r="AY107" i="23424"/>
  <c r="AX107" i="23424"/>
  <c r="AX185" i="23424"/>
  <c r="AY185" i="23424"/>
  <c r="AY167" i="23424"/>
  <c r="AX167" i="23424"/>
  <c r="BA41" i="23424"/>
  <c r="BB41" i="23424"/>
  <c r="BA71" i="23424"/>
  <c r="BB71" i="23424"/>
  <c r="BA25" i="23424"/>
  <c r="BB25" i="23424"/>
  <c r="BB96" i="23424"/>
  <c r="BA96" i="23424"/>
  <c r="BA112" i="23424"/>
  <c r="BB112" i="23424"/>
  <c r="BA77" i="23424"/>
  <c r="BB77" i="23424"/>
  <c r="BB187" i="23424"/>
  <c r="BA187" i="23424"/>
  <c r="AT87" i="23424"/>
  <c r="AU87" i="23424"/>
  <c r="AU27" i="23424"/>
  <c r="AT27" i="23424"/>
  <c r="AU13" i="23424"/>
  <c r="AT13" i="23424"/>
  <c r="AT21" i="23424"/>
  <c r="AU21" i="23424"/>
  <c r="AU62" i="23424"/>
  <c r="AT62" i="23424"/>
  <c r="AT187" i="23424"/>
  <c r="AU187" i="23424"/>
  <c r="AU176" i="23424"/>
  <c r="AT176" i="23424"/>
  <c r="BH74" i="23424"/>
  <c r="BG74" i="23424"/>
  <c r="BG20" i="23424"/>
  <c r="BH20" i="23424"/>
  <c r="BH116" i="23424"/>
  <c r="BG116" i="23424"/>
  <c r="BH107" i="23424"/>
  <c r="BG107" i="23424"/>
  <c r="BH11" i="23424"/>
  <c r="BG11" i="23424"/>
  <c r="BG134" i="23424"/>
  <c r="BH134" i="23424"/>
  <c r="BG125" i="23424"/>
  <c r="BH125" i="23424"/>
  <c r="BH124" i="23424"/>
  <c r="BG124" i="23424"/>
  <c r="BH180" i="23424"/>
  <c r="BG180" i="23424"/>
  <c r="BE30" i="23424"/>
  <c r="BD30" i="23424"/>
  <c r="BE85" i="23424"/>
  <c r="BD85" i="23424"/>
  <c r="BD23" i="23424"/>
  <c r="BE23" i="23424"/>
  <c r="BE26" i="23424"/>
  <c r="BD26" i="23424"/>
  <c r="BE108" i="23424"/>
  <c r="BD108" i="23424"/>
  <c r="BD176" i="23424"/>
  <c r="BE176" i="23424"/>
  <c r="BD55" i="23424"/>
  <c r="BE55" i="23424"/>
  <c r="BD128" i="23424"/>
  <c r="BE128" i="23424"/>
  <c r="BE169" i="23424"/>
  <c r="BD169" i="23424"/>
  <c r="AO18" i="23424"/>
  <c r="AN18" i="23424"/>
  <c r="AN47" i="23424"/>
  <c r="AO47" i="23424"/>
  <c r="AO68" i="23424"/>
  <c r="AN68" i="23424"/>
  <c r="AO44" i="23424"/>
  <c r="AN44" i="23424"/>
  <c r="AO108" i="23424"/>
  <c r="AN108" i="23424"/>
  <c r="AO155" i="23424"/>
  <c r="AN155" i="23424"/>
  <c r="AO183" i="23424"/>
  <c r="AN183" i="23424"/>
  <c r="AN120" i="23424"/>
  <c r="AO120" i="23424"/>
  <c r="AO174" i="23424"/>
  <c r="AN174" i="23424"/>
  <c r="AR69" i="23424"/>
  <c r="AQ69" i="23424"/>
  <c r="AR23" i="23424"/>
  <c r="AQ23" i="23424"/>
  <c r="AR127" i="23424"/>
  <c r="AQ127" i="23424"/>
  <c r="AQ106" i="23424"/>
  <c r="AR106" i="23424"/>
  <c r="AR185" i="23424"/>
  <c r="AQ185" i="23424"/>
  <c r="AB28" i="23424"/>
  <c r="AC28" i="23424"/>
  <c r="AC35" i="23424"/>
  <c r="AB35" i="23424"/>
  <c r="AC146" i="23424"/>
  <c r="AB146" i="23424"/>
  <c r="AB19" i="23424"/>
  <c r="AC19" i="23424"/>
  <c r="AC121" i="23424"/>
  <c r="AB121" i="23424"/>
  <c r="AB76" i="23424"/>
  <c r="AC76" i="23424"/>
  <c r="AB110" i="23424"/>
  <c r="AC110" i="23424"/>
  <c r="AB143" i="23424"/>
  <c r="AC143" i="23424"/>
  <c r="AB164" i="23424"/>
  <c r="AC164" i="23424"/>
  <c r="AK14" i="23424"/>
  <c r="AJ14" i="23424"/>
  <c r="AK13" i="23424"/>
  <c r="AJ13" i="23424"/>
  <c r="AK26" i="23424"/>
  <c r="AJ26" i="23424"/>
  <c r="AK105" i="23424"/>
  <c r="AJ105" i="23424"/>
  <c r="AK118" i="23424"/>
  <c r="AJ118" i="23424"/>
  <c r="AK62" i="23424"/>
  <c r="AJ62" i="23424"/>
  <c r="AJ72" i="23424"/>
  <c r="AK72" i="23424"/>
  <c r="AK162" i="23424"/>
  <c r="AJ162" i="23424"/>
  <c r="AJ166" i="23424"/>
  <c r="AK166" i="23424"/>
  <c r="AF16" i="23424"/>
  <c r="AG16" i="23424"/>
  <c r="AF79" i="23424"/>
  <c r="AG79" i="23424"/>
  <c r="AG93" i="23424"/>
  <c r="AF93" i="23424"/>
  <c r="AG41" i="23424"/>
  <c r="AF41" i="23424"/>
  <c r="AF59" i="23424"/>
  <c r="AG59" i="23424"/>
  <c r="AG137" i="23424"/>
  <c r="AF137" i="23424"/>
  <c r="AG167" i="23424"/>
  <c r="AF167" i="23424"/>
  <c r="AF132" i="23424"/>
  <c r="AG132" i="23424"/>
  <c r="AF155" i="23424"/>
  <c r="AG155" i="23424"/>
  <c r="AX57" i="23424"/>
  <c r="AY57" i="23424"/>
  <c r="AX44" i="23424"/>
  <c r="AY44" i="23424"/>
  <c r="AY49" i="23424"/>
  <c r="AX49" i="23424"/>
  <c r="AY66" i="23424"/>
  <c r="AX66" i="23424"/>
  <c r="AX16" i="23424"/>
  <c r="AY16" i="23424"/>
  <c r="AY140" i="23424"/>
  <c r="AX140" i="23424"/>
  <c r="AY175" i="23424"/>
  <c r="AX175" i="23424"/>
  <c r="AY116" i="23424"/>
  <c r="AX116" i="23424"/>
  <c r="AY187" i="23424"/>
  <c r="AX187" i="23424"/>
  <c r="BB59" i="23424"/>
  <c r="BA59" i="23424"/>
  <c r="BB26" i="23424"/>
  <c r="BA26" i="23424"/>
  <c r="BB155" i="23424"/>
  <c r="BA155" i="23424"/>
  <c r="BA68" i="23424"/>
  <c r="BB68" i="23424"/>
  <c r="BB45" i="23424"/>
  <c r="BA45" i="23424"/>
  <c r="BA103" i="23424"/>
  <c r="BB103" i="23424"/>
  <c r="BA110" i="23424"/>
  <c r="BB110" i="23424"/>
  <c r="BA169" i="23424"/>
  <c r="BB169" i="23424"/>
  <c r="BA161" i="23424"/>
  <c r="BB161" i="23424"/>
  <c r="AU43" i="23424"/>
  <c r="AT43" i="23424"/>
  <c r="AU15" i="23424"/>
  <c r="AT15" i="23424"/>
  <c r="AT64" i="23424"/>
  <c r="AU64" i="23424"/>
  <c r="AU32" i="23424"/>
  <c r="AT32" i="23424"/>
  <c r="AT63" i="23424"/>
  <c r="AU63" i="23424"/>
  <c r="AT41" i="23424"/>
  <c r="AU41" i="23424"/>
  <c r="AU82" i="23424"/>
  <c r="AT82" i="23424"/>
  <c r="AT126" i="23424"/>
  <c r="AU126" i="23424"/>
  <c r="AT159" i="23424"/>
  <c r="AU159" i="23424"/>
  <c r="BH108" i="23424"/>
  <c r="BG108" i="23424"/>
  <c r="BH62" i="23424"/>
  <c r="BG62" i="23424"/>
  <c r="BG175" i="23424"/>
  <c r="BH175" i="23424"/>
  <c r="BH129" i="23424"/>
  <c r="BG129" i="23424"/>
  <c r="BH65" i="23424"/>
  <c r="BG65" i="23424"/>
  <c r="BG95" i="23424"/>
  <c r="BH95" i="23424"/>
  <c r="BG132" i="23424"/>
  <c r="BH132" i="23424"/>
  <c r="BH187" i="23424"/>
  <c r="BG187" i="23424"/>
  <c r="BG163" i="23424"/>
  <c r="BH163" i="23424"/>
  <c r="BE16" i="23424"/>
  <c r="BD16" i="23424"/>
  <c r="BE112" i="23424"/>
  <c r="BD112" i="23424"/>
  <c r="BE111" i="23424"/>
  <c r="BD111" i="23424"/>
  <c r="BE36" i="23424"/>
  <c r="BD36" i="23424"/>
  <c r="BE120" i="23424"/>
  <c r="BD120" i="23424"/>
  <c r="BE186" i="23424"/>
  <c r="BD186" i="23424"/>
  <c r="BE75" i="23424"/>
  <c r="BD75" i="23424"/>
  <c r="BE118" i="23424"/>
  <c r="BD118" i="23424"/>
  <c r="BE189" i="23424"/>
  <c r="BD189" i="23424"/>
  <c r="AO151" i="23424"/>
  <c r="AN151" i="23424"/>
  <c r="AO107" i="23424"/>
  <c r="AN107" i="23424"/>
  <c r="AN111" i="23424"/>
  <c r="AO111" i="23424"/>
  <c r="AO67" i="23424"/>
  <c r="AN67" i="23424"/>
  <c r="AN125" i="23424"/>
  <c r="AO125" i="23424"/>
  <c r="AO172" i="23424"/>
  <c r="AN172" i="23424"/>
  <c r="AN60" i="23424"/>
  <c r="AO60" i="23424"/>
  <c r="AN127" i="23424"/>
  <c r="AO127" i="23424"/>
  <c r="AN157" i="23424"/>
  <c r="AO157" i="23424"/>
  <c r="AR99" i="23424"/>
  <c r="AQ99" i="23424"/>
  <c r="AQ107" i="23424"/>
  <c r="AR107" i="23424"/>
  <c r="AQ128" i="23424"/>
  <c r="AR128" i="23424"/>
  <c r="AR117" i="23424"/>
  <c r="AQ117" i="23424"/>
  <c r="AR119" i="23424"/>
  <c r="AQ119" i="23424"/>
  <c r="AQ141" i="23424"/>
  <c r="AR141" i="23424"/>
  <c r="AR180" i="23424"/>
  <c r="AQ180" i="23424"/>
  <c r="AQ114" i="23424"/>
  <c r="AR114" i="23424"/>
  <c r="AQ148" i="23424"/>
  <c r="AR148" i="23424"/>
  <c r="AB151" i="23424"/>
  <c r="AC151" i="23424"/>
  <c r="AK125" i="23424"/>
  <c r="AJ125" i="23424"/>
  <c r="AG117" i="23424"/>
  <c r="AF117" i="23424"/>
  <c r="AG122" i="23424"/>
  <c r="AF122" i="23424"/>
  <c r="AY126" i="23424"/>
  <c r="AX126" i="23424"/>
  <c r="AX114" i="23424"/>
  <c r="AY114" i="23424"/>
  <c r="BB47" i="23424"/>
  <c r="BA47" i="23424"/>
  <c r="BA148" i="23424"/>
  <c r="BB148" i="23424"/>
  <c r="AU84" i="23424"/>
  <c r="AT84" i="23424"/>
  <c r="BH32" i="23424"/>
  <c r="BG32" i="23424"/>
  <c r="BG42" i="23424"/>
  <c r="BH42" i="23424"/>
  <c r="BE94" i="23424"/>
  <c r="BD94" i="23424"/>
  <c r="BD14" i="23424"/>
  <c r="BE14" i="23424"/>
  <c r="AO13" i="23424"/>
  <c r="AN13" i="23424"/>
  <c r="AN10" i="23424"/>
  <c r="AO10" i="23424"/>
  <c r="AO133" i="23424"/>
  <c r="AN133" i="23424"/>
  <c r="AR22" i="23424"/>
  <c r="AQ22" i="23424"/>
  <c r="AQ125" i="23424"/>
  <c r="AR125" i="23424"/>
  <c r="AB34" i="23424"/>
  <c r="AC34" i="23424"/>
  <c r="AC173" i="23424"/>
  <c r="AB173" i="23424"/>
  <c r="AK143" i="23424"/>
  <c r="AJ143" i="23424"/>
  <c r="AG63" i="23424"/>
  <c r="AF63" i="23424"/>
  <c r="AG95" i="23424"/>
  <c r="AF95" i="23424"/>
  <c r="AY31" i="23424"/>
  <c r="AX31" i="23424"/>
  <c r="AX139" i="23424"/>
  <c r="AY139" i="23424"/>
  <c r="BB88" i="23424"/>
  <c r="BA88" i="23424"/>
  <c r="AU30" i="23424"/>
  <c r="AT30" i="23424"/>
  <c r="AU157" i="23424"/>
  <c r="AT157" i="23424"/>
  <c r="BH63" i="23424"/>
  <c r="BG63" i="23424"/>
  <c r="BG72" i="23424"/>
  <c r="BH72" i="23424"/>
  <c r="BE97" i="23424"/>
  <c r="BD97" i="23424"/>
  <c r="BE156" i="23424"/>
  <c r="BD156" i="23424"/>
  <c r="AO96" i="23424"/>
  <c r="AN96" i="23424"/>
  <c r="AO106" i="23424"/>
  <c r="AN106" i="23424"/>
  <c r="AR37" i="23424"/>
  <c r="AQ37" i="23424"/>
  <c r="AQ96" i="23424"/>
  <c r="AR96" i="23424"/>
  <c r="AQ136" i="23424"/>
  <c r="AR136" i="23424"/>
  <c r="AB63" i="23424"/>
  <c r="AC63" i="23424"/>
  <c r="AC180" i="23424"/>
  <c r="AB180" i="23424"/>
  <c r="AJ25" i="23424"/>
  <c r="AK25" i="23424"/>
  <c r="AJ174" i="23424"/>
  <c r="AK174" i="23424"/>
  <c r="AF54" i="23424"/>
  <c r="AG54" i="23424"/>
  <c r="AX89" i="23424"/>
  <c r="AY89" i="23424"/>
  <c r="AY110" i="23424"/>
  <c r="AX110" i="23424"/>
  <c r="BB73" i="23424"/>
  <c r="BA73" i="23424"/>
  <c r="BB159" i="23424"/>
  <c r="BA159" i="23424"/>
  <c r="AU172" i="23424"/>
  <c r="AT172" i="23424"/>
  <c r="BG46" i="23424"/>
  <c r="BH46" i="23424"/>
  <c r="BG92" i="23424"/>
  <c r="BH92" i="23424"/>
  <c r="BE109" i="23424"/>
  <c r="BD109" i="23424"/>
  <c r="AO39" i="23424"/>
  <c r="AN39" i="23424"/>
  <c r="AQ167" i="23424"/>
  <c r="AR167" i="23424"/>
  <c r="AC68" i="23424"/>
  <c r="AB68" i="23424"/>
  <c r="AC67" i="23424"/>
  <c r="AB67" i="23424"/>
  <c r="AK55" i="23424"/>
  <c r="AJ55" i="23424"/>
  <c r="AK134" i="23424"/>
  <c r="AJ134" i="23424"/>
  <c r="AF67" i="23424"/>
  <c r="AG67" i="23424"/>
  <c r="AF128" i="23424"/>
  <c r="AG128" i="23424"/>
  <c r="AY171" i="23424"/>
  <c r="AX171" i="23424"/>
  <c r="AY164" i="23424"/>
  <c r="AX164" i="23424"/>
  <c r="BB150" i="23424"/>
  <c r="BA150" i="23424"/>
  <c r="AT147" i="23424"/>
  <c r="AU147" i="23424"/>
  <c r="BG49" i="23424"/>
  <c r="BH49" i="23424"/>
  <c r="BD82" i="23424"/>
  <c r="BE82" i="23424"/>
  <c r="AO82" i="23424"/>
  <c r="AN82" i="23424"/>
  <c r="AR187" i="23424"/>
  <c r="AQ187" i="23424"/>
  <c r="AR65" i="23424"/>
  <c r="AQ65" i="23424"/>
  <c r="AB31" i="23424"/>
  <c r="AC31" i="23424"/>
  <c r="AB160" i="23424"/>
  <c r="AC160" i="23424"/>
  <c r="AK150" i="23424"/>
  <c r="AJ150" i="23424"/>
  <c r="AG37" i="23424"/>
  <c r="AF37" i="23424"/>
  <c r="AY172" i="23424"/>
  <c r="AX172" i="23424"/>
  <c r="BA122" i="23424"/>
  <c r="BB122" i="23424"/>
  <c r="BA179" i="23424"/>
  <c r="BB179" i="23424"/>
  <c r="BG104" i="23424"/>
  <c r="BH104" i="23424"/>
  <c r="AC104" i="23424"/>
  <c r="AB104" i="23424"/>
  <c r="AB172" i="23424"/>
  <c r="AC172" i="23424"/>
  <c r="AK98" i="23424"/>
  <c r="AJ98" i="23424"/>
  <c r="AK156" i="23424"/>
  <c r="AJ156" i="23424"/>
  <c r="AG147" i="23424"/>
  <c r="AF147" i="23424"/>
  <c r="AG169" i="23424"/>
  <c r="AF169" i="23424"/>
  <c r="AY148" i="23424"/>
  <c r="AX148" i="23424"/>
  <c r="BA15" i="23424"/>
  <c r="BB15" i="23424"/>
  <c r="BA114" i="23424"/>
  <c r="BB114" i="23424"/>
  <c r="AT69" i="23424"/>
  <c r="AU69" i="23424"/>
  <c r="AU125" i="23424"/>
  <c r="AT125" i="23424"/>
  <c r="BH157" i="23424"/>
  <c r="BG157" i="23424"/>
  <c r="BE87" i="23424"/>
  <c r="BD87" i="23424"/>
  <c r="AO72" i="23424"/>
  <c r="AN72" i="23424"/>
  <c r="AO167" i="23424"/>
  <c r="AN167" i="23424"/>
  <c r="AQ147" i="23424"/>
  <c r="AR147" i="23424"/>
  <c r="AC22" i="23424"/>
  <c r="AB22" i="23424"/>
  <c r="AC127" i="23424"/>
  <c r="AB127" i="23424"/>
  <c r="AJ20" i="23424"/>
  <c r="AK20" i="23424"/>
  <c r="AK165" i="23424"/>
  <c r="AJ165" i="23424"/>
  <c r="AG76" i="23424"/>
  <c r="AF76" i="23424"/>
  <c r="AY41" i="23424"/>
  <c r="AX41" i="23424"/>
  <c r="AY67" i="23424"/>
  <c r="AX67" i="23424"/>
  <c r="BB11" i="23424"/>
  <c r="BA11" i="23424"/>
  <c r="BA177" i="23424"/>
  <c r="BB177" i="23424"/>
  <c r="AU140" i="23424"/>
  <c r="AT140" i="23424"/>
  <c r="AT148" i="23424"/>
  <c r="AU148" i="23424"/>
  <c r="BG158" i="23424"/>
  <c r="BH158" i="23424"/>
  <c r="BH156" i="23424"/>
  <c r="BG156" i="23424"/>
  <c r="BE114" i="23424"/>
  <c r="BD114" i="23424"/>
  <c r="BE159" i="23424"/>
  <c r="BD159" i="23424"/>
  <c r="AO23" i="23424"/>
  <c r="AN23" i="23424"/>
  <c r="AO114" i="23424"/>
  <c r="AN114" i="23424"/>
  <c r="AQ32" i="23424"/>
  <c r="AR32" i="23424"/>
  <c r="AQ82" i="23424"/>
  <c r="AR82" i="23424"/>
  <c r="AR81" i="23424"/>
  <c r="AQ81" i="23424"/>
  <c r="AC62" i="23424"/>
  <c r="AB62" i="23424"/>
  <c r="AJ88" i="23424"/>
  <c r="AK88" i="23424"/>
  <c r="AK89" i="23424"/>
  <c r="AJ89" i="23424"/>
  <c r="AG50" i="23424"/>
  <c r="AF50" i="23424"/>
  <c r="AG152" i="23424"/>
  <c r="AF152" i="23424"/>
  <c r="AY124" i="23424"/>
  <c r="AX124" i="23424"/>
  <c r="BB17" i="23424"/>
  <c r="BA17" i="23424"/>
  <c r="BB145" i="23424"/>
  <c r="BA145" i="23424"/>
  <c r="AU152" i="23424"/>
  <c r="AT152" i="23424"/>
  <c r="AT129" i="23424"/>
  <c r="AU129" i="23424"/>
  <c r="BH81" i="23424"/>
  <c r="BG81" i="23424"/>
  <c r="BE28" i="23424"/>
  <c r="BD28" i="23424"/>
  <c r="BE149" i="23424"/>
  <c r="BD149" i="23424"/>
  <c r="AO178" i="23424"/>
  <c r="AN178" i="23424"/>
  <c r="AR160" i="23424"/>
  <c r="AQ160" i="23424"/>
  <c r="AC109" i="23424"/>
  <c r="AB109" i="23424"/>
  <c r="AF35" i="23424"/>
  <c r="AG35" i="23424"/>
  <c r="BB178" i="23424"/>
  <c r="BA178" i="23424"/>
  <c r="AQ175" i="23424"/>
  <c r="AR175" i="23424"/>
  <c r="AB18" i="23424"/>
  <c r="AC18" i="23424"/>
  <c r="AC103" i="23424"/>
  <c r="AB103" i="23424"/>
  <c r="AB74" i="23424"/>
  <c r="AC74" i="23424"/>
  <c r="AB32" i="23424"/>
  <c r="AC32" i="23424"/>
  <c r="AC162" i="23424"/>
  <c r="AB162" i="23424"/>
  <c r="AC102" i="23424"/>
  <c r="AB102" i="23424"/>
  <c r="AB128" i="23424"/>
  <c r="AC128" i="23424"/>
  <c r="AC182" i="23424"/>
  <c r="AB182" i="23424"/>
  <c r="AB184" i="23424"/>
  <c r="AC184" i="23424"/>
  <c r="AK40" i="23424"/>
  <c r="AJ40" i="23424"/>
  <c r="AK10" i="23424"/>
  <c r="AJ10" i="23424"/>
  <c r="AK101" i="23424"/>
  <c r="AJ101" i="23424"/>
  <c r="AK76" i="23424"/>
  <c r="AJ76" i="23424"/>
  <c r="AK155" i="23424"/>
  <c r="AJ155" i="23424"/>
  <c r="AJ80" i="23424"/>
  <c r="AK80" i="23424"/>
  <c r="AJ92" i="23424"/>
  <c r="AK92" i="23424"/>
  <c r="AK180" i="23424"/>
  <c r="AJ180" i="23424"/>
  <c r="AJ186" i="23424"/>
  <c r="AK186" i="23424"/>
  <c r="AF110" i="23424"/>
  <c r="AG110" i="23424"/>
  <c r="AG165" i="23424"/>
  <c r="AF165" i="23424"/>
  <c r="AF43" i="23424"/>
  <c r="AG43" i="23424"/>
  <c r="AG161" i="23424"/>
  <c r="AF161" i="23424"/>
  <c r="AG91" i="23424"/>
  <c r="AF91" i="23424"/>
  <c r="AG135" i="23424"/>
  <c r="AF135" i="23424"/>
  <c r="AF61" i="23424"/>
  <c r="AG61" i="23424"/>
  <c r="AF156" i="23424"/>
  <c r="AG156" i="23424"/>
  <c r="AF175" i="23424"/>
  <c r="AG175" i="23424"/>
  <c r="AY20" i="23424"/>
  <c r="AX20" i="23424"/>
  <c r="AY22" i="23424"/>
  <c r="AX22" i="23424"/>
  <c r="AX35" i="23424"/>
  <c r="AY35" i="23424"/>
  <c r="AX84" i="23424"/>
  <c r="AY84" i="23424"/>
  <c r="AY33" i="23424"/>
  <c r="AX33" i="23424"/>
  <c r="AY179" i="23424"/>
  <c r="AX179" i="23424"/>
  <c r="AY188" i="23424"/>
  <c r="AX188" i="23424"/>
  <c r="AY186" i="23424"/>
  <c r="AX186" i="23424"/>
  <c r="AX150" i="23424"/>
  <c r="AY150" i="23424"/>
  <c r="BB118" i="23424"/>
  <c r="BA118" i="23424"/>
  <c r="BB14" i="23424"/>
  <c r="BA14" i="23424"/>
  <c r="BB116" i="23424"/>
  <c r="BA116" i="23424"/>
  <c r="BB82" i="23424"/>
  <c r="BA82" i="23424"/>
  <c r="BB117" i="23424"/>
  <c r="BA117" i="23424"/>
  <c r="BA105" i="23424"/>
  <c r="BB105" i="23424"/>
  <c r="BB119" i="23424"/>
  <c r="BA119" i="23424"/>
  <c r="BB154" i="23424"/>
  <c r="BA154" i="23424"/>
  <c r="BA181" i="23424"/>
  <c r="BB181" i="23424"/>
  <c r="AU98" i="23424"/>
  <c r="AT98" i="23424"/>
  <c r="AU12" i="23424"/>
  <c r="AT12" i="23424"/>
  <c r="AU138" i="23424"/>
  <c r="AT138" i="23424"/>
  <c r="AU90" i="23424"/>
  <c r="AT90" i="23424"/>
  <c r="AU67" i="23424"/>
  <c r="AT67" i="23424"/>
  <c r="AU91" i="23424"/>
  <c r="AT91" i="23424"/>
  <c r="AU102" i="23424"/>
  <c r="AT102" i="23424"/>
  <c r="AT154" i="23424"/>
  <c r="AU154" i="23424"/>
  <c r="AT179" i="23424"/>
  <c r="AU179" i="23424"/>
  <c r="BH176" i="23424"/>
  <c r="BG176" i="23424"/>
  <c r="BH91" i="23424"/>
  <c r="BG91" i="23424"/>
  <c r="BH121" i="23424"/>
  <c r="BG121" i="23424"/>
  <c r="BH94" i="23424"/>
  <c r="BG94" i="23424"/>
  <c r="BG71" i="23424"/>
  <c r="BH71" i="23424"/>
  <c r="BH162" i="23424"/>
  <c r="BG162" i="23424"/>
  <c r="BH172" i="23424"/>
  <c r="BG172" i="23424"/>
  <c r="BH159" i="23424"/>
  <c r="BG159" i="23424"/>
  <c r="BG183" i="23424"/>
  <c r="BH183" i="23424"/>
  <c r="BD130" i="23424"/>
  <c r="BE130" i="23424"/>
  <c r="BD24" i="23424"/>
  <c r="BE24" i="23424"/>
  <c r="BE148" i="23424"/>
  <c r="BD148" i="23424"/>
  <c r="BE50" i="23424"/>
  <c r="BD50" i="23424"/>
  <c r="BE161" i="23424"/>
  <c r="BD161" i="23424"/>
  <c r="BE72" i="23424"/>
  <c r="BD72" i="23424"/>
  <c r="BE95" i="23424"/>
  <c r="BD95" i="23424"/>
  <c r="BE142" i="23424"/>
  <c r="BD142" i="23424"/>
  <c r="BD152" i="23424"/>
  <c r="BE152" i="23424"/>
  <c r="AN124" i="23424"/>
  <c r="AO124" i="23424"/>
  <c r="AO17" i="23424"/>
  <c r="AN17" i="23424"/>
  <c r="AO117" i="23424"/>
  <c r="AN117" i="23424"/>
  <c r="AO119" i="23424"/>
  <c r="AN119" i="23424"/>
  <c r="AO65" i="23424"/>
  <c r="AN65" i="23424"/>
  <c r="AN137" i="23424"/>
  <c r="AO137" i="23424"/>
  <c r="AO80" i="23424"/>
  <c r="AN80" i="23424"/>
  <c r="AN132" i="23424"/>
  <c r="AO132" i="23424"/>
  <c r="AN177" i="23424"/>
  <c r="AO177" i="23424"/>
  <c r="AR116" i="23424"/>
  <c r="AQ116" i="23424"/>
  <c r="AR100" i="23424"/>
  <c r="AQ100" i="23424"/>
  <c r="AQ93" i="23424"/>
  <c r="AR93" i="23424"/>
  <c r="AR124" i="23424"/>
  <c r="AQ124" i="23424"/>
  <c r="AR129" i="23424"/>
  <c r="AQ129" i="23424"/>
  <c r="AQ109" i="23424"/>
  <c r="AR109" i="23424"/>
  <c r="AR142" i="23424"/>
  <c r="AQ142" i="23424"/>
  <c r="AR123" i="23424"/>
  <c r="AQ123" i="23424"/>
  <c r="AQ168" i="23424"/>
  <c r="AR168" i="23424"/>
  <c r="AB133" i="23424"/>
  <c r="AC133" i="23424"/>
  <c r="AK21" i="23424"/>
  <c r="AJ21" i="23424"/>
  <c r="AJ176" i="23424"/>
  <c r="AK176" i="23424"/>
  <c r="AF36" i="23424"/>
  <c r="AG36" i="23424"/>
  <c r="AX92" i="23424"/>
  <c r="AY92" i="23424"/>
  <c r="AX98" i="23424"/>
  <c r="AY98" i="23424"/>
  <c r="BA35" i="23424"/>
  <c r="BB35" i="23424"/>
  <c r="BB93" i="23424"/>
  <c r="BA93" i="23424"/>
  <c r="BA137" i="23424"/>
  <c r="BB137" i="23424"/>
  <c r="AU44" i="23424"/>
  <c r="AT44" i="23424"/>
  <c r="AU189" i="23424"/>
  <c r="AT189" i="23424"/>
  <c r="BH115" i="23424"/>
  <c r="BG115" i="23424"/>
  <c r="BH177" i="23424"/>
  <c r="BG177" i="23424"/>
  <c r="BE91" i="23424"/>
  <c r="BD91" i="23424"/>
  <c r="BD188" i="23424"/>
  <c r="BE188" i="23424"/>
  <c r="AN48" i="23424"/>
  <c r="AO48" i="23424"/>
  <c r="AO182" i="23424"/>
  <c r="AN182" i="23424"/>
  <c r="AQ62" i="23424"/>
  <c r="AR62" i="23424"/>
  <c r="AQ92" i="23424"/>
  <c r="AR92" i="23424"/>
  <c r="AB57" i="23424"/>
  <c r="AC57" i="23424"/>
  <c r="AJ36" i="23424"/>
  <c r="AK36" i="23424"/>
  <c r="AK83" i="23424"/>
  <c r="AJ83" i="23424"/>
  <c r="AF27" i="23424"/>
  <c r="AG27" i="23424"/>
  <c r="AG189" i="23424"/>
  <c r="AF189" i="23424"/>
  <c r="AY88" i="23424"/>
  <c r="AX88" i="23424"/>
  <c r="BA46" i="23424"/>
  <c r="BB46" i="23424"/>
  <c r="BB130" i="23424"/>
  <c r="BA130" i="23424"/>
  <c r="AU51" i="23424"/>
  <c r="AT51" i="23424"/>
  <c r="AT132" i="23424"/>
  <c r="AU132" i="23424"/>
  <c r="BG31" i="23424"/>
  <c r="BH31" i="23424"/>
  <c r="BD27" i="23424"/>
  <c r="BE27" i="23424"/>
  <c r="BE89" i="23424"/>
  <c r="BD89" i="23424"/>
  <c r="AN19" i="23424"/>
  <c r="AO19" i="23424"/>
  <c r="AR183" i="23424"/>
  <c r="AQ183" i="23424"/>
  <c r="AC40" i="23424"/>
  <c r="AB40" i="23424"/>
  <c r="AB92" i="23424"/>
  <c r="AC92" i="23424"/>
  <c r="AK142" i="23424"/>
  <c r="AJ142" i="23424"/>
  <c r="AK136" i="23424"/>
  <c r="AJ136" i="23424"/>
  <c r="AG116" i="23424"/>
  <c r="AF116" i="23424"/>
  <c r="AF118" i="23424"/>
  <c r="AG118" i="23424"/>
  <c r="AY145" i="23424"/>
  <c r="AX145" i="23424"/>
  <c r="AX163" i="23424"/>
  <c r="AY163" i="23424"/>
  <c r="BA91" i="23424"/>
  <c r="BB91" i="23424"/>
  <c r="BA162" i="23424"/>
  <c r="BB162" i="23424"/>
  <c r="AU112" i="23424"/>
  <c r="AT112" i="23424"/>
  <c r="BG27" i="23424"/>
  <c r="BH27" i="23424"/>
  <c r="BH133" i="23424"/>
  <c r="BG133" i="23424"/>
  <c r="BE100" i="23424"/>
  <c r="BD100" i="23424"/>
  <c r="AN75" i="23424"/>
  <c r="AO75" i="23424"/>
  <c r="AO118" i="23424"/>
  <c r="AN118" i="23424"/>
  <c r="AQ134" i="23424"/>
  <c r="AR134" i="23424"/>
  <c r="AB47" i="23424"/>
  <c r="AC47" i="23424"/>
  <c r="AB96" i="23424"/>
  <c r="AC96" i="23424"/>
  <c r="AK77" i="23424"/>
  <c r="AJ77" i="23424"/>
  <c r="AK112" i="23424"/>
  <c r="AJ112" i="23424"/>
  <c r="AF55" i="23424"/>
  <c r="AG55" i="23424"/>
  <c r="AY85" i="23424"/>
  <c r="AX85" i="23424"/>
  <c r="BB22" i="23424"/>
  <c r="BA22" i="23424"/>
  <c r="BB186" i="23424"/>
  <c r="BA186" i="23424"/>
  <c r="AU108" i="23424"/>
  <c r="AT108" i="23424"/>
  <c r="BH127" i="23424"/>
  <c r="BG127" i="23424"/>
  <c r="BE101" i="23424"/>
  <c r="BD101" i="23424"/>
  <c r="AO156" i="23424"/>
  <c r="AN156" i="23424"/>
  <c r="AR170" i="23424"/>
  <c r="AQ170" i="23424"/>
  <c r="AC61" i="23424"/>
  <c r="AB61" i="23424"/>
  <c r="AC87" i="23424"/>
  <c r="AB87" i="23424"/>
  <c r="AB183" i="23424"/>
  <c r="AC183" i="23424"/>
  <c r="AK102" i="23424"/>
  <c r="AJ102" i="23424"/>
  <c r="AJ11" i="23424"/>
  <c r="AK11" i="23424"/>
  <c r="AJ124" i="23424"/>
  <c r="AK124" i="23424"/>
  <c r="AG32" i="23424"/>
  <c r="AF32" i="23424"/>
  <c r="AF56" i="23424"/>
  <c r="AG56" i="23424"/>
  <c r="AF182" i="23424"/>
  <c r="AG182" i="23424"/>
  <c r="AY70" i="23424"/>
  <c r="AX70" i="23424"/>
  <c r="AX29" i="23424"/>
  <c r="AY29" i="23424"/>
  <c r="BA13" i="23424"/>
  <c r="BB13" i="23424"/>
  <c r="BA89" i="23424"/>
  <c r="BB89" i="23424"/>
  <c r="BA67" i="23424"/>
  <c r="BB67" i="23424"/>
  <c r="AU184" i="23424"/>
  <c r="AT184" i="23424"/>
  <c r="AU57" i="23424"/>
  <c r="AT57" i="23424"/>
  <c r="AT38" i="23424"/>
  <c r="AU38" i="23424"/>
  <c r="AB48" i="23424"/>
  <c r="AC48" i="23424"/>
  <c r="AK32" i="23424"/>
  <c r="AJ32" i="23424"/>
  <c r="AK177" i="23424"/>
  <c r="AJ177" i="23424"/>
  <c r="AG108" i="23424"/>
  <c r="AF108" i="23424"/>
  <c r="AY17" i="23424"/>
  <c r="AX17" i="23424"/>
  <c r="AY161" i="23424"/>
  <c r="AX161" i="23424"/>
  <c r="BA107" i="23424"/>
  <c r="BB107" i="23424"/>
  <c r="AT89" i="23424"/>
  <c r="AU89" i="23424"/>
  <c r="BH13" i="23424"/>
  <c r="BG13" i="23424"/>
  <c r="BD86" i="23424"/>
  <c r="BE86" i="23424"/>
  <c r="BE137" i="23424"/>
  <c r="BD137" i="23424"/>
  <c r="AO94" i="23424"/>
  <c r="AN94" i="23424"/>
  <c r="AR159" i="23424"/>
  <c r="AQ159" i="23424"/>
  <c r="AB106" i="23424"/>
  <c r="AC106" i="23424"/>
  <c r="AC188" i="23424"/>
  <c r="AB188" i="23424"/>
  <c r="AK108" i="23424"/>
  <c r="AJ108" i="23424"/>
  <c r="AF51" i="23424"/>
  <c r="AG51" i="23424"/>
  <c r="AG180" i="23424"/>
  <c r="AF180" i="23424"/>
  <c r="AX64" i="23424"/>
  <c r="AY64" i="23424"/>
  <c r="BB55" i="23424"/>
  <c r="BA55" i="23424"/>
  <c r="BA27" i="23424"/>
  <c r="BB27" i="23424"/>
  <c r="AT52" i="23424"/>
  <c r="AU52" i="23424"/>
  <c r="AT104" i="23424"/>
  <c r="AU104" i="23424"/>
  <c r="BH34" i="23424"/>
  <c r="BG34" i="23424"/>
  <c r="BH86" i="23424"/>
  <c r="BG86" i="23424"/>
  <c r="BD11" i="23424"/>
  <c r="BE11" i="23424"/>
  <c r="BD160" i="23424"/>
  <c r="BE160" i="23424"/>
  <c r="AN159" i="23424"/>
  <c r="AO159" i="23424"/>
  <c r="AR26" i="23424"/>
  <c r="AQ26" i="23424"/>
  <c r="AR120" i="23424"/>
  <c r="AQ120" i="23424"/>
  <c r="AB112" i="23424"/>
  <c r="AC112" i="23424"/>
  <c r="AB70" i="23424"/>
  <c r="AC70" i="23424"/>
  <c r="AJ74" i="23424"/>
  <c r="AK74" i="23424"/>
  <c r="AK182" i="23424"/>
  <c r="AJ182" i="23424"/>
  <c r="AF25" i="23424"/>
  <c r="AG25" i="23424"/>
  <c r="AF121" i="23424"/>
  <c r="AG121" i="23424"/>
  <c r="AY36" i="23424"/>
  <c r="AX36" i="23424"/>
  <c r="AY147" i="23424"/>
  <c r="AX147" i="23424"/>
  <c r="BA109" i="23424"/>
  <c r="BB109" i="23424"/>
  <c r="AU10" i="23424"/>
  <c r="AT10" i="23424"/>
  <c r="AT185" i="23424"/>
  <c r="AU185" i="23424"/>
  <c r="BG18" i="23424"/>
  <c r="BH18" i="23424"/>
  <c r="BE162" i="23424"/>
  <c r="BD162" i="23424"/>
  <c r="AN42" i="23424"/>
  <c r="AO42" i="23424"/>
  <c r="AO154" i="23424"/>
  <c r="AN154" i="23424"/>
  <c r="AQ157" i="23424"/>
  <c r="AR157" i="23424"/>
  <c r="AC116" i="23424"/>
  <c r="AB116" i="23424"/>
  <c r="AG80" i="23424"/>
  <c r="AF80" i="23424"/>
  <c r="AT48" i="23424"/>
  <c r="AU48" i="23424"/>
  <c r="AR146" i="23424"/>
  <c r="AQ146" i="23424"/>
  <c r="AC25" i="23424"/>
  <c r="AB25" i="23424"/>
  <c r="AB56" i="23424"/>
  <c r="AC56" i="23424"/>
  <c r="AB115" i="23424"/>
  <c r="AC115" i="23424"/>
  <c r="AB42" i="23424"/>
  <c r="AC42" i="23424"/>
  <c r="AC179" i="23424"/>
  <c r="AB179" i="23424"/>
  <c r="AC117" i="23424"/>
  <c r="AB117" i="23424"/>
  <c r="AB154" i="23424"/>
  <c r="AC154" i="23424"/>
  <c r="AC129" i="23424"/>
  <c r="AB129" i="23424"/>
  <c r="AB147" i="23424"/>
  <c r="AC147" i="23424"/>
  <c r="AK68" i="23424"/>
  <c r="AJ68" i="23424"/>
  <c r="AJ17" i="23424"/>
  <c r="AK17" i="23424"/>
  <c r="AK113" i="23424"/>
  <c r="AJ113" i="23424"/>
  <c r="AK85" i="23424"/>
  <c r="AJ85" i="23424"/>
  <c r="AK56" i="23424"/>
  <c r="AJ56" i="23424"/>
  <c r="AK185" i="23424"/>
  <c r="AJ185" i="23424"/>
  <c r="AJ122" i="23424"/>
  <c r="AK122" i="23424"/>
  <c r="AK187" i="23424"/>
  <c r="AJ187" i="23424"/>
  <c r="AJ149" i="23424"/>
  <c r="AK149" i="23424"/>
  <c r="AF42" i="23424"/>
  <c r="AG42" i="23424"/>
  <c r="AG100" i="23424"/>
  <c r="AF100" i="23424"/>
  <c r="AG20" i="23424"/>
  <c r="AF20" i="23424"/>
  <c r="AG160" i="23424"/>
  <c r="AF160" i="23424"/>
  <c r="AG96" i="23424"/>
  <c r="AF96" i="23424"/>
  <c r="AG139" i="23424"/>
  <c r="AF139" i="23424"/>
  <c r="AF81" i="23424"/>
  <c r="AG81" i="23424"/>
  <c r="AF170" i="23424"/>
  <c r="AG170" i="23424"/>
  <c r="AG138" i="23424"/>
  <c r="AF138" i="23424"/>
  <c r="AY45" i="23424"/>
  <c r="AX45" i="23424"/>
  <c r="AY26" i="23424"/>
  <c r="AX26" i="23424"/>
  <c r="AX104" i="23424"/>
  <c r="AY104" i="23424"/>
  <c r="AY101" i="23424"/>
  <c r="AX101" i="23424"/>
  <c r="AY74" i="23424"/>
  <c r="AX74" i="23424"/>
  <c r="AX102" i="23424"/>
  <c r="AY102" i="23424"/>
  <c r="AY53" i="23424"/>
  <c r="AX53" i="23424"/>
  <c r="AY155" i="23424"/>
  <c r="AX155" i="23424"/>
  <c r="AX170" i="23424"/>
  <c r="AY170" i="23424"/>
  <c r="BB21" i="23424"/>
  <c r="BA21" i="23424"/>
  <c r="BB33" i="23424"/>
  <c r="BA33" i="23424"/>
  <c r="BA38" i="23424"/>
  <c r="BB38" i="23424"/>
  <c r="BB32" i="23424"/>
  <c r="BA32" i="23424"/>
  <c r="BB132" i="23424"/>
  <c r="BA132" i="23424"/>
  <c r="BB78" i="23424"/>
  <c r="BA78" i="23424"/>
  <c r="BA136" i="23424"/>
  <c r="BB136" i="23424"/>
  <c r="BA165" i="23424"/>
  <c r="BB165" i="23424"/>
  <c r="BB144" i="23424"/>
  <c r="BA144" i="23424"/>
  <c r="AT123" i="23424"/>
  <c r="AU123" i="23424"/>
  <c r="AT18" i="23424"/>
  <c r="AU18" i="23424"/>
  <c r="AU100" i="23424"/>
  <c r="AT100" i="23424"/>
  <c r="AU86" i="23424"/>
  <c r="AT86" i="23424"/>
  <c r="AU77" i="23424"/>
  <c r="AT77" i="23424"/>
  <c r="AU174" i="23424"/>
  <c r="AT174" i="23424"/>
  <c r="AU168" i="23424"/>
  <c r="AT168" i="23424"/>
  <c r="AT130" i="23424"/>
  <c r="AU130" i="23424"/>
  <c r="AT142" i="23424"/>
  <c r="AU142" i="23424"/>
  <c r="BH10" i="23424"/>
  <c r="BG10" i="23424"/>
  <c r="BG82" i="23424"/>
  <c r="BH82" i="23424"/>
  <c r="BH48" i="23424"/>
  <c r="BG48" i="23424"/>
  <c r="BH178" i="23424"/>
  <c r="BG178" i="23424"/>
  <c r="BH147" i="23424"/>
  <c r="BG147" i="23424"/>
  <c r="BG53" i="23424"/>
  <c r="BH53" i="23424"/>
  <c r="BG69" i="23424"/>
  <c r="BH69" i="23424"/>
  <c r="BH185" i="23424"/>
  <c r="BG185" i="23424"/>
  <c r="BH146" i="23424"/>
  <c r="BG146" i="23424"/>
  <c r="BD59" i="23424"/>
  <c r="BE59" i="23424"/>
  <c r="BE45" i="23424"/>
  <c r="BD45" i="23424"/>
  <c r="BE150" i="23424"/>
  <c r="BD150" i="23424"/>
  <c r="BD51" i="23424"/>
  <c r="BE51" i="23424"/>
  <c r="BE165" i="23424"/>
  <c r="BD165" i="23424"/>
  <c r="BE125" i="23424"/>
  <c r="BD125" i="23424"/>
  <c r="BD127" i="23424"/>
  <c r="BE127" i="23424"/>
  <c r="BD144" i="23424"/>
  <c r="BE144" i="23424"/>
  <c r="BD172" i="23424"/>
  <c r="BE172" i="23424"/>
  <c r="AO37" i="23424"/>
  <c r="AN37" i="23424"/>
  <c r="AN22" i="23424"/>
  <c r="AO22" i="23424"/>
  <c r="AO141" i="23424"/>
  <c r="AN141" i="23424"/>
  <c r="AO143" i="23424"/>
  <c r="AN143" i="23424"/>
  <c r="AO84" i="23424"/>
  <c r="AN84" i="23424"/>
  <c r="AN187" i="23424"/>
  <c r="AO187" i="23424"/>
  <c r="AO100" i="23424"/>
  <c r="AN100" i="23424"/>
  <c r="AN153" i="23424"/>
  <c r="AO153" i="23424"/>
  <c r="AN140" i="23424"/>
  <c r="AO140" i="23424"/>
  <c r="AQ156" i="23424"/>
  <c r="AR156" i="23424"/>
  <c r="AR104" i="23424"/>
  <c r="AQ104" i="23424"/>
  <c r="AQ149" i="23424"/>
  <c r="AR149" i="23424"/>
  <c r="AR169" i="23424"/>
  <c r="AQ169" i="23424"/>
  <c r="AR154" i="23424"/>
  <c r="AQ154" i="23424"/>
  <c r="AQ112" i="23424"/>
  <c r="AR112" i="23424"/>
  <c r="AR186" i="23424"/>
  <c r="AQ186" i="23424"/>
  <c r="AQ131" i="23424"/>
  <c r="AR131" i="23424"/>
  <c r="AQ188" i="23424"/>
  <c r="AR188" i="23424"/>
  <c r="AC134" i="23424"/>
  <c r="AB134" i="23424"/>
  <c r="AJ161" i="23424"/>
  <c r="AK161" i="23424"/>
  <c r="AG23" i="23424"/>
  <c r="AF23" i="23424"/>
  <c r="AF77" i="23424"/>
  <c r="AG77" i="23424"/>
  <c r="AY14" i="23424"/>
  <c r="AX14" i="23424"/>
  <c r="AY82" i="23424"/>
  <c r="AX82" i="23424"/>
  <c r="BB69" i="23424"/>
  <c r="BA69" i="23424"/>
  <c r="AU17" i="23424"/>
  <c r="AT17" i="23424"/>
  <c r="AU122" i="23424"/>
  <c r="AT122" i="23424"/>
  <c r="BG78" i="23424"/>
  <c r="BH78" i="23424"/>
  <c r="BH80" i="23424"/>
  <c r="BG80" i="23424"/>
  <c r="BE136" i="23424"/>
  <c r="BD136" i="23424"/>
  <c r="BD180" i="23424"/>
  <c r="BE180" i="23424"/>
  <c r="AO89" i="23424"/>
  <c r="AN89" i="23424"/>
  <c r="AR20" i="23424"/>
  <c r="AQ20" i="23424"/>
  <c r="AR177" i="23424"/>
  <c r="AQ177" i="23424"/>
  <c r="AB163" i="23424"/>
  <c r="AC163" i="23424"/>
  <c r="AK167" i="23424"/>
  <c r="AJ167" i="23424"/>
  <c r="AJ178" i="23424"/>
  <c r="AK178" i="23424"/>
  <c r="AF49" i="23424"/>
  <c r="AG49" i="23424"/>
  <c r="AX94" i="23424"/>
  <c r="AY94" i="23424"/>
  <c r="AY109" i="23424"/>
  <c r="AX109" i="23424"/>
  <c r="BA44" i="23424"/>
  <c r="BB44" i="23424"/>
  <c r="BB97" i="23424"/>
  <c r="BA97" i="23424"/>
  <c r="BB157" i="23424"/>
  <c r="BA157" i="23424"/>
  <c r="AT118" i="23424"/>
  <c r="AU118" i="23424"/>
  <c r="AU121" i="23424"/>
  <c r="AT121" i="23424"/>
  <c r="BG14" i="23424"/>
  <c r="BH14" i="23424"/>
  <c r="BG67" i="23424"/>
  <c r="BH67" i="23424"/>
  <c r="BD110" i="23424"/>
  <c r="BE110" i="23424"/>
  <c r="BE34" i="23424"/>
  <c r="BD34" i="23424"/>
  <c r="AO62" i="23424"/>
  <c r="AN62" i="23424"/>
  <c r="AN25" i="23424"/>
  <c r="AO25" i="23424"/>
  <c r="AR83" i="23424"/>
  <c r="AQ83" i="23424"/>
  <c r="AR28" i="23424"/>
  <c r="AQ28" i="23424"/>
  <c r="AQ101" i="23424"/>
  <c r="AR101" i="23424"/>
  <c r="AC165" i="23424"/>
  <c r="AB165" i="23424"/>
  <c r="AF109" i="23424"/>
  <c r="AG109" i="23424"/>
  <c r="AU45" i="23424"/>
  <c r="AT45" i="23424"/>
  <c r="AN26" i="23424"/>
  <c r="AO26" i="23424"/>
  <c r="AR14" i="23424"/>
  <c r="AQ14" i="23424"/>
  <c r="AQ143" i="23424"/>
  <c r="AR143" i="23424"/>
  <c r="AC33" i="23424"/>
  <c r="AB33" i="23424"/>
  <c r="AC178" i="23424"/>
  <c r="AB178" i="23424"/>
  <c r="AK39" i="23424"/>
  <c r="AJ39" i="23424"/>
  <c r="AF153" i="23424"/>
  <c r="AG153" i="23424"/>
  <c r="AG17" i="23424"/>
  <c r="AF17" i="23424"/>
  <c r="AX138" i="23424"/>
  <c r="AY138" i="23424"/>
  <c r="AY112" i="23424"/>
  <c r="AX112" i="23424"/>
  <c r="BB16" i="23424"/>
  <c r="BA16" i="23424"/>
  <c r="BB175" i="23424"/>
  <c r="BA175" i="23424"/>
  <c r="AU80" i="23424"/>
  <c r="AT80" i="23424"/>
  <c r="AU173" i="23424"/>
  <c r="AT173" i="23424"/>
  <c r="BG29" i="23424"/>
  <c r="BH29" i="23424"/>
  <c r="BH137" i="23424"/>
  <c r="BG137" i="23424"/>
  <c r="BE141" i="23424"/>
  <c r="BD141" i="23424"/>
  <c r="BE117" i="23424"/>
  <c r="BD117" i="23424"/>
  <c r="AO87" i="23424"/>
  <c r="AN87" i="23424"/>
  <c r="AO59" i="23424"/>
  <c r="AN59" i="23424"/>
  <c r="AR164" i="23424"/>
  <c r="AQ164" i="23424"/>
  <c r="AR10" i="23424"/>
  <c r="AQ10" i="23424"/>
  <c r="AC153" i="23424"/>
  <c r="AB153" i="23424"/>
  <c r="AK34" i="23424"/>
  <c r="AJ34" i="23424"/>
  <c r="AG33" i="23424"/>
  <c r="AF33" i="23424"/>
  <c r="AF145" i="23424"/>
  <c r="AG145" i="23424"/>
  <c r="AX113" i="23424"/>
  <c r="AY113" i="23424"/>
  <c r="BB51" i="23424"/>
  <c r="BA51" i="23424"/>
  <c r="AU59" i="23424"/>
  <c r="AT59" i="23424"/>
  <c r="AT111" i="23424"/>
  <c r="AU111" i="23424"/>
  <c r="AC44" i="23424"/>
  <c r="AB44" i="23424"/>
  <c r="AC118" i="23424"/>
  <c r="AB118" i="23424"/>
  <c r="AK52" i="23424"/>
  <c r="AJ52" i="23424"/>
  <c r="AK148" i="23424"/>
  <c r="AJ148" i="23424"/>
  <c r="AF18" i="23424"/>
  <c r="AG18" i="23424"/>
  <c r="AG48" i="23424"/>
  <c r="AF48" i="23424"/>
  <c r="AG124" i="23424"/>
  <c r="AF124" i="23424"/>
  <c r="AY166" i="23424"/>
  <c r="AX166" i="23424"/>
  <c r="AX38" i="23424"/>
  <c r="AY38" i="23424"/>
  <c r="AY180" i="23424"/>
  <c r="AX180" i="23424"/>
  <c r="BB48" i="23424"/>
  <c r="BA48" i="23424"/>
  <c r="BB12" i="23424"/>
  <c r="BA12" i="23424"/>
  <c r="BB129" i="23424"/>
  <c r="BA129" i="23424"/>
  <c r="AU46" i="23424"/>
  <c r="AT46" i="23424"/>
  <c r="AT75" i="23424"/>
  <c r="AU75" i="23424"/>
  <c r="AU119" i="23424"/>
  <c r="AT119" i="23424"/>
  <c r="AU150" i="23424"/>
  <c r="AT150" i="23424"/>
  <c r="BH21" i="23424"/>
  <c r="BG21" i="23424"/>
  <c r="BH168" i="23424"/>
  <c r="BG168" i="23424"/>
  <c r="BH66" i="23424"/>
  <c r="BG66" i="23424"/>
  <c r="BH154" i="23424"/>
  <c r="BG154" i="23424"/>
  <c r="BD44" i="23424"/>
  <c r="BE44" i="23424"/>
  <c r="BE60" i="23424"/>
  <c r="BD60" i="23424"/>
  <c r="BE179" i="23424"/>
  <c r="BD179" i="23424"/>
  <c r="AO11" i="23424"/>
  <c r="AN11" i="23424"/>
  <c r="AO93" i="23424"/>
  <c r="AN93" i="23424"/>
  <c r="AO158" i="23424"/>
  <c r="AN158" i="23424"/>
  <c r="AO168" i="23424"/>
  <c r="AN168" i="23424"/>
  <c r="AR73" i="23424"/>
  <c r="AQ73" i="23424"/>
  <c r="AR78" i="23424"/>
  <c r="AQ78" i="23424"/>
  <c r="AQ98" i="23424"/>
  <c r="AR98" i="23424"/>
  <c r="AB60" i="23424"/>
  <c r="AC60" i="23424"/>
  <c r="AK33" i="23424"/>
  <c r="AJ33" i="23424"/>
  <c r="AJ28" i="23424"/>
  <c r="AK28" i="23424"/>
  <c r="AF14" i="23424"/>
  <c r="AG14" i="23424"/>
  <c r="AY95" i="23424"/>
  <c r="AX95" i="23424"/>
  <c r="AY55" i="23424"/>
  <c r="AX55" i="23424"/>
  <c r="BB34" i="23424"/>
  <c r="BA34" i="23424"/>
  <c r="BB183" i="23424"/>
  <c r="BA183" i="23424"/>
  <c r="AU127" i="23424"/>
  <c r="AT127" i="23424"/>
  <c r="BG85" i="23424"/>
  <c r="BH85" i="23424"/>
  <c r="BE84" i="23424"/>
  <c r="BD84" i="23424"/>
  <c r="BE183" i="23424"/>
  <c r="BD183" i="23424"/>
  <c r="AO170" i="23424"/>
  <c r="AN170" i="23424"/>
  <c r="AQ150" i="23424"/>
  <c r="AR150" i="23424"/>
  <c r="AC88" i="23424"/>
  <c r="AB88" i="23424"/>
  <c r="AC161" i="23424"/>
  <c r="AB161" i="23424"/>
  <c r="AK48" i="23424"/>
  <c r="AJ48" i="23424"/>
  <c r="AG70" i="23424"/>
  <c r="AF70" i="23424"/>
  <c r="AG144" i="23424"/>
  <c r="AF144" i="23424"/>
  <c r="AY39" i="23424"/>
  <c r="AX39" i="23424"/>
  <c r="AX183" i="23424"/>
  <c r="AY183" i="23424"/>
  <c r="BA123" i="23424"/>
  <c r="BB123" i="23424"/>
  <c r="BB158" i="23424"/>
  <c r="BA158" i="23424"/>
  <c r="AU33" i="23424"/>
  <c r="AT33" i="23424"/>
  <c r="AU156" i="23424"/>
  <c r="AT156" i="23424"/>
  <c r="BH40" i="23424"/>
  <c r="BG40" i="23424"/>
  <c r="BH160" i="23424"/>
  <c r="BG160" i="23424"/>
  <c r="BE22" i="23424"/>
  <c r="BD22" i="23424"/>
  <c r="BD115" i="23424"/>
  <c r="BE115" i="23424"/>
  <c r="AO128" i="23424"/>
  <c r="AN128" i="23424"/>
  <c r="AN147" i="23424"/>
  <c r="AO147" i="23424"/>
  <c r="AQ42" i="23424"/>
  <c r="AR42" i="23424"/>
  <c r="AR144" i="23424"/>
  <c r="AQ144" i="23424"/>
  <c r="AC72" i="23424"/>
  <c r="AB72" i="23424"/>
  <c r="AG162" i="23424"/>
  <c r="AF162" i="23424"/>
  <c r="AU16" i="23424"/>
  <c r="AT16" i="23424"/>
  <c r="AQ72" i="23424"/>
  <c r="AR72" i="23424"/>
  <c r="AB16" i="23424"/>
  <c r="AC16" i="23424"/>
  <c r="AC20" i="23424"/>
  <c r="AB20" i="23424"/>
  <c r="AC177" i="23424"/>
  <c r="AB177" i="23424"/>
  <c r="AB50" i="23424"/>
  <c r="AC50" i="23424"/>
  <c r="AB43" i="23424"/>
  <c r="AC43" i="23424"/>
  <c r="AC170" i="23424"/>
  <c r="AB170" i="23424"/>
  <c r="AB171" i="23424"/>
  <c r="AC171" i="23424"/>
  <c r="AC140" i="23424"/>
  <c r="AB140" i="23424"/>
  <c r="AC167" i="23424"/>
  <c r="AB167" i="23424"/>
  <c r="AK131" i="23424"/>
  <c r="AJ131" i="23424"/>
  <c r="AK22" i="23424"/>
  <c r="AJ22" i="23424"/>
  <c r="AK139" i="23424"/>
  <c r="AJ139" i="23424"/>
  <c r="AK114" i="23424"/>
  <c r="AJ114" i="23424"/>
  <c r="AK57" i="23424"/>
  <c r="AJ57" i="23424"/>
  <c r="AK153" i="23424"/>
  <c r="AJ153" i="23424"/>
  <c r="AJ144" i="23424"/>
  <c r="AK144" i="23424"/>
  <c r="AJ159" i="23424"/>
  <c r="AK159" i="23424"/>
  <c r="AJ169" i="23424"/>
  <c r="AK169" i="23424"/>
  <c r="AG82" i="23424"/>
  <c r="AF82" i="23424"/>
  <c r="AG40" i="23424"/>
  <c r="AF40" i="23424"/>
  <c r="AG120" i="23424"/>
  <c r="AF120" i="23424"/>
  <c r="AG168" i="23424"/>
  <c r="AF168" i="23424"/>
  <c r="AG102" i="23424"/>
  <c r="AF102" i="23424"/>
  <c r="AF68" i="23424"/>
  <c r="AG68" i="23424"/>
  <c r="AF101" i="23424"/>
  <c r="AG101" i="23424"/>
  <c r="AF142" i="23424"/>
  <c r="AG142" i="23424"/>
  <c r="AF158" i="23424"/>
  <c r="AG158" i="23424"/>
  <c r="AX15" i="23424"/>
  <c r="AY15" i="23424"/>
  <c r="AY40" i="23424"/>
  <c r="AX40" i="23424"/>
  <c r="AY108" i="23424"/>
  <c r="AX108" i="23424"/>
  <c r="AY83" i="23424"/>
  <c r="AX83" i="23424"/>
  <c r="AY86" i="23424"/>
  <c r="AX86" i="23424"/>
  <c r="AX59" i="23424"/>
  <c r="AY59" i="23424"/>
  <c r="AY73" i="23424"/>
  <c r="AX73" i="23424"/>
  <c r="AX168" i="23424"/>
  <c r="AY168" i="23424"/>
  <c r="AY153" i="23424"/>
  <c r="AX153" i="23424"/>
  <c r="BA28" i="23424"/>
  <c r="BB28" i="23424"/>
  <c r="BB30" i="23424"/>
  <c r="BA30" i="23424"/>
  <c r="BB39" i="23424"/>
  <c r="BA39" i="23424"/>
  <c r="BB42" i="23424"/>
  <c r="BA42" i="23424"/>
  <c r="BB180" i="23424"/>
  <c r="BA180" i="23424"/>
  <c r="BB98" i="23424"/>
  <c r="BA98" i="23424"/>
  <c r="BA163" i="23424"/>
  <c r="BB163" i="23424"/>
  <c r="BA173" i="23424"/>
  <c r="BB173" i="23424"/>
  <c r="BB164" i="23424"/>
  <c r="BA164" i="23424"/>
  <c r="AU54" i="23424"/>
  <c r="AT54" i="23424"/>
  <c r="AU25" i="23424"/>
  <c r="AT25" i="23424"/>
  <c r="AU175" i="23424"/>
  <c r="AT175" i="23424"/>
  <c r="AU117" i="23424"/>
  <c r="AT117" i="23424"/>
  <c r="AU81" i="23424"/>
  <c r="AT81" i="23424"/>
  <c r="AU116" i="23424"/>
  <c r="AT116" i="23424"/>
  <c r="AT65" i="23424"/>
  <c r="AU65" i="23424"/>
  <c r="AU146" i="23424"/>
  <c r="AT146" i="23424"/>
  <c r="AT162" i="23424"/>
  <c r="AU162" i="23424"/>
  <c r="BH35" i="23424"/>
  <c r="BG35" i="23424"/>
  <c r="BH135" i="23424"/>
  <c r="BG135" i="23424"/>
  <c r="BG77" i="23424"/>
  <c r="BH77" i="23424"/>
  <c r="BH110" i="23424"/>
  <c r="BG110" i="23424"/>
  <c r="BH169" i="23424"/>
  <c r="BG169" i="23424"/>
  <c r="BG68" i="23424"/>
  <c r="BH68" i="23424"/>
  <c r="BG89" i="23424"/>
  <c r="BH89" i="23424"/>
  <c r="BG128" i="23424"/>
  <c r="BH128" i="23424"/>
  <c r="BH166" i="23424"/>
  <c r="BG166" i="23424"/>
  <c r="BE21" i="23424"/>
  <c r="BD21" i="23424"/>
  <c r="BE49" i="23424"/>
  <c r="BD49" i="23424"/>
  <c r="BE146" i="23424"/>
  <c r="BD146" i="23424"/>
  <c r="BD68" i="23424"/>
  <c r="BE68" i="23424"/>
  <c r="BD178" i="23424"/>
  <c r="BE178" i="23424"/>
  <c r="BD76" i="23424"/>
  <c r="BE76" i="23424"/>
  <c r="BE129" i="23424"/>
  <c r="BD129" i="23424"/>
  <c r="BD167" i="23424"/>
  <c r="BE167" i="23424"/>
  <c r="BE155" i="23424"/>
  <c r="BD155" i="23424"/>
  <c r="AN53" i="23424"/>
  <c r="AO53" i="23424"/>
  <c r="AO28" i="23424"/>
  <c r="AN28" i="23424"/>
  <c r="AO41" i="23424"/>
  <c r="AN41" i="23424"/>
  <c r="AN101" i="23424"/>
  <c r="AO101" i="23424"/>
  <c r="AN104" i="23424"/>
  <c r="AO104" i="23424"/>
  <c r="AO135" i="23424"/>
  <c r="AN135" i="23424"/>
  <c r="AO116" i="23424"/>
  <c r="AN116" i="23424"/>
  <c r="AO184" i="23424"/>
  <c r="AN184" i="23424"/>
  <c r="AO160" i="23424"/>
  <c r="AN160" i="23424"/>
  <c r="AQ25" i="23424"/>
  <c r="AR25" i="23424"/>
  <c r="AR80" i="23424"/>
  <c r="AQ80" i="23424"/>
  <c r="AR53" i="23424"/>
  <c r="AQ53" i="23424"/>
  <c r="AR13" i="23424"/>
  <c r="AQ13" i="23424"/>
  <c r="AR174" i="23424"/>
  <c r="AQ174" i="23424"/>
  <c r="AR113" i="23424"/>
  <c r="AQ113" i="23424"/>
  <c r="AR71" i="23424"/>
  <c r="AQ71" i="23424"/>
  <c r="AR166" i="23424"/>
  <c r="AQ166" i="23424"/>
  <c r="AR151" i="23424"/>
  <c r="AQ151" i="23424"/>
  <c r="AC51" i="23424"/>
  <c r="AB51" i="23424"/>
  <c r="AK119" i="23424"/>
  <c r="AJ119" i="23424"/>
  <c r="AK63" i="23424"/>
  <c r="AJ63" i="23424"/>
  <c r="AF119" i="23424"/>
  <c r="AG119" i="23424"/>
  <c r="AG148" i="23424"/>
  <c r="AF148" i="23424"/>
  <c r="AY137" i="23424"/>
  <c r="AX137" i="23424"/>
  <c r="BB10" i="23424"/>
  <c r="BA10" i="23424"/>
  <c r="BB104" i="23424"/>
  <c r="BA104" i="23424"/>
  <c r="AU171" i="23424"/>
  <c r="AT171" i="23424"/>
  <c r="AU183" i="23424"/>
  <c r="AT183" i="23424"/>
  <c r="BH51" i="23424"/>
  <c r="BG51" i="23424"/>
  <c r="BE57" i="23424"/>
  <c r="BD57" i="23424"/>
  <c r="BE69" i="23424"/>
  <c r="BD69" i="23424"/>
  <c r="AO123" i="23424"/>
  <c r="AN123" i="23424"/>
  <c r="AR162" i="23424"/>
  <c r="AQ162" i="23424"/>
  <c r="AC11" i="23424"/>
  <c r="AB11" i="23424"/>
  <c r="AC52" i="23424"/>
  <c r="AB52" i="23424"/>
  <c r="AC139" i="23424"/>
  <c r="AB139" i="23424"/>
  <c r="AK38" i="23424"/>
  <c r="AJ38" i="23424"/>
  <c r="AK133" i="23424"/>
  <c r="AJ133" i="23424"/>
  <c r="AF163" i="23424"/>
  <c r="AG163" i="23424"/>
  <c r="AF177" i="23424"/>
  <c r="AG177" i="23424"/>
  <c r="AX142" i="23424"/>
  <c r="AY142" i="23424"/>
  <c r="BA49" i="23424"/>
  <c r="BB49" i="23424"/>
  <c r="BA151" i="23424"/>
  <c r="BB151" i="23424"/>
  <c r="AU74" i="23424"/>
  <c r="AT74" i="23424"/>
  <c r="BH188" i="23424"/>
  <c r="BG188" i="23424"/>
  <c r="BH100" i="23424"/>
  <c r="BG100" i="23424"/>
  <c r="BE38" i="23424"/>
  <c r="BD38" i="23424"/>
  <c r="BE61" i="23424"/>
  <c r="BD61" i="23424"/>
  <c r="AO97" i="23424"/>
  <c r="AN97" i="23424"/>
  <c r="AO146" i="23424"/>
  <c r="AN146" i="23424"/>
  <c r="AR89" i="23424"/>
  <c r="AQ89" i="23424"/>
  <c r="AB36" i="23424"/>
  <c r="AC36" i="23424"/>
  <c r="AC91" i="23424"/>
  <c r="AB91" i="23424"/>
  <c r="AJ110" i="23424"/>
  <c r="AK110" i="23424"/>
  <c r="AK29" i="23424"/>
  <c r="AJ29" i="23424"/>
  <c r="AK103" i="23424"/>
  <c r="AJ103" i="23424"/>
  <c r="AF151" i="23424"/>
  <c r="AG151" i="23424"/>
  <c r="AF99" i="23424"/>
  <c r="AG99" i="23424"/>
  <c r="AF58" i="23424"/>
  <c r="AG58" i="23424"/>
  <c r="AY11" i="23424"/>
  <c r="AX11" i="23424"/>
  <c r="AY25" i="23424"/>
  <c r="AX25" i="23424"/>
  <c r="AY162" i="23424"/>
  <c r="AX162" i="23424"/>
  <c r="AY79" i="23424"/>
  <c r="AX79" i="23424"/>
  <c r="BA80" i="23424"/>
  <c r="BB80" i="23424"/>
  <c r="BA160" i="23424"/>
  <c r="BB160" i="23424"/>
  <c r="BB131" i="23424"/>
  <c r="BA131" i="23424"/>
  <c r="AU164" i="23424"/>
  <c r="AT164" i="23424"/>
  <c r="AT149" i="23424"/>
  <c r="AU149" i="23424"/>
  <c r="AT137" i="23424"/>
  <c r="AU137" i="23424"/>
  <c r="AU135" i="23424"/>
  <c r="AT135" i="23424"/>
  <c r="BH112" i="23424"/>
  <c r="BG112" i="23424"/>
  <c r="BG41" i="23424"/>
  <c r="BH41" i="23424"/>
  <c r="BG99" i="23424"/>
  <c r="BH99" i="23424"/>
  <c r="BH155" i="23424"/>
  <c r="BG155" i="23424"/>
  <c r="BE99" i="23424"/>
  <c r="BD99" i="23424"/>
  <c r="BD39" i="23424"/>
  <c r="BE39" i="23424"/>
  <c r="BD37" i="23424"/>
  <c r="BE37" i="23424"/>
  <c r="BD52" i="23424"/>
  <c r="BE52" i="23424"/>
  <c r="BE158" i="23424"/>
  <c r="BD158" i="23424"/>
  <c r="AO90" i="23424"/>
  <c r="AN90" i="23424"/>
  <c r="AO130" i="23424"/>
  <c r="AN130" i="23424"/>
  <c r="AO171" i="23424"/>
  <c r="AN171" i="23424"/>
  <c r="AQ21" i="23424"/>
  <c r="AR21" i="23424"/>
  <c r="AQ132" i="23424"/>
  <c r="AR132" i="23424"/>
  <c r="AR44" i="23424"/>
  <c r="AQ44" i="23424"/>
  <c r="AC94" i="23424"/>
  <c r="AB94" i="23424"/>
  <c r="AK188" i="23424"/>
  <c r="AJ188" i="23424"/>
  <c r="AJ45" i="23424"/>
  <c r="AK45" i="23424"/>
  <c r="AK181" i="23424"/>
  <c r="AJ181" i="23424"/>
  <c r="AG87" i="23424"/>
  <c r="AF87" i="23424"/>
  <c r="AG78" i="23424"/>
  <c r="AF78" i="23424"/>
  <c r="AY97" i="23424"/>
  <c r="AX97" i="23424"/>
  <c r="AY43" i="23424"/>
  <c r="AX43" i="23424"/>
  <c r="AY99" i="23424"/>
  <c r="AX99" i="23424"/>
  <c r="BB29" i="23424"/>
  <c r="BA29" i="23424"/>
  <c r="BB115" i="23424"/>
  <c r="BA115" i="23424"/>
  <c r="BA167" i="23424"/>
  <c r="BB167" i="23424"/>
  <c r="AT34" i="23424"/>
  <c r="AU34" i="23424"/>
  <c r="AU178" i="23424"/>
  <c r="AT178" i="23424"/>
  <c r="AU76" i="23424"/>
  <c r="AT76" i="23424"/>
  <c r="BH70" i="23424"/>
  <c r="BG70" i="23424"/>
  <c r="BH98" i="23424"/>
  <c r="BG98" i="23424"/>
  <c r="BG25" i="23424"/>
  <c r="BH25" i="23424"/>
  <c r="BG179" i="23424"/>
  <c r="BH179" i="23424"/>
  <c r="BE134" i="23424"/>
  <c r="BD134" i="23424"/>
  <c r="BE123" i="23424"/>
  <c r="BD123" i="23424"/>
  <c r="BE73" i="23424"/>
  <c r="BD73" i="23424"/>
  <c r="BD185" i="23424"/>
  <c r="BE185" i="23424"/>
  <c r="AO38" i="23424"/>
  <c r="AN38" i="23424"/>
  <c r="AO29" i="23424"/>
  <c r="AN29" i="23424"/>
  <c r="AO138" i="23424"/>
  <c r="AN138" i="23424"/>
  <c r="AR15" i="23424"/>
  <c r="AQ15" i="23424"/>
  <c r="AR137" i="23424"/>
  <c r="AQ137" i="23424"/>
  <c r="AR67" i="23424"/>
  <c r="AQ67" i="23424"/>
  <c r="AC97" i="23424"/>
  <c r="AB97" i="23424"/>
  <c r="AK59" i="23424"/>
  <c r="AJ59" i="23424"/>
  <c r="AF112" i="23424"/>
  <c r="AG112" i="23424"/>
  <c r="AY156" i="23424"/>
  <c r="AX156" i="23424"/>
  <c r="AY135" i="23424"/>
  <c r="AX135" i="23424"/>
  <c r="BA54" i="23424"/>
  <c r="BB54" i="23424"/>
  <c r="AU22" i="23424"/>
  <c r="AT22" i="23424"/>
  <c r="BH50" i="23424"/>
  <c r="BG50" i="23424"/>
  <c r="AB55" i="23424"/>
  <c r="AC55" i="23424"/>
  <c r="AC155" i="23424"/>
  <c r="AB155" i="23424"/>
  <c r="AK158" i="23424"/>
  <c r="AJ158" i="23424"/>
  <c r="AF74" i="23424"/>
  <c r="AG74" i="23424"/>
  <c r="AY77" i="23424"/>
  <c r="AX77" i="23424"/>
  <c r="AY133" i="23424"/>
  <c r="AX133" i="23424"/>
  <c r="BA63" i="23424"/>
  <c r="BB63" i="23424"/>
  <c r="BB152" i="23424"/>
  <c r="BA152" i="23424"/>
  <c r="AT97" i="23424"/>
  <c r="AU97" i="23424"/>
  <c r="BG131" i="23424"/>
  <c r="BH131" i="23424"/>
  <c r="BD18" i="23424"/>
  <c r="BE18" i="23424"/>
  <c r="BE163" i="23424"/>
  <c r="BD163" i="23424"/>
  <c r="AN35" i="23424"/>
  <c r="AO35" i="23424"/>
  <c r="AQ126" i="23424"/>
  <c r="AR126" i="23424"/>
  <c r="AR115" i="23424"/>
  <c r="AQ115" i="23424"/>
  <c r="AB111" i="23424"/>
  <c r="AC111" i="23424"/>
  <c r="AB98" i="23424"/>
  <c r="AC98" i="23424"/>
  <c r="AK24" i="23424"/>
  <c r="AJ24" i="23424"/>
  <c r="AK69" i="23424"/>
  <c r="AJ69" i="23424"/>
  <c r="AG29" i="23424"/>
  <c r="AF29" i="23424"/>
  <c r="AG159" i="23424"/>
  <c r="AF159" i="23424"/>
  <c r="AG186" i="23424"/>
  <c r="AF186" i="23424"/>
  <c r="AY103" i="23424"/>
  <c r="AX103" i="23424"/>
  <c r="AY159" i="23424"/>
  <c r="AX159" i="23424"/>
  <c r="BB94" i="23424"/>
  <c r="BA94" i="23424"/>
  <c r="BB172" i="23424"/>
  <c r="BA172" i="23424"/>
  <c r="AT151" i="23424"/>
  <c r="AU151" i="23424"/>
  <c r="AT139" i="23424"/>
  <c r="AU139" i="23424"/>
  <c r="BH26" i="23424"/>
  <c r="BG26" i="23424"/>
  <c r="BH113" i="23424"/>
  <c r="BG113" i="23424"/>
  <c r="BH174" i="23424"/>
  <c r="BG174" i="23424"/>
  <c r="BE32" i="23424"/>
  <c r="BD32" i="23424"/>
  <c r="BD77" i="23424"/>
  <c r="BE77" i="23424"/>
  <c r="AO45" i="23424"/>
  <c r="AN45" i="23424"/>
  <c r="AN126" i="23424"/>
  <c r="AO126" i="23424"/>
  <c r="AO57" i="23424"/>
  <c r="AN57" i="23424"/>
  <c r="AO188" i="23424"/>
  <c r="AN188" i="23424"/>
  <c r="AR75" i="23424"/>
  <c r="AQ75" i="23424"/>
  <c r="AQ130" i="23424"/>
  <c r="AR130" i="23424"/>
  <c r="AB79" i="23424"/>
  <c r="AC79" i="23424"/>
  <c r="AC186" i="23424"/>
  <c r="AB186" i="23424"/>
  <c r="AK130" i="23424"/>
  <c r="AJ130" i="23424"/>
  <c r="AG30" i="23424"/>
  <c r="AF30" i="23424"/>
  <c r="AG187" i="23424"/>
  <c r="AF187" i="23424"/>
  <c r="AX69" i="23424"/>
  <c r="AY69" i="23424"/>
  <c r="AY87" i="23424"/>
  <c r="AX87" i="23424"/>
  <c r="BB24" i="23424"/>
  <c r="BA24" i="23424"/>
  <c r="BB185" i="23424"/>
  <c r="BA185" i="23424"/>
  <c r="AU107" i="23424"/>
  <c r="AT107" i="23424"/>
  <c r="AU158" i="23424"/>
  <c r="AT158" i="23424"/>
  <c r="BH102" i="23424"/>
  <c r="BG102" i="23424"/>
  <c r="BH120" i="23424"/>
  <c r="BG120" i="23424"/>
  <c r="BH164" i="23424"/>
  <c r="BG164" i="23424"/>
  <c r="BE63" i="23424"/>
  <c r="BD63" i="23424"/>
  <c r="BE107" i="23424"/>
  <c r="BD107" i="23424"/>
  <c r="BE170" i="23424"/>
  <c r="BD170" i="23424"/>
  <c r="AO33" i="23424"/>
  <c r="AN33" i="23424"/>
  <c r="AN24" i="23424"/>
  <c r="AO24" i="23424"/>
  <c r="AO134" i="23424"/>
  <c r="AN134" i="23424"/>
  <c r="AR40" i="23424"/>
  <c r="AQ40" i="23424"/>
  <c r="AR88" i="23424"/>
  <c r="AQ88" i="23424"/>
  <c r="AQ102" i="23424"/>
  <c r="AR102" i="23424"/>
  <c r="AR138" i="23424"/>
  <c r="AQ138" i="23424"/>
  <c r="AC21" i="23424"/>
  <c r="AB21" i="23424"/>
  <c r="AG45" i="23424"/>
  <c r="AF45" i="23424"/>
  <c r="BB90" i="23424"/>
  <c r="BA90" i="23424"/>
  <c r="AR163" i="23424"/>
  <c r="AQ163" i="23424"/>
  <c r="AB30" i="23424"/>
  <c r="AC30" i="23424"/>
  <c r="AC86" i="23424"/>
  <c r="AB86" i="23424"/>
  <c r="AB17" i="23424"/>
  <c r="AC17" i="23424"/>
  <c r="AB53" i="23424"/>
  <c r="AC53" i="23424"/>
  <c r="AC75" i="23424"/>
  <c r="AB75" i="23424"/>
  <c r="AC81" i="23424"/>
  <c r="AB81" i="23424"/>
  <c r="AB176" i="23424"/>
  <c r="AC176" i="23424"/>
  <c r="AB144" i="23424"/>
  <c r="AC144" i="23424"/>
  <c r="AC187" i="23424"/>
  <c r="AB187" i="23424"/>
  <c r="AK140" i="23424"/>
  <c r="AJ140" i="23424"/>
  <c r="AK51" i="23424"/>
  <c r="AJ51" i="23424"/>
  <c r="AJ71" i="23424"/>
  <c r="AK71" i="23424"/>
  <c r="AK160" i="23424"/>
  <c r="AJ160" i="23424"/>
  <c r="AJ58" i="23424"/>
  <c r="AK58" i="23424"/>
  <c r="AK50" i="23424"/>
  <c r="AJ50" i="23424"/>
  <c r="AK75" i="23424"/>
  <c r="AJ75" i="23424"/>
  <c r="AK171" i="23424"/>
  <c r="AJ171" i="23424"/>
  <c r="AK189" i="23424"/>
  <c r="AJ189" i="23424"/>
  <c r="AG65" i="23424"/>
  <c r="AF65" i="23424"/>
  <c r="AF24" i="23424"/>
  <c r="AG24" i="23424"/>
  <c r="AF12" i="23424"/>
  <c r="AG12" i="23424"/>
  <c r="AG57" i="23424"/>
  <c r="AF57" i="23424"/>
  <c r="AG103" i="23424"/>
  <c r="AF103" i="23424"/>
  <c r="AG66" i="23424"/>
  <c r="AF66" i="23424"/>
  <c r="AF126" i="23424"/>
  <c r="AG126" i="23424"/>
  <c r="AG157" i="23424"/>
  <c r="AF157" i="23424"/>
  <c r="AG178" i="23424"/>
  <c r="AF178" i="23424"/>
  <c r="AX115" i="23424"/>
  <c r="AY115" i="23424"/>
  <c r="AX50" i="23424"/>
  <c r="AY50" i="23424"/>
  <c r="AY120" i="23424"/>
  <c r="AX120" i="23424"/>
  <c r="AY100" i="23424"/>
  <c r="AX100" i="23424"/>
  <c r="AY117" i="23424"/>
  <c r="AX117" i="23424"/>
  <c r="AX78" i="23424"/>
  <c r="AY78" i="23424"/>
  <c r="AY93" i="23424"/>
  <c r="AX93" i="23424"/>
  <c r="AX178" i="23424"/>
  <c r="AY178" i="23424"/>
  <c r="AY173" i="23424"/>
  <c r="AX173" i="23424"/>
  <c r="BB101" i="23424"/>
  <c r="BA101" i="23424"/>
  <c r="BB72" i="23424"/>
  <c r="BA72" i="23424"/>
  <c r="BA120" i="23424"/>
  <c r="BB120" i="23424"/>
  <c r="BB61" i="23424"/>
  <c r="BA61" i="23424"/>
  <c r="BA40" i="23424"/>
  <c r="BB40" i="23424"/>
  <c r="BB128" i="23424"/>
  <c r="BA128" i="23424"/>
  <c r="BB124" i="23424"/>
  <c r="BA124" i="23424"/>
  <c r="BA126" i="23424"/>
  <c r="BB126" i="23424"/>
  <c r="BA184" i="23424"/>
  <c r="BB184" i="23424"/>
  <c r="AU14" i="23424"/>
  <c r="AT14" i="23424"/>
  <c r="AU131" i="23424"/>
  <c r="AT131" i="23424"/>
  <c r="AT36" i="23424"/>
  <c r="AU36" i="23424"/>
  <c r="AU109" i="23424"/>
  <c r="AT109" i="23424"/>
  <c r="AU95" i="23424"/>
  <c r="AT95" i="23424"/>
  <c r="AU136" i="23424"/>
  <c r="AT136" i="23424"/>
  <c r="AT85" i="23424"/>
  <c r="AU85" i="23424"/>
  <c r="AT167" i="23424"/>
  <c r="AU167" i="23424"/>
  <c r="AU182" i="23424"/>
  <c r="AT182" i="23424"/>
  <c r="BH64" i="23424"/>
  <c r="BG64" i="23424"/>
  <c r="BH33" i="23424"/>
  <c r="BG33" i="23424"/>
  <c r="BH145" i="23424"/>
  <c r="BG145" i="23424"/>
  <c r="BH167" i="23424"/>
  <c r="BG167" i="23424"/>
  <c r="BH47" i="23424"/>
  <c r="BG47" i="23424"/>
  <c r="BH165" i="23424"/>
  <c r="BG165" i="23424"/>
  <c r="BG109" i="23424"/>
  <c r="BH109" i="23424"/>
  <c r="BG142" i="23424"/>
  <c r="BH142" i="23424"/>
  <c r="BG186" i="23424"/>
  <c r="BH186" i="23424"/>
  <c r="BD138" i="23424"/>
  <c r="BE138" i="23424"/>
  <c r="BD70" i="23424"/>
  <c r="BE70" i="23424"/>
  <c r="BE25" i="23424"/>
  <c r="BD25" i="23424"/>
  <c r="BE71" i="23424"/>
  <c r="BD71" i="23424"/>
  <c r="BE124" i="23424"/>
  <c r="BD124" i="23424"/>
  <c r="BD102" i="23424"/>
  <c r="BE102" i="23424"/>
  <c r="BE153" i="23424"/>
  <c r="BD153" i="23424"/>
  <c r="BD140" i="23424"/>
  <c r="BE140" i="23424"/>
  <c r="BE175" i="23424"/>
  <c r="BD175" i="23424"/>
  <c r="AO99" i="23424"/>
  <c r="AN99" i="23424"/>
  <c r="AO70" i="23424"/>
  <c r="AN70" i="23424"/>
  <c r="AO142" i="23424"/>
  <c r="AN142" i="23424"/>
  <c r="AO58" i="23424"/>
  <c r="AN58" i="23424"/>
  <c r="AO105" i="23424"/>
  <c r="AN105" i="23424"/>
  <c r="AO139" i="23424"/>
  <c r="AN139" i="23424"/>
  <c r="AO152" i="23424"/>
  <c r="AN152" i="23424"/>
  <c r="AN136" i="23424"/>
  <c r="AO136" i="23424"/>
  <c r="AO180" i="23424"/>
  <c r="AN180" i="23424"/>
  <c r="AR84" i="23424"/>
  <c r="AQ84" i="23424"/>
  <c r="AQ35" i="23424"/>
  <c r="AR35" i="23424"/>
  <c r="AR57" i="23424"/>
  <c r="AQ57" i="23424"/>
  <c r="AR24" i="23424"/>
  <c r="AQ24" i="23424"/>
  <c r="AR181" i="23424"/>
  <c r="AQ181" i="23424"/>
  <c r="AQ133" i="23424"/>
  <c r="AR133" i="23424"/>
  <c r="AR91" i="23424"/>
  <c r="AQ91" i="23424"/>
  <c r="AQ178" i="23424"/>
  <c r="AR178" i="23424"/>
  <c r="AQ171" i="23424"/>
  <c r="AR171" i="23424"/>
  <c r="AY9" i="23424"/>
  <c r="AJ9" i="23424"/>
  <c r="AG9" i="23424"/>
  <c r="BD9" i="23424"/>
  <c r="AN9" i="23424"/>
  <c r="AT9" i="23424"/>
  <c r="BB9" i="23424"/>
  <c r="BH9" i="23424"/>
  <c r="AC9" i="23424"/>
  <c r="AQ9" i="23424"/>
  <c r="AQ116" i="2"/>
  <c r="AQ115" i="2"/>
  <c r="AQ114" i="2"/>
  <c r="AQ113" i="2"/>
  <c r="AQ112" i="2"/>
  <c r="AQ111" i="2"/>
  <c r="AQ106" i="2"/>
  <c r="AQ96" i="2"/>
  <c r="AQ95" i="2"/>
  <c r="AQ94" i="2"/>
  <c r="AQ93" i="2"/>
  <c r="AQ92" i="2"/>
  <c r="AQ91" i="2"/>
  <c r="AQ86" i="2"/>
  <c r="AQ70" i="2"/>
  <c r="AQ69" i="2"/>
  <c r="AQ68" i="2"/>
  <c r="AQ67" i="2"/>
  <c r="AQ66" i="2"/>
  <c r="AQ65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4" i="2"/>
  <c r="AQ43" i="2"/>
  <c r="AQ38" i="2"/>
  <c r="AQ37" i="2"/>
  <c r="AQ36" i="2"/>
  <c r="AQ35" i="2"/>
  <c r="AQ34" i="2"/>
  <c r="AQ33" i="2"/>
  <c r="AQ28" i="2"/>
  <c r="N65" i="23420" l="1"/>
  <c r="P12" i="23420"/>
  <c r="N29" i="23420" l="1"/>
  <c r="N156" i="23420"/>
  <c r="N84" i="23420"/>
  <c r="N83" i="23420"/>
  <c r="N66" i="23420"/>
  <c r="N12" i="23420"/>
  <c r="N11" i="23420"/>
  <c r="N102" i="23420"/>
  <c r="N101" i="23420"/>
  <c r="N137" i="23420"/>
  <c r="N138" i="23420"/>
  <c r="P11" i="23420"/>
  <c r="N155" i="23420"/>
  <c r="N30" i="23420" l="1"/>
  <c r="R78" i="23422" l="1"/>
  <c r="Q78" i="23422"/>
  <c r="R41" i="23422"/>
  <c r="Q41" i="23422"/>
  <c r="R77" i="23422"/>
  <c r="Q77" i="23422"/>
  <c r="R76" i="23422"/>
  <c r="Q76" i="23422"/>
  <c r="R75" i="23422"/>
  <c r="Q75" i="23422"/>
  <c r="R74" i="23422"/>
  <c r="Q74" i="23422"/>
  <c r="R73" i="23422"/>
  <c r="Q73" i="23422"/>
  <c r="R72" i="23422"/>
  <c r="Q72" i="23422"/>
  <c r="R71" i="23422"/>
  <c r="Q71" i="23422"/>
  <c r="R70" i="23422"/>
  <c r="Q70" i="23422"/>
  <c r="R69" i="23422"/>
  <c r="Q69" i="23422"/>
  <c r="R68" i="23422"/>
  <c r="Q68" i="23422"/>
  <c r="R342" i="23422"/>
  <c r="Q342" i="23422"/>
  <c r="R341" i="23422"/>
  <c r="Q341" i="23422"/>
  <c r="R340" i="23422"/>
  <c r="Q340" i="23422"/>
  <c r="R339" i="23422"/>
  <c r="Q339" i="23422"/>
  <c r="R338" i="23422"/>
  <c r="Q338" i="23422"/>
  <c r="R337" i="23422"/>
  <c r="Q337" i="23422"/>
  <c r="R336" i="23422"/>
  <c r="Q336" i="23422"/>
  <c r="R335" i="23422"/>
  <c r="Q335" i="23422"/>
  <c r="R334" i="23422"/>
  <c r="Q334" i="23422"/>
  <c r="R333" i="23422"/>
  <c r="Q333" i="23422"/>
  <c r="R332" i="23422"/>
  <c r="Q332" i="23422"/>
  <c r="R331" i="23422"/>
  <c r="Q331" i="23422"/>
  <c r="R733" i="23422"/>
  <c r="Q733" i="23422"/>
  <c r="R732" i="23422"/>
  <c r="Q732" i="23422"/>
  <c r="R731" i="23422"/>
  <c r="Q731" i="23422"/>
  <c r="R730" i="23422"/>
  <c r="Q730" i="23422"/>
  <c r="R729" i="23422"/>
  <c r="Q729" i="23422"/>
  <c r="R728" i="23422"/>
  <c r="Q728" i="23422"/>
  <c r="R618" i="23422"/>
  <c r="Q618" i="23422"/>
  <c r="R581" i="23422"/>
  <c r="Q581" i="23422"/>
  <c r="R617" i="23422"/>
  <c r="Q617" i="23422"/>
  <c r="R616" i="23422"/>
  <c r="Q616" i="23422"/>
  <c r="R615" i="23422"/>
  <c r="Q615" i="23422"/>
  <c r="R614" i="23422"/>
  <c r="Q614" i="23422"/>
  <c r="R657" i="23422"/>
  <c r="Q657" i="23422"/>
  <c r="R656" i="23422"/>
  <c r="Q656" i="23422"/>
  <c r="R655" i="23422"/>
  <c r="Q655" i="23422"/>
  <c r="R654" i="23422"/>
  <c r="Q654" i="23422"/>
  <c r="R546" i="23422"/>
  <c r="Q546" i="23422"/>
  <c r="R545" i="23422"/>
  <c r="Q545" i="23422"/>
  <c r="R544" i="23422"/>
  <c r="Q544" i="23422"/>
  <c r="R543" i="23422"/>
  <c r="Q543" i="23422"/>
  <c r="R542" i="23422"/>
  <c r="Q542" i="23422"/>
  <c r="R541" i="23422"/>
  <c r="Q541" i="23422"/>
  <c r="R486" i="23422"/>
  <c r="Q486" i="23422"/>
  <c r="R485" i="23422"/>
  <c r="Q485" i="23422"/>
  <c r="R648" i="23422"/>
  <c r="Q648" i="23422"/>
  <c r="R647" i="23422"/>
  <c r="Q647" i="23422"/>
  <c r="R646" i="23422"/>
  <c r="Q646" i="23422"/>
  <c r="R645" i="23422"/>
  <c r="Q645" i="23422"/>
  <c r="R644" i="23422"/>
  <c r="Q644" i="23422"/>
  <c r="R643" i="23422"/>
  <c r="Q643" i="23422"/>
  <c r="R540" i="23422"/>
  <c r="Q540" i="23422"/>
  <c r="R539" i="23422"/>
  <c r="Q539" i="23422"/>
  <c r="R538" i="23422"/>
  <c r="Q538" i="23422"/>
  <c r="R537" i="23422"/>
  <c r="Q537" i="23422"/>
  <c r="R536" i="23422"/>
  <c r="Q536" i="23422"/>
  <c r="R535" i="23422"/>
  <c r="Q535" i="23422"/>
  <c r="R473" i="23422"/>
  <c r="Q473" i="23422"/>
  <c r="R472" i="23422"/>
  <c r="Q472" i="23422"/>
  <c r="R471" i="23422"/>
  <c r="Q471" i="23422"/>
  <c r="R482" i="23422"/>
  <c r="Q482" i="23422"/>
  <c r="R470" i="23422"/>
  <c r="Q470" i="23422"/>
  <c r="R469" i="23422"/>
  <c r="Q469" i="23422"/>
  <c r="R468" i="23422"/>
  <c r="Q468" i="23422"/>
  <c r="R467" i="23422"/>
  <c r="Q467" i="23422"/>
  <c r="R466" i="23422"/>
  <c r="Q466" i="23422"/>
  <c r="R465" i="23422"/>
  <c r="Q465" i="23422"/>
  <c r="R464" i="23422"/>
  <c r="Q464" i="23422"/>
  <c r="R463" i="23422"/>
  <c r="Q463" i="23422"/>
  <c r="R942" i="23422"/>
  <c r="Q942" i="23422"/>
  <c r="R941" i="23422"/>
  <c r="Q941" i="23422"/>
  <c r="R940" i="23422"/>
  <c r="Q940" i="23422"/>
  <c r="R939" i="23422"/>
  <c r="Q939" i="23422"/>
  <c r="R938" i="23422"/>
  <c r="Q938" i="23422"/>
  <c r="R937" i="23422"/>
  <c r="Q937" i="23422"/>
  <c r="R936" i="23422"/>
  <c r="Q936" i="23422"/>
  <c r="R935" i="23422"/>
  <c r="Q935" i="23422"/>
  <c r="R934" i="23422"/>
  <c r="Q934" i="23422"/>
  <c r="R933" i="23422"/>
  <c r="Q933" i="23422"/>
  <c r="R932" i="23422"/>
  <c r="Q932" i="23422"/>
  <c r="R931" i="23422"/>
  <c r="Q931" i="23422"/>
  <c r="R601" i="23422"/>
  <c r="Q601" i="23422"/>
  <c r="R600" i="23422"/>
  <c r="Q600" i="23422"/>
  <c r="R599" i="23422"/>
  <c r="Q599" i="23422"/>
  <c r="R598" i="23422"/>
  <c r="Q598" i="23422"/>
  <c r="R597" i="23422"/>
  <c r="Q597" i="23422"/>
  <c r="R596" i="23422"/>
  <c r="Q596" i="23422"/>
  <c r="R516" i="23422"/>
  <c r="Q516" i="23422"/>
  <c r="R515" i="23422"/>
  <c r="Q515" i="23422"/>
  <c r="R514" i="23422"/>
  <c r="Q514" i="23422"/>
  <c r="R513" i="23422"/>
  <c r="Q513" i="23422"/>
  <c r="R512" i="23422"/>
  <c r="Q512" i="23422"/>
  <c r="R511" i="23422"/>
  <c r="Q511" i="23422"/>
  <c r="R883" i="23422"/>
  <c r="Q883" i="23422"/>
  <c r="R882" i="23422"/>
  <c r="Q882" i="23422"/>
  <c r="R880" i="23422"/>
  <c r="Q880" i="23422"/>
  <c r="R879" i="23422"/>
  <c r="Q879" i="23422"/>
  <c r="R878" i="23422"/>
  <c r="Q878" i="23422"/>
  <c r="R877" i="23422"/>
  <c r="Q877" i="23422"/>
  <c r="R876" i="23422"/>
  <c r="Q876" i="23422"/>
  <c r="R875" i="23422"/>
  <c r="Q875" i="23422"/>
  <c r="R874" i="23422"/>
  <c r="Q874" i="23422"/>
  <c r="R873" i="23422"/>
  <c r="Q873" i="23422"/>
  <c r="R872" i="23422"/>
  <c r="Q872" i="23422"/>
  <c r="R871" i="23422"/>
  <c r="Q871" i="23422"/>
  <c r="R150" i="23422"/>
  <c r="Q150" i="23422"/>
  <c r="R149" i="23422"/>
  <c r="Q149" i="23422"/>
  <c r="R148" i="23422"/>
  <c r="Q148" i="23422"/>
  <c r="R147" i="23422"/>
  <c r="Q147" i="23422"/>
  <c r="R146" i="23422"/>
  <c r="Q146" i="23422"/>
  <c r="R145" i="23422"/>
  <c r="Q145" i="23422"/>
  <c r="R144" i="23422"/>
  <c r="Q144" i="23422"/>
  <c r="R143" i="23422"/>
  <c r="Q143" i="23422"/>
  <c r="R142" i="23422"/>
  <c r="Q142" i="23422"/>
  <c r="R141" i="23422"/>
  <c r="Q141" i="23422"/>
  <c r="R140" i="23422"/>
  <c r="Q140" i="23422"/>
  <c r="R139" i="23422"/>
  <c r="Q139" i="23422"/>
  <c r="R870" i="23422"/>
  <c r="Q870" i="23422"/>
  <c r="R869" i="23422"/>
  <c r="Q869" i="23422"/>
  <c r="R868" i="23422"/>
  <c r="Q868" i="23422"/>
  <c r="R867" i="23422"/>
  <c r="Q867" i="23422"/>
  <c r="R866" i="23422"/>
  <c r="Q866" i="23422"/>
  <c r="R865" i="23422"/>
  <c r="Q865" i="23422"/>
  <c r="R864" i="23422"/>
  <c r="Q864" i="23422"/>
  <c r="R863" i="23422"/>
  <c r="Q863" i="23422"/>
  <c r="R862" i="23422"/>
  <c r="Q862" i="23422"/>
  <c r="R861" i="23422"/>
  <c r="Q861" i="23422"/>
  <c r="R860" i="23422"/>
  <c r="Q860" i="23422"/>
  <c r="R859" i="23422"/>
  <c r="Q859" i="23422"/>
  <c r="R798" i="23422"/>
  <c r="Q798" i="23422"/>
  <c r="R797" i="23422"/>
  <c r="Q797" i="23422"/>
  <c r="R796" i="23422"/>
  <c r="Q796" i="23422"/>
  <c r="R795" i="23422"/>
  <c r="Q795" i="23422"/>
  <c r="R794" i="23422"/>
  <c r="Q794" i="23422"/>
  <c r="R793" i="23422"/>
  <c r="Q793" i="23422"/>
  <c r="R690" i="23422"/>
  <c r="Q690" i="23422"/>
  <c r="R689" i="23422"/>
  <c r="Q689" i="23422"/>
  <c r="R688" i="23422"/>
  <c r="Q688" i="23422"/>
  <c r="R687" i="23422"/>
  <c r="Q687" i="23422"/>
  <c r="R686" i="23422"/>
  <c r="Q686" i="23422"/>
  <c r="R685" i="23422"/>
  <c r="Q685" i="23422"/>
  <c r="R138" i="23422"/>
  <c r="Q138" i="23422"/>
  <c r="R137" i="23422"/>
  <c r="Q137" i="23422"/>
  <c r="R136" i="23422"/>
  <c r="Q136" i="23422"/>
  <c r="R135" i="23422"/>
  <c r="Q135" i="23422"/>
  <c r="R134" i="23422"/>
  <c r="Q134" i="23422"/>
  <c r="R133" i="23422"/>
  <c r="Q133" i="23422"/>
  <c r="R132" i="23422"/>
  <c r="Q132" i="23422"/>
  <c r="R131" i="23422"/>
  <c r="Q131" i="23422"/>
  <c r="R130" i="23422"/>
  <c r="Q130" i="23422"/>
  <c r="R129" i="23422"/>
  <c r="Q129" i="23422"/>
  <c r="R128" i="23422"/>
  <c r="Q128" i="23422"/>
  <c r="R127" i="23422"/>
  <c r="Q127" i="23422"/>
  <c r="R18" i="23422"/>
  <c r="Q18" i="23422"/>
  <c r="R17" i="23422"/>
  <c r="Q17" i="23422"/>
  <c r="R16" i="23422"/>
  <c r="Q16" i="23422"/>
  <c r="R15" i="23422"/>
  <c r="Q15" i="23422"/>
  <c r="R14" i="23422"/>
  <c r="Q14" i="23422"/>
  <c r="R13" i="23422"/>
  <c r="Q13" i="23422"/>
  <c r="R12" i="23422"/>
  <c r="Q12" i="23422"/>
  <c r="R11" i="23422"/>
  <c r="Q11" i="23422"/>
  <c r="R10" i="23422"/>
  <c r="Q10" i="23422"/>
  <c r="R9" i="23422"/>
  <c r="Q9" i="23422"/>
  <c r="R8" i="23422"/>
  <c r="Q8" i="23422"/>
  <c r="R7" i="23422"/>
  <c r="Q7" i="23422"/>
  <c r="R330" i="23422"/>
  <c r="Q330" i="23422"/>
  <c r="R329" i="23422"/>
  <c r="Q329" i="23422"/>
  <c r="R328" i="23422"/>
  <c r="Q328" i="23422"/>
  <c r="R327" i="23422"/>
  <c r="Q327" i="23422"/>
  <c r="R326" i="23422"/>
  <c r="Q326" i="23422"/>
  <c r="R325" i="23422"/>
  <c r="Q325" i="23422"/>
  <c r="R324" i="23422"/>
  <c r="Q324" i="23422"/>
  <c r="R323" i="23422"/>
  <c r="Q323" i="23422"/>
  <c r="R322" i="23422"/>
  <c r="Q322" i="23422"/>
  <c r="R321" i="23422"/>
  <c r="Q321" i="23422"/>
  <c r="R320" i="23422"/>
  <c r="Q320" i="23422"/>
  <c r="R319" i="23422"/>
  <c r="Q319" i="23422"/>
  <c r="R210" i="23422"/>
  <c r="Q210" i="23422"/>
  <c r="R209" i="23422"/>
  <c r="Q209" i="23422"/>
  <c r="R208" i="23422"/>
  <c r="Q208" i="23422"/>
  <c r="R207" i="23422"/>
  <c r="Q207" i="23422"/>
  <c r="R206" i="23422"/>
  <c r="Q206" i="23422"/>
  <c r="R205" i="23422"/>
  <c r="Q205" i="23422"/>
  <c r="R204" i="23422"/>
  <c r="Q204" i="23422"/>
  <c r="R203" i="23422"/>
  <c r="Q203" i="23422"/>
  <c r="R202" i="23422"/>
  <c r="Q202" i="23422"/>
  <c r="R201" i="23422"/>
  <c r="Q201" i="23422"/>
  <c r="R200" i="23422"/>
  <c r="Q200" i="23422"/>
  <c r="R199" i="23422"/>
  <c r="Q199" i="23422"/>
  <c r="R589" i="23422"/>
  <c r="Q589" i="23422"/>
  <c r="R588" i="23422"/>
  <c r="Q588" i="23422"/>
  <c r="R587" i="23422"/>
  <c r="Q587" i="23422"/>
  <c r="R586" i="23422"/>
  <c r="Q586" i="23422"/>
  <c r="R585" i="23422"/>
  <c r="Q585" i="23422"/>
  <c r="R584" i="23422"/>
  <c r="Q584" i="23422"/>
  <c r="R510" i="23422"/>
  <c r="Q510" i="23422"/>
  <c r="R509" i="23422"/>
  <c r="Q509" i="23422"/>
  <c r="R508" i="23422"/>
  <c r="Q508" i="23422"/>
  <c r="R507" i="23422"/>
  <c r="Q507" i="23422"/>
  <c r="R506" i="23422"/>
  <c r="Q506" i="23422"/>
  <c r="R505" i="23422"/>
  <c r="Q505" i="23422"/>
  <c r="R415" i="23422"/>
  <c r="Q415" i="23422"/>
  <c r="R414" i="23422"/>
  <c r="Q414" i="23422"/>
  <c r="R413" i="23422"/>
  <c r="Q413" i="23422"/>
  <c r="R412" i="23422"/>
  <c r="Q412" i="23422"/>
  <c r="R411" i="23422"/>
  <c r="Q411" i="23422"/>
  <c r="R410" i="23422"/>
  <c r="Q410" i="23422"/>
  <c r="R409" i="23422"/>
  <c r="Q409" i="23422"/>
  <c r="R408" i="23422"/>
  <c r="Q408" i="23422"/>
  <c r="R407" i="23422"/>
  <c r="Q407" i="23422"/>
  <c r="R406" i="23422"/>
  <c r="Q406" i="23422"/>
  <c r="R405" i="23422"/>
  <c r="Q405" i="23422"/>
  <c r="R404" i="23422"/>
  <c r="Q404" i="23422"/>
  <c r="N154" i="23420" l="1"/>
  <c r="N136" i="23420"/>
  <c r="N100" i="23420"/>
  <c r="N82" i="23420"/>
  <c r="N64" i="23420"/>
  <c r="P10" i="23420"/>
  <c r="N10" i="23420"/>
  <c r="P9" i="23420"/>
  <c r="B110" i="23427"/>
  <c r="B109" i="23427"/>
  <c r="B108" i="23427"/>
  <c r="B107" i="23427"/>
  <c r="B106" i="23427"/>
  <c r="B105" i="23427"/>
  <c r="B104" i="23427"/>
  <c r="B103" i="23427"/>
  <c r="B102" i="23427"/>
  <c r="B101" i="23427"/>
  <c r="B100" i="23427"/>
  <c r="B99" i="23427"/>
  <c r="B98" i="23427"/>
  <c r="B97" i="23427"/>
  <c r="B96" i="23427"/>
  <c r="B95" i="23427"/>
  <c r="B94" i="23427"/>
  <c r="B93" i="23427"/>
  <c r="B92" i="23427"/>
  <c r="B91" i="23427"/>
  <c r="B90" i="23427"/>
  <c r="B89" i="23427"/>
  <c r="B88" i="23427"/>
  <c r="B87" i="23427"/>
  <c r="B86" i="23427"/>
  <c r="B85" i="23427"/>
  <c r="B84" i="23427"/>
  <c r="B83" i="23427"/>
  <c r="B82" i="23427"/>
  <c r="B81" i="23427"/>
  <c r="B80" i="23427"/>
  <c r="B79" i="23427"/>
  <c r="B78" i="23427"/>
  <c r="B77" i="23427"/>
  <c r="B76" i="23427"/>
  <c r="B75" i="23427"/>
  <c r="B74" i="23427"/>
  <c r="B73" i="23427"/>
  <c r="B72" i="23427"/>
  <c r="B71" i="23427"/>
  <c r="B70" i="23427"/>
  <c r="B69" i="23427"/>
  <c r="B68" i="23427"/>
  <c r="B67" i="23427"/>
  <c r="B66" i="23427"/>
  <c r="B65" i="23427"/>
  <c r="B64" i="23427"/>
  <c r="B63" i="23427"/>
  <c r="B62" i="23427"/>
  <c r="B61" i="23427"/>
  <c r="B60" i="23427"/>
  <c r="B59" i="23427"/>
  <c r="B58" i="23427"/>
  <c r="B57" i="23427"/>
  <c r="B56" i="23427"/>
  <c r="B55" i="23427"/>
  <c r="B54" i="23427"/>
  <c r="B53" i="23427"/>
  <c r="B52" i="23427"/>
  <c r="B51" i="23427"/>
  <c r="B50" i="23427"/>
  <c r="B49" i="23427"/>
  <c r="B48" i="23427"/>
  <c r="B47" i="23427"/>
  <c r="B46" i="23427"/>
  <c r="B45" i="23427"/>
  <c r="B44" i="23427"/>
  <c r="B43" i="23427"/>
  <c r="B42" i="23427"/>
  <c r="B41" i="23427"/>
  <c r="B40" i="23427"/>
  <c r="B39" i="23427"/>
  <c r="B38" i="23427"/>
  <c r="B37" i="23427"/>
  <c r="B36" i="23427"/>
  <c r="B35" i="23427"/>
  <c r="B34" i="23427"/>
  <c r="B33" i="23427"/>
  <c r="B32" i="23427"/>
  <c r="B31" i="23427"/>
  <c r="B30" i="23427"/>
  <c r="B29" i="23427"/>
  <c r="B28" i="23427"/>
  <c r="B27" i="23427"/>
  <c r="B26" i="23427"/>
  <c r="B25" i="23427"/>
  <c r="B24" i="23427"/>
  <c r="B23" i="23427"/>
  <c r="B22" i="23427"/>
  <c r="B21" i="23427"/>
  <c r="B20" i="23427"/>
  <c r="B19" i="23427"/>
  <c r="B18" i="23427"/>
  <c r="B17" i="23427"/>
  <c r="B16" i="23427"/>
  <c r="B15" i="23427"/>
  <c r="B14" i="23427"/>
  <c r="B13" i="23427"/>
  <c r="B12" i="23427"/>
  <c r="B11" i="23427"/>
  <c r="B10" i="23427"/>
  <c r="B9" i="23427"/>
  <c r="B8" i="23427"/>
  <c r="B7" i="23427"/>
  <c r="B6" i="23427"/>
  <c r="B5" i="23427"/>
  <c r="B4" i="23427"/>
  <c r="N153" i="23420" l="1"/>
  <c r="N135" i="23420"/>
  <c r="N28" i="23420"/>
  <c r="N99" i="23420"/>
  <c r="N27" i="23420"/>
  <c r="N63" i="23420"/>
  <c r="N81" i="23420"/>
  <c r="N9" i="23420"/>
  <c r="B3" i="23427"/>
  <c r="N157" i="23420" l="1"/>
  <c r="N139" i="23420"/>
  <c r="N103" i="23420"/>
  <c r="N85" i="23420"/>
  <c r="N67" i="23420"/>
  <c r="N13" i="23420"/>
  <c r="N31" i="23420" l="1"/>
  <c r="AQ18" i="2"/>
  <c r="AQ17" i="2"/>
  <c r="AQ16" i="2"/>
  <c r="AQ15" i="2"/>
  <c r="AQ14" i="2"/>
  <c r="AQ13" i="2"/>
  <c r="AQ12" i="2"/>
  <c r="AQ11" i="2"/>
  <c r="AQ10" i="2"/>
  <c r="AQ9" i="2"/>
  <c r="AQ146" i="2"/>
  <c r="AQ130" i="2"/>
  <c r="AQ120" i="2"/>
  <c r="AQ100" i="2"/>
  <c r="AQ90" i="2"/>
  <c r="AQ74" i="2"/>
  <c r="AQ64" i="2"/>
  <c r="AQ48" i="2"/>
  <c r="AQ22" i="2"/>
  <c r="R964" i="23422" l="1"/>
  <c r="Q964" i="23422"/>
  <c r="R963" i="23422"/>
  <c r="Q963" i="23422"/>
  <c r="R961" i="23422"/>
  <c r="Q961" i="23422"/>
  <c r="R960" i="23422"/>
  <c r="Q960" i="23422"/>
  <c r="R959" i="23422"/>
  <c r="Q959" i="23422"/>
  <c r="R958" i="23422"/>
  <c r="Q958" i="23422"/>
  <c r="R957" i="23422"/>
  <c r="Q957" i="23422"/>
  <c r="R956" i="23422"/>
  <c r="Q956" i="23422"/>
  <c r="R955" i="23422"/>
  <c r="Q955" i="23422"/>
  <c r="R954" i="23422"/>
  <c r="Q954" i="23422"/>
  <c r="R846" i="23422"/>
  <c r="Q846" i="23422"/>
  <c r="R845" i="23422"/>
  <c r="Q845" i="23422"/>
  <c r="R844" i="23422"/>
  <c r="Q844" i="23422"/>
  <c r="R843" i="23422"/>
  <c r="Q843" i="23422"/>
  <c r="R842" i="23422"/>
  <c r="Q842" i="23422"/>
  <c r="R841" i="23422"/>
  <c r="Q841" i="23422"/>
  <c r="R786" i="23422"/>
  <c r="Q786" i="23422"/>
  <c r="R785" i="23422"/>
  <c r="Q785" i="23422"/>
  <c r="R784" i="23422"/>
  <c r="Q784" i="23422"/>
  <c r="R783" i="23422"/>
  <c r="Q783" i="23422"/>
  <c r="R781" i="23422"/>
  <c r="Q781" i="23422"/>
  <c r="R780" i="23422"/>
  <c r="Q780" i="23422"/>
  <c r="R779" i="23422"/>
  <c r="Q779" i="23422"/>
  <c r="R778" i="23422"/>
  <c r="Q778" i="23422"/>
  <c r="R777" i="23422"/>
  <c r="Q777" i="23422"/>
  <c r="R776" i="23422"/>
  <c r="Q776" i="23422"/>
  <c r="R775" i="23422"/>
  <c r="Q775" i="23422"/>
  <c r="R774" i="23422"/>
  <c r="Q774" i="23422"/>
  <c r="R666" i="23422"/>
  <c r="Q666" i="23422"/>
  <c r="R665" i="23422"/>
  <c r="Q665" i="23422"/>
  <c r="R664" i="23422"/>
  <c r="Q664" i="23422"/>
  <c r="R663" i="23422"/>
  <c r="Q663" i="23422"/>
  <c r="R661" i="23422"/>
  <c r="Q661" i="23422"/>
  <c r="R660" i="23422"/>
  <c r="Q660" i="23422"/>
  <c r="R659" i="23422"/>
  <c r="Q659" i="23422"/>
  <c r="R658" i="23422"/>
  <c r="Q658" i="23422"/>
  <c r="R484" i="23422"/>
  <c r="Q484" i="23422"/>
  <c r="R483" i="23422"/>
  <c r="Q483" i="23422"/>
  <c r="R481" i="23422"/>
  <c r="Q481" i="23422"/>
  <c r="R480" i="23422"/>
  <c r="Q480" i="23422"/>
  <c r="R479" i="23422"/>
  <c r="Q479" i="23422"/>
  <c r="R478" i="23422"/>
  <c r="Q478" i="23422"/>
  <c r="R477" i="23422"/>
  <c r="Q477" i="23422"/>
  <c r="R476" i="23422"/>
  <c r="Q476" i="23422"/>
  <c r="R475" i="23422"/>
  <c r="Q475" i="23422"/>
  <c r="R474" i="23422"/>
  <c r="Q474" i="23422"/>
  <c r="R366" i="23422"/>
  <c r="Q366" i="23422"/>
  <c r="R365" i="23422"/>
  <c r="Q365" i="23422"/>
  <c r="R364" i="23422"/>
  <c r="Q364" i="23422"/>
  <c r="R363" i="23422"/>
  <c r="Q363" i="23422"/>
  <c r="R361" i="23422"/>
  <c r="Q361" i="23422"/>
  <c r="R360" i="23422"/>
  <c r="Q360" i="23422"/>
  <c r="R359" i="23422"/>
  <c r="Q359" i="23422"/>
  <c r="R358" i="23422"/>
  <c r="Q358" i="23422"/>
  <c r="R357" i="23422"/>
  <c r="Q357" i="23422"/>
  <c r="R356" i="23422"/>
  <c r="Q356" i="23422"/>
  <c r="R355" i="23422"/>
  <c r="Q355" i="23422"/>
  <c r="R354" i="23422"/>
  <c r="Q354" i="23422"/>
  <c r="R246" i="23422"/>
  <c r="Q246" i="23422"/>
  <c r="R245" i="23422"/>
  <c r="Q245" i="23422"/>
  <c r="R244" i="23422"/>
  <c r="Q244" i="23422"/>
  <c r="R243" i="23422"/>
  <c r="Q243" i="23422"/>
  <c r="R241" i="23422"/>
  <c r="Q241" i="23422"/>
  <c r="R240" i="23422"/>
  <c r="Q240" i="23422"/>
  <c r="R239" i="23422"/>
  <c r="Q239" i="23422"/>
  <c r="R238" i="23422"/>
  <c r="Q238" i="23422"/>
  <c r="R237" i="23422"/>
  <c r="Q237" i="23422"/>
  <c r="R236" i="23422"/>
  <c r="Q236" i="23422"/>
  <c r="R235" i="23422"/>
  <c r="Q235" i="23422"/>
  <c r="R234" i="23422"/>
  <c r="Q234" i="23422"/>
  <c r="R126" i="23422"/>
  <c r="Q126" i="23422"/>
  <c r="R125" i="23422"/>
  <c r="Q125" i="23422"/>
  <c r="R124" i="23422"/>
  <c r="Q124" i="23422"/>
  <c r="R123" i="23422"/>
  <c r="Q123" i="23422"/>
  <c r="R121" i="23422"/>
  <c r="Q121" i="23422"/>
  <c r="R120" i="23422"/>
  <c r="Q120" i="23422"/>
  <c r="R119" i="23422"/>
  <c r="Q119" i="23422"/>
  <c r="R118" i="23422"/>
  <c r="Q118" i="23422"/>
  <c r="R117" i="23422"/>
  <c r="Q117" i="23422"/>
  <c r="R116" i="23422"/>
  <c r="Q116" i="23422"/>
  <c r="R115" i="23422"/>
  <c r="Q115" i="23422"/>
  <c r="R114" i="23422"/>
  <c r="Q114" i="23422"/>
  <c r="R1073" i="23422"/>
  <c r="Q1073" i="23422"/>
  <c r="R1072" i="23422"/>
  <c r="Q1072" i="23422"/>
  <c r="R1071" i="23422"/>
  <c r="Q1071" i="23422"/>
  <c r="R1082" i="23422"/>
  <c r="Q1082" i="23422"/>
  <c r="R1070" i="23422"/>
  <c r="Q1070" i="23422"/>
  <c r="R1069" i="23422"/>
  <c r="Q1069" i="23422"/>
  <c r="R1068" i="23422"/>
  <c r="Q1068" i="23422"/>
  <c r="R1067" i="23422"/>
  <c r="Q1067" i="23422"/>
  <c r="R1066" i="23422"/>
  <c r="Q1066" i="23422"/>
  <c r="R1065" i="23422"/>
  <c r="Q1065" i="23422"/>
  <c r="R1064" i="23422"/>
  <c r="Q1064" i="23422"/>
  <c r="R1063" i="23422"/>
  <c r="Q1063" i="23422"/>
  <c r="R953" i="23422"/>
  <c r="Q953" i="23422"/>
  <c r="R952" i="23422"/>
  <c r="Q952" i="23422"/>
  <c r="R951" i="23422"/>
  <c r="Q951" i="23422"/>
  <c r="R962" i="23422"/>
  <c r="Q962" i="23422"/>
  <c r="R950" i="23422"/>
  <c r="Q950" i="23422"/>
  <c r="R949" i="23422"/>
  <c r="Q949" i="23422"/>
  <c r="R948" i="23422"/>
  <c r="Q948" i="23422"/>
  <c r="R947" i="23422"/>
  <c r="Q947" i="23422"/>
  <c r="R946" i="23422"/>
  <c r="Q946" i="23422"/>
  <c r="R945" i="23422"/>
  <c r="Q945" i="23422"/>
  <c r="R944" i="23422"/>
  <c r="Q944" i="23422"/>
  <c r="R943" i="23422"/>
  <c r="Q943" i="23422"/>
  <c r="R840" i="23422"/>
  <c r="Q840" i="23422"/>
  <c r="R839" i="23422"/>
  <c r="Q839" i="23422"/>
  <c r="R838" i="23422"/>
  <c r="Q838" i="23422"/>
  <c r="R837" i="23422"/>
  <c r="Q837" i="23422"/>
  <c r="R836" i="23422"/>
  <c r="Q836" i="23422"/>
  <c r="R835" i="23422"/>
  <c r="Q835" i="23422"/>
  <c r="R773" i="23422"/>
  <c r="Q773" i="23422"/>
  <c r="R772" i="23422"/>
  <c r="Q772" i="23422"/>
  <c r="R771" i="23422"/>
  <c r="Q771" i="23422"/>
  <c r="R782" i="23422"/>
  <c r="Q782" i="23422"/>
  <c r="R770" i="23422"/>
  <c r="Q770" i="23422"/>
  <c r="R769" i="23422"/>
  <c r="Q769" i="23422"/>
  <c r="R768" i="23422"/>
  <c r="Q768" i="23422"/>
  <c r="R767" i="23422"/>
  <c r="Q767" i="23422"/>
  <c r="R766" i="23422"/>
  <c r="Q766" i="23422"/>
  <c r="R765" i="23422"/>
  <c r="Q765" i="23422"/>
  <c r="R764" i="23422"/>
  <c r="Q764" i="23422"/>
  <c r="R763" i="23422"/>
  <c r="Q763" i="23422"/>
  <c r="R653" i="23422"/>
  <c r="Q653" i="23422"/>
  <c r="R652" i="23422"/>
  <c r="Q652" i="23422"/>
  <c r="R651" i="23422"/>
  <c r="Q651" i="23422"/>
  <c r="R662" i="23422"/>
  <c r="Q662" i="23422"/>
  <c r="R650" i="23422"/>
  <c r="Q650" i="23422"/>
  <c r="R649" i="23422"/>
  <c r="Q649" i="23422"/>
  <c r="R353" i="23422"/>
  <c r="Q353" i="23422"/>
  <c r="R352" i="23422"/>
  <c r="Q352" i="23422"/>
  <c r="R351" i="23422"/>
  <c r="Q351" i="23422"/>
  <c r="R362" i="23422"/>
  <c r="Q362" i="23422"/>
  <c r="R350" i="23422"/>
  <c r="Q350" i="23422"/>
  <c r="R349" i="23422"/>
  <c r="Q349" i="23422"/>
  <c r="R348" i="23422"/>
  <c r="Q348" i="23422"/>
  <c r="R347" i="23422"/>
  <c r="Q347" i="23422"/>
  <c r="R346" i="23422"/>
  <c r="Q346" i="23422"/>
  <c r="R345" i="23422"/>
  <c r="Q345" i="23422"/>
  <c r="R344" i="23422"/>
  <c r="Q344" i="23422"/>
  <c r="R343" i="23422"/>
  <c r="Q343" i="23422"/>
  <c r="R233" i="23422"/>
  <c r="Q233" i="23422"/>
  <c r="R232" i="23422"/>
  <c r="Q232" i="23422"/>
  <c r="R231" i="23422"/>
  <c r="Q231" i="23422"/>
  <c r="R242" i="23422"/>
  <c r="Q242" i="23422"/>
  <c r="R230" i="23422"/>
  <c r="Q230" i="23422"/>
  <c r="R229" i="23422"/>
  <c r="Q229" i="23422"/>
  <c r="R228" i="23422"/>
  <c r="Q228" i="23422"/>
  <c r="R227" i="23422"/>
  <c r="Q227" i="23422"/>
  <c r="R226" i="23422"/>
  <c r="Q226" i="23422"/>
  <c r="R225" i="23422"/>
  <c r="Q225" i="23422"/>
  <c r="R224" i="23422"/>
  <c r="Q224" i="23422"/>
  <c r="R223" i="23422"/>
  <c r="Q223" i="23422"/>
  <c r="R113" i="23422"/>
  <c r="Q113" i="23422"/>
  <c r="R112" i="23422"/>
  <c r="Q112" i="23422"/>
  <c r="R111" i="23422"/>
  <c r="Q111" i="23422"/>
  <c r="R122" i="23422"/>
  <c r="Q122" i="23422"/>
  <c r="R110" i="23422"/>
  <c r="Q110" i="23422"/>
  <c r="R109" i="23422"/>
  <c r="Q109" i="23422"/>
  <c r="R108" i="23422"/>
  <c r="Q108" i="23422"/>
  <c r="R107" i="23422"/>
  <c r="Q107" i="23422"/>
  <c r="R106" i="23422"/>
  <c r="Q106" i="23422"/>
  <c r="R105" i="23422"/>
  <c r="Q105" i="23422"/>
  <c r="R104" i="23422"/>
  <c r="Q104" i="23422"/>
  <c r="R103" i="23422"/>
  <c r="Q103" i="23422"/>
  <c r="R1062" i="23422"/>
  <c r="Q1062" i="23422"/>
  <c r="R1061" i="23422"/>
  <c r="Q1061" i="23422"/>
  <c r="R1060" i="23422"/>
  <c r="Q1060" i="23422"/>
  <c r="R1059" i="23422"/>
  <c r="Q1059" i="23422"/>
  <c r="R1058" i="23422"/>
  <c r="Q1058" i="23422"/>
  <c r="R1057" i="23422"/>
  <c r="Q1057" i="23422"/>
  <c r="R1056" i="23422"/>
  <c r="Q1056" i="23422"/>
  <c r="R1055" i="23422"/>
  <c r="Q1055" i="23422"/>
  <c r="R1054" i="23422"/>
  <c r="Q1054" i="23422"/>
  <c r="R1053" i="23422"/>
  <c r="Q1053" i="23422"/>
  <c r="R1052" i="23422"/>
  <c r="Q1052" i="23422"/>
  <c r="R1051" i="23422"/>
  <c r="Q1051" i="23422"/>
  <c r="R834" i="23422"/>
  <c r="Q834" i="23422"/>
  <c r="R833" i="23422"/>
  <c r="Q833" i="23422"/>
  <c r="R832" i="23422"/>
  <c r="Q832" i="23422"/>
  <c r="R831" i="23422"/>
  <c r="Q831" i="23422"/>
  <c r="R830" i="23422"/>
  <c r="Q830" i="23422"/>
  <c r="R829" i="23422"/>
  <c r="Q829" i="23422"/>
  <c r="R762" i="23422"/>
  <c r="Q762" i="23422"/>
  <c r="R761" i="23422"/>
  <c r="Q761" i="23422"/>
  <c r="R760" i="23422"/>
  <c r="Q760" i="23422"/>
  <c r="R759" i="23422"/>
  <c r="Q759" i="23422"/>
  <c r="R758" i="23422"/>
  <c r="Q758" i="23422"/>
  <c r="R757" i="23422"/>
  <c r="Q757" i="23422"/>
  <c r="R756" i="23422"/>
  <c r="Q756" i="23422"/>
  <c r="R755" i="23422"/>
  <c r="Q755" i="23422"/>
  <c r="R754" i="23422"/>
  <c r="Q754" i="23422"/>
  <c r="R753" i="23422"/>
  <c r="Q753" i="23422"/>
  <c r="R752" i="23422"/>
  <c r="Q752" i="23422"/>
  <c r="R751" i="23422"/>
  <c r="Q751" i="23422"/>
  <c r="R642" i="23422"/>
  <c r="Q642" i="23422"/>
  <c r="R641" i="23422"/>
  <c r="Q641" i="23422"/>
  <c r="R640" i="23422"/>
  <c r="Q640" i="23422"/>
  <c r="R639" i="23422"/>
  <c r="Q639" i="23422"/>
  <c r="R638" i="23422"/>
  <c r="Q638" i="23422"/>
  <c r="R637" i="23422"/>
  <c r="Q637" i="23422"/>
  <c r="R636" i="23422"/>
  <c r="Q636" i="23422"/>
  <c r="R635" i="23422"/>
  <c r="Q635" i="23422"/>
  <c r="R634" i="23422"/>
  <c r="Q634" i="23422"/>
  <c r="R633" i="23422"/>
  <c r="Q633" i="23422"/>
  <c r="R632" i="23422"/>
  <c r="Q632" i="23422"/>
  <c r="R631" i="23422"/>
  <c r="Q631" i="23422"/>
  <c r="R534" i="23422"/>
  <c r="Q534" i="23422"/>
  <c r="R533" i="23422"/>
  <c r="Q533" i="23422"/>
  <c r="R532" i="23422"/>
  <c r="Q532" i="23422"/>
  <c r="R531" i="23422"/>
  <c r="Q531" i="23422"/>
  <c r="R530" i="23422"/>
  <c r="Q530" i="23422"/>
  <c r="R529" i="23422"/>
  <c r="Q529" i="23422"/>
  <c r="R462" i="23422"/>
  <c r="Q462" i="23422"/>
  <c r="R461" i="23422"/>
  <c r="Q461" i="23422"/>
  <c r="R460" i="23422"/>
  <c r="Q460" i="23422"/>
  <c r="R459" i="23422"/>
  <c r="Q459" i="23422"/>
  <c r="R458" i="23422"/>
  <c r="Q458" i="23422"/>
  <c r="R457" i="23422"/>
  <c r="Q457" i="23422"/>
  <c r="R456" i="23422"/>
  <c r="Q456" i="23422"/>
  <c r="R455" i="23422"/>
  <c r="Q455" i="23422"/>
  <c r="R454" i="23422"/>
  <c r="Q454" i="23422"/>
  <c r="R453" i="23422"/>
  <c r="Q453" i="23422"/>
  <c r="R452" i="23422"/>
  <c r="Q452" i="23422"/>
  <c r="R451" i="23422"/>
  <c r="Q451" i="23422"/>
  <c r="R222" i="23422"/>
  <c r="Q222" i="23422"/>
  <c r="R221" i="23422"/>
  <c r="Q221" i="23422"/>
  <c r="R220" i="23422"/>
  <c r="Q220" i="23422"/>
  <c r="R219" i="23422"/>
  <c r="Q219" i="23422"/>
  <c r="R218" i="23422"/>
  <c r="Q218" i="23422"/>
  <c r="R217" i="23422"/>
  <c r="Q217" i="23422"/>
  <c r="R216" i="23422"/>
  <c r="Q216" i="23422"/>
  <c r="R215" i="23422"/>
  <c r="Q215" i="23422"/>
  <c r="R214" i="23422"/>
  <c r="Q214" i="23422"/>
  <c r="R213" i="23422"/>
  <c r="Q213" i="23422"/>
  <c r="R212" i="23422"/>
  <c r="Q212" i="23422"/>
  <c r="R211" i="23422"/>
  <c r="Q211" i="23422"/>
  <c r="R102" i="23422"/>
  <c r="Q102" i="23422"/>
  <c r="R101" i="23422"/>
  <c r="Q101" i="23422"/>
  <c r="R100" i="23422"/>
  <c r="Q100" i="23422"/>
  <c r="R99" i="23422"/>
  <c r="Q99" i="23422"/>
  <c r="R98" i="23422"/>
  <c r="Q98" i="23422"/>
  <c r="R97" i="23422"/>
  <c r="Q97" i="23422"/>
  <c r="R96" i="23422"/>
  <c r="Q96" i="23422"/>
  <c r="R95" i="23422"/>
  <c r="Q95" i="23422"/>
  <c r="R94" i="23422"/>
  <c r="Q94" i="23422"/>
  <c r="R93" i="23422"/>
  <c r="Q93" i="23422"/>
  <c r="R92" i="23422"/>
  <c r="Q92" i="23422"/>
  <c r="R91" i="23422"/>
  <c r="Q91" i="23422"/>
  <c r="R1050" i="23422"/>
  <c r="Q1050" i="23422"/>
  <c r="R1049" i="23422"/>
  <c r="Q1049" i="23422"/>
  <c r="R1048" i="23422"/>
  <c r="Q1048" i="23422"/>
  <c r="R1047" i="23422"/>
  <c r="Q1047" i="23422"/>
  <c r="R1046" i="23422"/>
  <c r="Q1046" i="23422"/>
  <c r="R1045" i="23422"/>
  <c r="Q1045" i="23422"/>
  <c r="R1044" i="23422"/>
  <c r="Q1044" i="23422"/>
  <c r="R1043" i="23422"/>
  <c r="Q1043" i="23422"/>
  <c r="R1042" i="23422"/>
  <c r="Q1042" i="23422"/>
  <c r="R1041" i="23422"/>
  <c r="Q1041" i="23422"/>
  <c r="R1040" i="23422"/>
  <c r="Q1040" i="23422"/>
  <c r="R1039" i="23422"/>
  <c r="Q1039" i="23422"/>
  <c r="R930" i="23422"/>
  <c r="Q930" i="23422"/>
  <c r="R929" i="23422"/>
  <c r="Q929" i="23422"/>
  <c r="R928" i="23422"/>
  <c r="Q928" i="23422"/>
  <c r="R927" i="23422"/>
  <c r="Q927" i="23422"/>
  <c r="R926" i="23422"/>
  <c r="Q926" i="23422"/>
  <c r="R925" i="23422"/>
  <c r="Q925" i="23422"/>
  <c r="R924" i="23422"/>
  <c r="Q924" i="23422"/>
  <c r="R923" i="23422"/>
  <c r="Q923" i="23422"/>
  <c r="R922" i="23422"/>
  <c r="Q922" i="23422"/>
  <c r="R921" i="23422"/>
  <c r="Q921" i="23422"/>
  <c r="R920" i="23422"/>
  <c r="Q920" i="23422"/>
  <c r="R919" i="23422"/>
  <c r="Q919" i="23422"/>
  <c r="R828" i="23422"/>
  <c r="Q828" i="23422"/>
  <c r="R827" i="23422"/>
  <c r="Q827" i="23422"/>
  <c r="R826" i="23422"/>
  <c r="Q826" i="23422"/>
  <c r="R825" i="23422"/>
  <c r="Q825" i="23422"/>
  <c r="R824" i="23422"/>
  <c r="Q824" i="23422"/>
  <c r="R823" i="23422"/>
  <c r="Q823" i="23422"/>
  <c r="R750" i="23422"/>
  <c r="Q750" i="23422"/>
  <c r="R749" i="23422"/>
  <c r="Q749" i="23422"/>
  <c r="R748" i="23422"/>
  <c r="Q748" i="23422"/>
  <c r="R747" i="23422"/>
  <c r="Q747" i="23422"/>
  <c r="R746" i="23422"/>
  <c r="Q746" i="23422"/>
  <c r="R745" i="23422"/>
  <c r="Q745" i="23422"/>
  <c r="R744" i="23422"/>
  <c r="Q744" i="23422"/>
  <c r="R743" i="23422"/>
  <c r="Q743" i="23422"/>
  <c r="R742" i="23422"/>
  <c r="Q742" i="23422"/>
  <c r="R741" i="23422"/>
  <c r="Q741" i="23422"/>
  <c r="R740" i="23422"/>
  <c r="Q740" i="23422"/>
  <c r="R739" i="23422"/>
  <c r="Q739" i="23422"/>
  <c r="R630" i="23422"/>
  <c r="Q630" i="23422"/>
  <c r="R629" i="23422"/>
  <c r="Q629" i="23422"/>
  <c r="R628" i="23422"/>
  <c r="Q628" i="23422"/>
  <c r="R627" i="23422"/>
  <c r="Q627" i="23422"/>
  <c r="R626" i="23422"/>
  <c r="Q626" i="23422"/>
  <c r="R625" i="23422"/>
  <c r="Q625" i="23422"/>
  <c r="R624" i="23422"/>
  <c r="Q624" i="23422"/>
  <c r="R623" i="23422"/>
  <c r="Q623" i="23422"/>
  <c r="R622" i="23422"/>
  <c r="Q622" i="23422"/>
  <c r="R621" i="23422"/>
  <c r="Q621" i="23422"/>
  <c r="R620" i="23422"/>
  <c r="Q620" i="23422"/>
  <c r="R619" i="23422"/>
  <c r="Q619" i="23422"/>
  <c r="R528" i="23422"/>
  <c r="Q528" i="23422"/>
  <c r="R527" i="23422"/>
  <c r="Q527" i="23422"/>
  <c r="R526" i="23422"/>
  <c r="Q526" i="23422"/>
  <c r="R525" i="23422"/>
  <c r="Q525" i="23422"/>
  <c r="R524" i="23422"/>
  <c r="Q524" i="23422"/>
  <c r="R523" i="23422"/>
  <c r="Q523" i="23422"/>
  <c r="R450" i="23422"/>
  <c r="Q450" i="23422"/>
  <c r="R449" i="23422"/>
  <c r="Q449" i="23422"/>
  <c r="R448" i="23422"/>
  <c r="Q448" i="23422"/>
  <c r="R447" i="23422"/>
  <c r="Q447" i="23422"/>
  <c r="R446" i="23422"/>
  <c r="Q446" i="23422"/>
  <c r="R445" i="23422"/>
  <c r="Q445" i="23422"/>
  <c r="R444" i="23422"/>
  <c r="Q444" i="23422"/>
  <c r="R443" i="23422"/>
  <c r="Q443" i="23422"/>
  <c r="R442" i="23422"/>
  <c r="Q442" i="23422"/>
  <c r="R441" i="23422"/>
  <c r="Q441" i="23422"/>
  <c r="R440" i="23422"/>
  <c r="Q440" i="23422"/>
  <c r="R439" i="23422"/>
  <c r="Q439" i="23422"/>
  <c r="R90" i="23422"/>
  <c r="Q90" i="23422"/>
  <c r="R89" i="23422"/>
  <c r="Q89" i="23422"/>
  <c r="R88" i="23422"/>
  <c r="Q88" i="23422"/>
  <c r="R87" i="23422"/>
  <c r="Q87" i="23422"/>
  <c r="R86" i="23422"/>
  <c r="Q86" i="23422"/>
  <c r="R85" i="23422"/>
  <c r="Q85" i="23422"/>
  <c r="R84" i="23422"/>
  <c r="Q84" i="23422"/>
  <c r="R83" i="23422"/>
  <c r="Q83" i="23422"/>
  <c r="R82" i="23422"/>
  <c r="Q82" i="23422"/>
  <c r="R81" i="23422"/>
  <c r="Q81" i="23422"/>
  <c r="R80" i="23422"/>
  <c r="Q80" i="23422"/>
  <c r="R79" i="23422"/>
  <c r="Q79" i="23422"/>
  <c r="R1038" i="23422"/>
  <c r="Q1038" i="23422"/>
  <c r="R1001" i="23422"/>
  <c r="Q1001" i="23422"/>
  <c r="R1037" i="23422"/>
  <c r="Q1037" i="23422"/>
  <c r="R1036" i="23422"/>
  <c r="Q1036" i="23422"/>
  <c r="R1035" i="23422"/>
  <c r="Q1035" i="23422"/>
  <c r="R1034" i="23422"/>
  <c r="Q1034" i="23422"/>
  <c r="R1033" i="23422"/>
  <c r="Q1033" i="23422"/>
  <c r="R1032" i="23422"/>
  <c r="Q1032" i="23422"/>
  <c r="R1031" i="23422"/>
  <c r="Q1031" i="23422"/>
  <c r="R1030" i="23422"/>
  <c r="Q1030" i="23422"/>
  <c r="R1029" i="23422"/>
  <c r="Q1029" i="23422"/>
  <c r="R1028" i="23422"/>
  <c r="Q1028" i="23422"/>
  <c r="R918" i="23422"/>
  <c r="Q918" i="23422"/>
  <c r="R881" i="23422"/>
  <c r="Q881" i="23422"/>
  <c r="R917" i="23422"/>
  <c r="Q917" i="23422"/>
  <c r="R916" i="23422"/>
  <c r="Q916" i="23422"/>
  <c r="R915" i="23422"/>
  <c r="Q915" i="23422"/>
  <c r="R914" i="23422"/>
  <c r="Q914" i="23422"/>
  <c r="R913" i="23422"/>
  <c r="Q913" i="23422"/>
  <c r="R912" i="23422"/>
  <c r="Q912" i="23422"/>
  <c r="R911" i="23422"/>
  <c r="Q911" i="23422"/>
  <c r="R910" i="23422"/>
  <c r="Q910" i="23422"/>
  <c r="R909" i="23422"/>
  <c r="Q909" i="23422"/>
  <c r="R908" i="23422"/>
  <c r="Q908" i="23422"/>
  <c r="R822" i="23422"/>
  <c r="Q822" i="23422"/>
  <c r="R821" i="23422"/>
  <c r="Q821" i="23422"/>
  <c r="R820" i="23422"/>
  <c r="Q820" i="23422"/>
  <c r="R819" i="23422"/>
  <c r="Q819" i="23422"/>
  <c r="R818" i="23422"/>
  <c r="Q818" i="23422"/>
  <c r="R817" i="23422"/>
  <c r="Q817" i="23422"/>
  <c r="R738" i="23422"/>
  <c r="Q738" i="23422"/>
  <c r="R701" i="23422"/>
  <c r="Q701" i="23422"/>
  <c r="R737" i="23422"/>
  <c r="Q737" i="23422"/>
  <c r="R736" i="23422"/>
  <c r="Q736" i="23422"/>
  <c r="R735" i="23422"/>
  <c r="Q735" i="23422"/>
  <c r="R734" i="23422"/>
  <c r="Q734" i="23422"/>
  <c r="R613" i="23422"/>
  <c r="Q613" i="23422"/>
  <c r="R612" i="23422"/>
  <c r="Q612" i="23422"/>
  <c r="R611" i="23422"/>
  <c r="Q611" i="23422"/>
  <c r="R610" i="23422"/>
  <c r="Q610" i="23422"/>
  <c r="R609" i="23422"/>
  <c r="Q609" i="23422"/>
  <c r="R608" i="23422"/>
  <c r="Q608" i="23422"/>
  <c r="R522" i="23422"/>
  <c r="Q522" i="23422"/>
  <c r="R521" i="23422"/>
  <c r="Q521" i="23422"/>
  <c r="R520" i="23422"/>
  <c r="Q520" i="23422"/>
  <c r="R519" i="23422"/>
  <c r="Q519" i="23422"/>
  <c r="R518" i="23422"/>
  <c r="Q518" i="23422"/>
  <c r="R517" i="23422"/>
  <c r="Q517" i="23422"/>
  <c r="R438" i="23422"/>
  <c r="Q438" i="23422"/>
  <c r="R401" i="23422"/>
  <c r="Q401" i="23422"/>
  <c r="R437" i="23422"/>
  <c r="Q437" i="23422"/>
  <c r="R436" i="23422"/>
  <c r="Q436" i="23422"/>
  <c r="R435" i="23422"/>
  <c r="Q435" i="23422"/>
  <c r="R434" i="23422"/>
  <c r="Q434" i="23422"/>
  <c r="R433" i="23422"/>
  <c r="Q433" i="23422"/>
  <c r="R432" i="23422"/>
  <c r="Q432" i="23422"/>
  <c r="R431" i="23422"/>
  <c r="Q431" i="23422"/>
  <c r="R430" i="23422"/>
  <c r="Q430" i="23422"/>
  <c r="R429" i="23422"/>
  <c r="Q429" i="23422"/>
  <c r="R428" i="23422"/>
  <c r="Q428" i="23422"/>
  <c r="R318" i="23422"/>
  <c r="Q318" i="23422"/>
  <c r="R281" i="23422"/>
  <c r="Q281" i="23422"/>
  <c r="R317" i="23422"/>
  <c r="Q317" i="23422"/>
  <c r="R316" i="23422"/>
  <c r="Q316" i="23422"/>
  <c r="R315" i="23422"/>
  <c r="Q315" i="23422"/>
  <c r="R314" i="23422"/>
  <c r="Q314" i="23422"/>
  <c r="R313" i="23422"/>
  <c r="Q313" i="23422"/>
  <c r="R312" i="23422"/>
  <c r="Q312" i="23422"/>
  <c r="R311" i="23422"/>
  <c r="Q311" i="23422"/>
  <c r="R310" i="23422"/>
  <c r="Q310" i="23422"/>
  <c r="R309" i="23422"/>
  <c r="Q309" i="23422"/>
  <c r="R308" i="23422"/>
  <c r="Q308" i="23422"/>
  <c r="R198" i="23422"/>
  <c r="Q198" i="23422"/>
  <c r="R161" i="23422"/>
  <c r="Q161" i="23422"/>
  <c r="R197" i="23422"/>
  <c r="Q197" i="23422"/>
  <c r="R196" i="23422"/>
  <c r="Q196" i="23422"/>
  <c r="R195" i="23422"/>
  <c r="Q195" i="23422"/>
  <c r="R194" i="23422"/>
  <c r="Q194" i="23422"/>
  <c r="R193" i="23422"/>
  <c r="Q193" i="23422"/>
  <c r="R192" i="23422"/>
  <c r="Q192" i="23422"/>
  <c r="R191" i="23422"/>
  <c r="Q191" i="23422"/>
  <c r="R190" i="23422"/>
  <c r="Q190" i="23422"/>
  <c r="R189" i="23422"/>
  <c r="Q189" i="23422"/>
  <c r="R188" i="23422"/>
  <c r="Q188" i="23422"/>
  <c r="R1027" i="23422"/>
  <c r="Q1027" i="23422"/>
  <c r="R1026" i="23422"/>
  <c r="Q1026" i="23422"/>
  <c r="R1025" i="23422"/>
  <c r="Q1025" i="23422"/>
  <c r="R1024" i="23422"/>
  <c r="Q1024" i="23422"/>
  <c r="R1023" i="23422"/>
  <c r="Q1023" i="23422"/>
  <c r="R1022" i="23422"/>
  <c r="Q1022" i="23422"/>
  <c r="R1021" i="23422"/>
  <c r="Q1021" i="23422"/>
  <c r="R1020" i="23422"/>
  <c r="Q1020" i="23422"/>
  <c r="R1019" i="23422"/>
  <c r="Q1019" i="23422"/>
  <c r="R1018" i="23422"/>
  <c r="Q1018" i="23422"/>
  <c r="R1017" i="23422"/>
  <c r="Q1017" i="23422"/>
  <c r="R1016" i="23422"/>
  <c r="Q1016" i="23422"/>
  <c r="R907" i="23422"/>
  <c r="Q907" i="23422"/>
  <c r="R906" i="23422"/>
  <c r="Q906" i="23422"/>
  <c r="R905" i="23422"/>
  <c r="Q905" i="23422"/>
  <c r="R904" i="23422"/>
  <c r="Q904" i="23422"/>
  <c r="R903" i="23422"/>
  <c r="Q903" i="23422"/>
  <c r="R902" i="23422"/>
  <c r="Q902" i="23422"/>
  <c r="R901" i="23422"/>
  <c r="Q901" i="23422"/>
  <c r="R900" i="23422"/>
  <c r="Q900" i="23422"/>
  <c r="R899" i="23422"/>
  <c r="Q899" i="23422"/>
  <c r="R898" i="23422"/>
  <c r="Q898" i="23422"/>
  <c r="R897" i="23422"/>
  <c r="Q897" i="23422"/>
  <c r="R896" i="23422"/>
  <c r="Q896" i="23422"/>
  <c r="R816" i="23422"/>
  <c r="Q816" i="23422"/>
  <c r="R815" i="23422"/>
  <c r="Q815" i="23422"/>
  <c r="R814" i="23422"/>
  <c r="Q814" i="23422"/>
  <c r="R813" i="23422"/>
  <c r="Q813" i="23422"/>
  <c r="R812" i="23422"/>
  <c r="Q812" i="23422"/>
  <c r="R811" i="23422"/>
  <c r="Q811" i="23422"/>
  <c r="R727" i="23422"/>
  <c r="Q727" i="23422"/>
  <c r="R726" i="23422"/>
  <c r="Q726" i="23422"/>
  <c r="R725" i="23422"/>
  <c r="Q725" i="23422"/>
  <c r="R724" i="23422"/>
  <c r="Q724" i="23422"/>
  <c r="R723" i="23422"/>
  <c r="Q723" i="23422"/>
  <c r="R722" i="23422"/>
  <c r="Q722" i="23422"/>
  <c r="R721" i="23422"/>
  <c r="Q721" i="23422"/>
  <c r="R720" i="23422"/>
  <c r="Q720" i="23422"/>
  <c r="R719" i="23422"/>
  <c r="Q719" i="23422"/>
  <c r="R718" i="23422"/>
  <c r="Q718" i="23422"/>
  <c r="R717" i="23422"/>
  <c r="Q717" i="23422"/>
  <c r="R716" i="23422"/>
  <c r="Q716" i="23422"/>
  <c r="R607" i="23422"/>
  <c r="Q607" i="23422"/>
  <c r="R606" i="23422"/>
  <c r="Q606" i="23422"/>
  <c r="R605" i="23422"/>
  <c r="Q605" i="23422"/>
  <c r="R604" i="23422"/>
  <c r="Q604" i="23422"/>
  <c r="R603" i="23422"/>
  <c r="Q603" i="23422"/>
  <c r="R602" i="23422"/>
  <c r="Q602" i="23422"/>
  <c r="R427" i="23422"/>
  <c r="Q427" i="23422"/>
  <c r="R426" i="23422"/>
  <c r="Q426" i="23422"/>
  <c r="R425" i="23422"/>
  <c r="Q425" i="23422"/>
  <c r="R424" i="23422"/>
  <c r="Q424" i="23422"/>
  <c r="R423" i="23422"/>
  <c r="Q423" i="23422"/>
  <c r="R422" i="23422"/>
  <c r="Q422" i="23422"/>
  <c r="R421" i="23422"/>
  <c r="Q421" i="23422"/>
  <c r="R420" i="23422"/>
  <c r="Q420" i="23422"/>
  <c r="R419" i="23422"/>
  <c r="Q419" i="23422"/>
  <c r="R418" i="23422"/>
  <c r="Q418" i="23422"/>
  <c r="R417" i="23422"/>
  <c r="Q417" i="23422"/>
  <c r="R416" i="23422"/>
  <c r="Q416" i="23422"/>
  <c r="R307" i="23422"/>
  <c r="Q307" i="23422"/>
  <c r="R306" i="23422"/>
  <c r="Q306" i="23422"/>
  <c r="R305" i="23422"/>
  <c r="Q305" i="23422"/>
  <c r="R304" i="23422"/>
  <c r="Q304" i="23422"/>
  <c r="R303" i="23422"/>
  <c r="Q303" i="23422"/>
  <c r="R302" i="23422"/>
  <c r="Q302" i="23422"/>
  <c r="R301" i="23422"/>
  <c r="Q301" i="23422"/>
  <c r="R300" i="23422"/>
  <c r="Q300" i="23422"/>
  <c r="R299" i="23422"/>
  <c r="Q299" i="23422"/>
  <c r="R298" i="23422"/>
  <c r="Q298" i="23422"/>
  <c r="R297" i="23422"/>
  <c r="Q297" i="23422"/>
  <c r="R296" i="23422"/>
  <c r="Q296" i="23422"/>
  <c r="R187" i="23422"/>
  <c r="Q187" i="23422"/>
  <c r="R186" i="23422"/>
  <c r="Q186" i="23422"/>
  <c r="R185" i="23422"/>
  <c r="Q185" i="23422"/>
  <c r="R184" i="23422"/>
  <c r="Q184" i="23422"/>
  <c r="R183" i="23422"/>
  <c r="Q183" i="23422"/>
  <c r="R182" i="23422"/>
  <c r="Q182" i="23422"/>
  <c r="R181" i="23422"/>
  <c r="Q181" i="23422"/>
  <c r="R180" i="23422"/>
  <c r="Q180" i="23422"/>
  <c r="R179" i="23422"/>
  <c r="Q179" i="23422"/>
  <c r="R178" i="23422"/>
  <c r="Q178" i="23422"/>
  <c r="R177" i="23422"/>
  <c r="Q177" i="23422"/>
  <c r="R176" i="23422"/>
  <c r="Q176" i="23422"/>
  <c r="R67" i="23422"/>
  <c r="Q67" i="23422"/>
  <c r="R66" i="23422"/>
  <c r="Q66" i="23422"/>
  <c r="R65" i="23422"/>
  <c r="Q65" i="23422"/>
  <c r="R64" i="23422"/>
  <c r="Q64" i="23422"/>
  <c r="R63" i="23422"/>
  <c r="Q63" i="23422"/>
  <c r="R62" i="23422"/>
  <c r="Q62" i="23422"/>
  <c r="R61" i="23422"/>
  <c r="Q61" i="23422"/>
  <c r="R60" i="23422"/>
  <c r="Q60" i="23422"/>
  <c r="R59" i="23422"/>
  <c r="Q59" i="23422"/>
  <c r="R58" i="23422"/>
  <c r="Q58" i="23422"/>
  <c r="R57" i="23422"/>
  <c r="Q57" i="23422"/>
  <c r="R56" i="23422"/>
  <c r="Q56" i="23422"/>
  <c r="R1015" i="23422"/>
  <c r="Q1015" i="23422"/>
  <c r="R1014" i="23422"/>
  <c r="Q1014" i="23422"/>
  <c r="R1013" i="23422"/>
  <c r="Q1013" i="23422"/>
  <c r="R1012" i="23422"/>
  <c r="Q1012" i="23422"/>
  <c r="R1011" i="23422"/>
  <c r="Q1011" i="23422"/>
  <c r="R1010" i="23422"/>
  <c r="Q1010" i="23422"/>
  <c r="R1009" i="23422"/>
  <c r="Q1009" i="23422"/>
  <c r="R1008" i="23422"/>
  <c r="Q1008" i="23422"/>
  <c r="R1007" i="23422"/>
  <c r="Q1007" i="23422"/>
  <c r="R1006" i="23422"/>
  <c r="Q1006" i="23422"/>
  <c r="R1005" i="23422"/>
  <c r="Q1005" i="23422"/>
  <c r="R1004" i="23422"/>
  <c r="Q1004" i="23422"/>
  <c r="R895" i="23422"/>
  <c r="Q895" i="23422"/>
  <c r="R894" i="23422"/>
  <c r="Q894" i="23422"/>
  <c r="R893" i="23422"/>
  <c r="Q893" i="23422"/>
  <c r="R892" i="23422"/>
  <c r="Q892" i="23422"/>
  <c r="R891" i="23422"/>
  <c r="Q891" i="23422"/>
  <c r="R890" i="23422"/>
  <c r="Q890" i="23422"/>
  <c r="R889" i="23422"/>
  <c r="Q889" i="23422"/>
  <c r="R888" i="23422"/>
  <c r="Q888" i="23422"/>
  <c r="R887" i="23422"/>
  <c r="Q887" i="23422"/>
  <c r="R886" i="23422"/>
  <c r="Q886" i="23422"/>
  <c r="R885" i="23422"/>
  <c r="Q885" i="23422"/>
  <c r="R884" i="23422"/>
  <c r="Q884" i="23422"/>
  <c r="R810" i="23422"/>
  <c r="Q810" i="23422"/>
  <c r="R809" i="23422"/>
  <c r="Q809" i="23422"/>
  <c r="R808" i="23422"/>
  <c r="Q808" i="23422"/>
  <c r="R807" i="23422"/>
  <c r="Q807" i="23422"/>
  <c r="R806" i="23422"/>
  <c r="Q806" i="23422"/>
  <c r="R805" i="23422"/>
  <c r="Q805" i="23422"/>
  <c r="R715" i="23422"/>
  <c r="Q715" i="23422"/>
  <c r="R714" i="23422"/>
  <c r="Q714" i="23422"/>
  <c r="R713" i="23422"/>
  <c r="Q713" i="23422"/>
  <c r="R712" i="23422"/>
  <c r="Q712" i="23422"/>
  <c r="R711" i="23422"/>
  <c r="Q711" i="23422"/>
  <c r="R710" i="23422"/>
  <c r="Q710" i="23422"/>
  <c r="R709" i="23422"/>
  <c r="Q709" i="23422"/>
  <c r="R708" i="23422"/>
  <c r="Q708" i="23422"/>
  <c r="R707" i="23422"/>
  <c r="Q707" i="23422"/>
  <c r="R706" i="23422"/>
  <c r="Q706" i="23422"/>
  <c r="R705" i="23422"/>
  <c r="Q705" i="23422"/>
  <c r="R704" i="23422"/>
  <c r="Q704" i="23422"/>
  <c r="R595" i="23422"/>
  <c r="Q595" i="23422"/>
  <c r="R594" i="23422"/>
  <c r="Q594" i="23422"/>
  <c r="R593" i="23422"/>
  <c r="Q593" i="23422"/>
  <c r="R592" i="23422"/>
  <c r="Q592" i="23422"/>
  <c r="R591" i="23422"/>
  <c r="Q591" i="23422"/>
  <c r="R590" i="23422"/>
  <c r="Q590" i="23422"/>
  <c r="R295" i="23422"/>
  <c r="Q295" i="23422"/>
  <c r="R294" i="23422"/>
  <c r="Q294" i="23422"/>
  <c r="R293" i="23422"/>
  <c r="Q293" i="23422"/>
  <c r="R292" i="23422"/>
  <c r="Q292" i="23422"/>
  <c r="R291" i="23422"/>
  <c r="Q291" i="23422"/>
  <c r="R290" i="23422"/>
  <c r="Q290" i="23422"/>
  <c r="R289" i="23422"/>
  <c r="Q289" i="23422"/>
  <c r="R288" i="23422"/>
  <c r="Q288" i="23422"/>
  <c r="R287" i="23422"/>
  <c r="Q287" i="23422"/>
  <c r="R286" i="23422"/>
  <c r="Q286" i="23422"/>
  <c r="R285" i="23422"/>
  <c r="Q285" i="23422"/>
  <c r="R284" i="23422"/>
  <c r="Q284" i="23422"/>
  <c r="R175" i="23422"/>
  <c r="Q175" i="23422"/>
  <c r="R174" i="23422"/>
  <c r="Q174" i="23422"/>
  <c r="R173" i="23422"/>
  <c r="Q173" i="23422"/>
  <c r="R172" i="23422"/>
  <c r="Q172" i="23422"/>
  <c r="R171" i="23422"/>
  <c r="Q171" i="23422"/>
  <c r="R170" i="23422"/>
  <c r="Q170" i="23422"/>
  <c r="R169" i="23422"/>
  <c r="Q169" i="23422"/>
  <c r="R168" i="23422"/>
  <c r="Q168" i="23422"/>
  <c r="R167" i="23422"/>
  <c r="Q167" i="23422"/>
  <c r="R166" i="23422"/>
  <c r="Q166" i="23422"/>
  <c r="R165" i="23422"/>
  <c r="Q165" i="23422"/>
  <c r="R164" i="23422"/>
  <c r="Q164" i="23422"/>
  <c r="R55" i="23422"/>
  <c r="Q55" i="23422"/>
  <c r="R54" i="23422"/>
  <c r="Q54" i="23422"/>
  <c r="R53" i="23422"/>
  <c r="Q53" i="23422"/>
  <c r="R52" i="23422"/>
  <c r="Q52" i="23422"/>
  <c r="R51" i="23422"/>
  <c r="Q51" i="23422"/>
  <c r="R50" i="23422"/>
  <c r="Q50" i="23422"/>
  <c r="R49" i="23422"/>
  <c r="Q49" i="23422"/>
  <c r="R48" i="23422"/>
  <c r="Q48" i="23422"/>
  <c r="R47" i="23422"/>
  <c r="Q47" i="23422"/>
  <c r="R46" i="23422"/>
  <c r="Q46" i="23422"/>
  <c r="R45" i="23422"/>
  <c r="Q45" i="23422"/>
  <c r="R44" i="23422"/>
  <c r="Q44" i="23422"/>
  <c r="R1003" i="23422"/>
  <c r="Q1003" i="23422"/>
  <c r="R1002" i="23422"/>
  <c r="Q1002" i="23422"/>
  <c r="R1000" i="23422"/>
  <c r="Q1000" i="23422"/>
  <c r="R999" i="23422"/>
  <c r="Q999" i="23422"/>
  <c r="R998" i="23422"/>
  <c r="Q998" i="23422"/>
  <c r="R997" i="23422"/>
  <c r="Q997" i="23422"/>
  <c r="R996" i="23422"/>
  <c r="Q996" i="23422"/>
  <c r="R995" i="23422"/>
  <c r="Q995" i="23422"/>
  <c r="R994" i="23422"/>
  <c r="Q994" i="23422"/>
  <c r="R993" i="23422"/>
  <c r="Q993" i="23422"/>
  <c r="R992" i="23422"/>
  <c r="Q992" i="23422"/>
  <c r="R991" i="23422"/>
  <c r="Q991" i="23422"/>
  <c r="R804" i="23422"/>
  <c r="Q804" i="23422"/>
  <c r="R803" i="23422"/>
  <c r="Q803" i="23422"/>
  <c r="R802" i="23422"/>
  <c r="Q802" i="23422"/>
  <c r="R801" i="23422"/>
  <c r="Q801" i="23422"/>
  <c r="R800" i="23422"/>
  <c r="Q800" i="23422"/>
  <c r="R799" i="23422"/>
  <c r="Q799" i="23422"/>
  <c r="R703" i="23422"/>
  <c r="Q703" i="23422"/>
  <c r="R702" i="23422"/>
  <c r="Q702" i="23422"/>
  <c r="R700" i="23422"/>
  <c r="Q700" i="23422"/>
  <c r="R699" i="23422"/>
  <c r="Q699" i="23422"/>
  <c r="R698" i="23422"/>
  <c r="Q698" i="23422"/>
  <c r="R697" i="23422"/>
  <c r="Q697" i="23422"/>
  <c r="R696" i="23422"/>
  <c r="Q696" i="23422"/>
  <c r="R695" i="23422"/>
  <c r="Q695" i="23422"/>
  <c r="R694" i="23422"/>
  <c r="Q694" i="23422"/>
  <c r="R693" i="23422"/>
  <c r="Q693" i="23422"/>
  <c r="R692" i="23422"/>
  <c r="Q692" i="23422"/>
  <c r="R691" i="23422"/>
  <c r="Q691" i="23422"/>
  <c r="R583" i="23422"/>
  <c r="Q583" i="23422"/>
  <c r="R582" i="23422"/>
  <c r="Q582" i="23422"/>
  <c r="R580" i="23422"/>
  <c r="Q580" i="23422"/>
  <c r="R579" i="23422"/>
  <c r="Q579" i="23422"/>
  <c r="R578" i="23422"/>
  <c r="Q578" i="23422"/>
  <c r="R577" i="23422"/>
  <c r="Q577" i="23422"/>
  <c r="R576" i="23422"/>
  <c r="Q576" i="23422"/>
  <c r="R575" i="23422"/>
  <c r="Q575" i="23422"/>
  <c r="R574" i="23422"/>
  <c r="Q574" i="23422"/>
  <c r="R573" i="23422"/>
  <c r="Q573" i="23422"/>
  <c r="R572" i="23422"/>
  <c r="Q572" i="23422"/>
  <c r="R571" i="23422"/>
  <c r="Q571" i="23422"/>
  <c r="R504" i="23422"/>
  <c r="Q504" i="23422"/>
  <c r="R503" i="23422"/>
  <c r="Q503" i="23422"/>
  <c r="R502" i="23422"/>
  <c r="Q502" i="23422"/>
  <c r="R501" i="23422"/>
  <c r="Q501" i="23422"/>
  <c r="R500" i="23422"/>
  <c r="Q500" i="23422"/>
  <c r="R499" i="23422"/>
  <c r="Q499" i="23422"/>
  <c r="R403" i="23422"/>
  <c r="Q403" i="23422"/>
  <c r="R402" i="23422"/>
  <c r="Q402" i="23422"/>
  <c r="R400" i="23422"/>
  <c r="Q400" i="23422"/>
  <c r="R399" i="23422"/>
  <c r="Q399" i="23422"/>
  <c r="R398" i="23422"/>
  <c r="Q398" i="23422"/>
  <c r="R397" i="23422"/>
  <c r="Q397" i="23422"/>
  <c r="R396" i="23422"/>
  <c r="Q396" i="23422"/>
  <c r="R395" i="23422"/>
  <c r="Q395" i="23422"/>
  <c r="R394" i="23422"/>
  <c r="Q394" i="23422"/>
  <c r="R393" i="23422"/>
  <c r="Q393" i="23422"/>
  <c r="R392" i="23422"/>
  <c r="Q392" i="23422"/>
  <c r="R391" i="23422"/>
  <c r="Q391" i="23422"/>
  <c r="R283" i="23422"/>
  <c r="Q283" i="23422"/>
  <c r="R282" i="23422"/>
  <c r="Q282" i="23422"/>
  <c r="R280" i="23422"/>
  <c r="Q280" i="23422"/>
  <c r="R279" i="23422"/>
  <c r="Q279" i="23422"/>
  <c r="R278" i="23422"/>
  <c r="Q278" i="23422"/>
  <c r="R277" i="23422"/>
  <c r="Q277" i="23422"/>
  <c r="R276" i="23422"/>
  <c r="Q276" i="23422"/>
  <c r="R275" i="23422"/>
  <c r="Q275" i="23422"/>
  <c r="R274" i="23422"/>
  <c r="Q274" i="23422"/>
  <c r="R273" i="23422"/>
  <c r="Q273" i="23422"/>
  <c r="R272" i="23422"/>
  <c r="Q272" i="23422"/>
  <c r="R271" i="23422"/>
  <c r="Q271" i="23422"/>
  <c r="R163" i="23422"/>
  <c r="Q163" i="23422"/>
  <c r="R162" i="23422"/>
  <c r="Q162" i="23422"/>
  <c r="R160" i="23422"/>
  <c r="Q160" i="23422"/>
  <c r="R159" i="23422"/>
  <c r="Q159" i="23422"/>
  <c r="R158" i="23422"/>
  <c r="Q158" i="23422"/>
  <c r="R157" i="23422"/>
  <c r="Q157" i="23422"/>
  <c r="R156" i="23422"/>
  <c r="Q156" i="23422"/>
  <c r="R155" i="23422"/>
  <c r="Q155" i="23422"/>
  <c r="R154" i="23422"/>
  <c r="Q154" i="23422"/>
  <c r="R153" i="23422"/>
  <c r="Q153" i="23422"/>
  <c r="R152" i="23422"/>
  <c r="Q152" i="23422"/>
  <c r="R151" i="23422"/>
  <c r="Q151" i="23422"/>
  <c r="R43" i="23422"/>
  <c r="Q43" i="23422"/>
  <c r="R42" i="23422"/>
  <c r="Q42" i="23422"/>
  <c r="R40" i="23422"/>
  <c r="Q40" i="23422"/>
  <c r="R39" i="23422"/>
  <c r="Q39" i="23422"/>
  <c r="R38" i="23422"/>
  <c r="Q38" i="23422"/>
  <c r="R37" i="23422"/>
  <c r="Q37" i="23422"/>
  <c r="R36" i="23422"/>
  <c r="Q36" i="23422"/>
  <c r="R35" i="23422"/>
  <c r="Q35" i="23422"/>
  <c r="R34" i="23422"/>
  <c r="Q34" i="23422"/>
  <c r="R33" i="23422"/>
  <c r="Q33" i="23422"/>
  <c r="R32" i="23422"/>
  <c r="Q32" i="23422"/>
  <c r="R31" i="23422"/>
  <c r="Q31" i="23422"/>
  <c r="R990" i="23422"/>
  <c r="Q990" i="23422"/>
  <c r="R989" i="23422"/>
  <c r="Q989" i="23422"/>
  <c r="R988" i="23422"/>
  <c r="Q988" i="23422"/>
  <c r="R987" i="23422"/>
  <c r="Q987" i="23422"/>
  <c r="R986" i="23422"/>
  <c r="Q986" i="23422"/>
  <c r="R985" i="23422"/>
  <c r="Q985" i="23422"/>
  <c r="R984" i="23422"/>
  <c r="Q984" i="23422"/>
  <c r="R983" i="23422"/>
  <c r="Q983" i="23422"/>
  <c r="R982" i="23422"/>
  <c r="Q982" i="23422"/>
  <c r="R981" i="23422"/>
  <c r="Q981" i="23422"/>
  <c r="R980" i="23422"/>
  <c r="Q980" i="23422"/>
  <c r="R979" i="23422"/>
  <c r="Q979" i="23422"/>
  <c r="R684" i="23422"/>
  <c r="Q684" i="23422"/>
  <c r="R683" i="23422"/>
  <c r="Q683" i="23422"/>
  <c r="R682" i="23422"/>
  <c r="Q682" i="23422"/>
  <c r="R681" i="23422"/>
  <c r="Q681" i="23422"/>
  <c r="R680" i="23422"/>
  <c r="Q680" i="23422"/>
  <c r="R679" i="23422"/>
  <c r="Q679" i="23422"/>
  <c r="R570" i="23422"/>
  <c r="Q570" i="23422"/>
  <c r="R569" i="23422"/>
  <c r="Q569" i="23422"/>
  <c r="R568" i="23422"/>
  <c r="Q568" i="23422"/>
  <c r="R567" i="23422"/>
  <c r="Q567" i="23422"/>
  <c r="R566" i="23422"/>
  <c r="Q566" i="23422"/>
  <c r="R565" i="23422"/>
  <c r="Q565" i="23422"/>
  <c r="R564" i="23422"/>
  <c r="Q564" i="23422"/>
  <c r="R563" i="23422"/>
  <c r="Q563" i="23422"/>
  <c r="R562" i="23422"/>
  <c r="Q562" i="23422"/>
  <c r="R561" i="23422"/>
  <c r="Q561" i="23422"/>
  <c r="R560" i="23422"/>
  <c r="Q560" i="23422"/>
  <c r="R559" i="23422"/>
  <c r="Q559" i="23422"/>
  <c r="R498" i="23422"/>
  <c r="Q498" i="23422"/>
  <c r="R497" i="23422"/>
  <c r="Q497" i="23422"/>
  <c r="R496" i="23422"/>
  <c r="Q496" i="23422"/>
  <c r="R495" i="23422"/>
  <c r="Q495" i="23422"/>
  <c r="R494" i="23422"/>
  <c r="Q494" i="23422"/>
  <c r="R493" i="23422"/>
  <c r="Q493" i="23422"/>
  <c r="R390" i="23422"/>
  <c r="Q390" i="23422"/>
  <c r="R389" i="23422"/>
  <c r="Q389" i="23422"/>
  <c r="R388" i="23422"/>
  <c r="Q388" i="23422"/>
  <c r="R387" i="23422"/>
  <c r="Q387" i="23422"/>
  <c r="R386" i="23422"/>
  <c r="Q386" i="23422"/>
  <c r="R385" i="23422"/>
  <c r="Q385" i="23422"/>
  <c r="R384" i="23422"/>
  <c r="Q384" i="23422"/>
  <c r="R383" i="23422"/>
  <c r="Q383" i="23422"/>
  <c r="R382" i="23422"/>
  <c r="Q382" i="23422"/>
  <c r="R381" i="23422"/>
  <c r="Q381" i="23422"/>
  <c r="R380" i="23422"/>
  <c r="Q380" i="23422"/>
  <c r="R379" i="23422"/>
  <c r="Q379" i="23422"/>
  <c r="R270" i="23422"/>
  <c r="Q270" i="23422"/>
  <c r="R269" i="23422"/>
  <c r="Q269" i="23422"/>
  <c r="R268" i="23422"/>
  <c r="Q268" i="23422"/>
  <c r="R267" i="23422"/>
  <c r="Q267" i="23422"/>
  <c r="R266" i="23422"/>
  <c r="Q266" i="23422"/>
  <c r="R265" i="23422"/>
  <c r="Q265" i="23422"/>
  <c r="R264" i="23422"/>
  <c r="Q264" i="23422"/>
  <c r="R263" i="23422"/>
  <c r="Q263" i="23422"/>
  <c r="R262" i="23422"/>
  <c r="Q262" i="23422"/>
  <c r="R261" i="23422"/>
  <c r="Q261" i="23422"/>
  <c r="R260" i="23422"/>
  <c r="Q260" i="23422"/>
  <c r="R259" i="23422"/>
  <c r="Q259" i="23422"/>
  <c r="R858" i="23422"/>
  <c r="Q858" i="23422"/>
  <c r="R857" i="23422"/>
  <c r="Q857" i="23422"/>
  <c r="R856" i="23422"/>
  <c r="Q856" i="23422"/>
  <c r="R855" i="23422"/>
  <c r="Q855" i="23422"/>
  <c r="R854" i="23422"/>
  <c r="Q854" i="23422"/>
  <c r="R853" i="23422"/>
  <c r="Q853" i="23422"/>
  <c r="R852" i="23422"/>
  <c r="Q852" i="23422"/>
  <c r="R851" i="23422"/>
  <c r="Q851" i="23422"/>
  <c r="R850" i="23422"/>
  <c r="Q850" i="23422"/>
  <c r="R849" i="23422"/>
  <c r="Q849" i="23422"/>
  <c r="R848" i="23422"/>
  <c r="Q848" i="23422"/>
  <c r="R847" i="23422"/>
  <c r="Q847" i="23422"/>
  <c r="R792" i="23422"/>
  <c r="Q792" i="23422"/>
  <c r="R791" i="23422"/>
  <c r="Q791" i="23422"/>
  <c r="R790" i="23422"/>
  <c r="Q790" i="23422"/>
  <c r="R789" i="23422"/>
  <c r="Q789" i="23422"/>
  <c r="R788" i="23422"/>
  <c r="Q788" i="23422"/>
  <c r="R787" i="23422"/>
  <c r="Q787" i="23422"/>
  <c r="R678" i="23422"/>
  <c r="Q678" i="23422"/>
  <c r="R677" i="23422"/>
  <c r="Q677" i="23422"/>
  <c r="R676" i="23422"/>
  <c r="Q676" i="23422"/>
  <c r="R675" i="23422"/>
  <c r="Q675" i="23422"/>
  <c r="R674" i="23422"/>
  <c r="Q674" i="23422"/>
  <c r="R673" i="23422"/>
  <c r="Q673" i="23422"/>
  <c r="R672" i="23422"/>
  <c r="Q672" i="23422"/>
  <c r="R671" i="23422"/>
  <c r="Q671" i="23422"/>
  <c r="R670" i="23422"/>
  <c r="Q670" i="23422"/>
  <c r="R669" i="23422"/>
  <c r="Q669" i="23422"/>
  <c r="R668" i="23422"/>
  <c r="Q668" i="23422"/>
  <c r="R667" i="23422"/>
  <c r="Q667" i="23422"/>
  <c r="R558" i="23422"/>
  <c r="Q558" i="23422"/>
  <c r="R557" i="23422"/>
  <c r="Q557" i="23422"/>
  <c r="R556" i="23422"/>
  <c r="Q556" i="23422"/>
  <c r="R555" i="23422"/>
  <c r="Q555" i="23422"/>
  <c r="R554" i="23422"/>
  <c r="Q554" i="23422"/>
  <c r="R553" i="23422"/>
  <c r="Q553" i="23422"/>
  <c r="R552" i="23422"/>
  <c r="Q552" i="23422"/>
  <c r="R551" i="23422"/>
  <c r="Q551" i="23422"/>
  <c r="R550" i="23422"/>
  <c r="Q550" i="23422"/>
  <c r="R549" i="23422"/>
  <c r="Q549" i="23422"/>
  <c r="R548" i="23422"/>
  <c r="Q548" i="23422"/>
  <c r="R547" i="23422"/>
  <c r="Q547" i="23422"/>
  <c r="R492" i="23422"/>
  <c r="Q492" i="23422"/>
  <c r="R491" i="23422"/>
  <c r="Q491" i="23422"/>
  <c r="R490" i="23422"/>
  <c r="Q490" i="23422"/>
  <c r="R489" i="23422"/>
  <c r="Q489" i="23422"/>
  <c r="R488" i="23422"/>
  <c r="Q488" i="23422"/>
  <c r="R487" i="23422"/>
  <c r="Q487" i="23422"/>
  <c r="R378" i="23422"/>
  <c r="Q378" i="23422"/>
  <c r="R377" i="23422"/>
  <c r="Q377" i="23422"/>
  <c r="R376" i="23422"/>
  <c r="Q376" i="23422"/>
  <c r="R375" i="23422"/>
  <c r="Q375" i="23422"/>
  <c r="R374" i="23422"/>
  <c r="Q374" i="23422"/>
  <c r="R373" i="23422"/>
  <c r="Q373" i="23422"/>
  <c r="R372" i="23422"/>
  <c r="Q372" i="23422"/>
  <c r="R371" i="23422"/>
  <c r="Q371" i="23422"/>
  <c r="R370" i="23422"/>
  <c r="Q370" i="23422"/>
  <c r="R369" i="23422"/>
  <c r="Q369" i="23422"/>
  <c r="R368" i="23422"/>
  <c r="Q368" i="23422"/>
  <c r="R367" i="23422"/>
  <c r="Q367" i="23422"/>
  <c r="R258" i="23422"/>
  <c r="Q258" i="23422"/>
  <c r="R257" i="23422"/>
  <c r="Q257" i="23422"/>
  <c r="R256" i="23422"/>
  <c r="Q256" i="23422"/>
  <c r="R255" i="23422"/>
  <c r="Q255" i="23422"/>
  <c r="R254" i="23422"/>
  <c r="Q254" i="23422"/>
  <c r="R253" i="23422"/>
  <c r="Q253" i="23422"/>
  <c r="R252" i="23422"/>
  <c r="Q252" i="23422"/>
  <c r="R251" i="23422"/>
  <c r="Q251" i="23422"/>
  <c r="R250" i="23422"/>
  <c r="Q250" i="23422"/>
  <c r="R249" i="23422"/>
  <c r="Q249" i="23422"/>
  <c r="R248" i="23422"/>
  <c r="Q248" i="23422"/>
  <c r="R247" i="23422"/>
  <c r="Q247" i="23422"/>
  <c r="A1" i="23427" l="1"/>
  <c r="A110" i="23427"/>
  <c r="A109" i="23427"/>
  <c r="A108" i="23427"/>
  <c r="A107" i="23427"/>
  <c r="A106" i="23427"/>
  <c r="A105" i="23427"/>
  <c r="A104" i="23427"/>
  <c r="A103" i="23427"/>
  <c r="A102" i="23427"/>
  <c r="A101" i="23427"/>
  <c r="A100" i="23427"/>
  <c r="A99" i="23427"/>
  <c r="A98" i="23427"/>
  <c r="A97" i="23427"/>
  <c r="A96" i="23427"/>
  <c r="A95" i="23427"/>
  <c r="A94" i="23427"/>
  <c r="A93" i="23427"/>
  <c r="A92" i="23427"/>
  <c r="A91" i="23427"/>
  <c r="A90" i="23427"/>
  <c r="A89" i="23427"/>
  <c r="A88" i="23427"/>
  <c r="A87" i="23427"/>
  <c r="A86" i="23427"/>
  <c r="A85" i="23427"/>
  <c r="A84" i="23427"/>
  <c r="A83" i="23427"/>
  <c r="A82" i="23427"/>
  <c r="A81" i="23427"/>
  <c r="A80" i="23427"/>
  <c r="A79" i="23427"/>
  <c r="A78" i="23427"/>
  <c r="A77" i="23427"/>
  <c r="A76" i="23427"/>
  <c r="A75" i="23427"/>
  <c r="A74" i="23427"/>
  <c r="A73" i="23427"/>
  <c r="A72" i="23427"/>
  <c r="A71" i="23427"/>
  <c r="A70" i="23427"/>
  <c r="A69" i="23427"/>
  <c r="A68" i="23427"/>
  <c r="A67" i="23427"/>
  <c r="A66" i="23427"/>
  <c r="A65" i="23427"/>
  <c r="A64" i="23427"/>
  <c r="A63" i="23427"/>
  <c r="A62" i="23427"/>
  <c r="A61" i="23427"/>
  <c r="A60" i="23427"/>
  <c r="A59" i="23427"/>
  <c r="A58" i="23427"/>
  <c r="A57" i="23427"/>
  <c r="A56" i="23427"/>
  <c r="A55" i="23427"/>
  <c r="A54" i="23427"/>
  <c r="A53" i="23427"/>
  <c r="A52" i="23427"/>
  <c r="A51" i="23427"/>
  <c r="A50" i="23427"/>
  <c r="A49" i="23427"/>
  <c r="A48" i="23427"/>
  <c r="A47" i="23427"/>
  <c r="A46" i="23427"/>
  <c r="A45" i="23427"/>
  <c r="A44" i="23427"/>
  <c r="A43" i="23427"/>
  <c r="A42" i="23427"/>
  <c r="A41" i="23427"/>
  <c r="A40" i="23427"/>
  <c r="A39" i="23427"/>
  <c r="A38" i="23427"/>
  <c r="A37" i="23427"/>
  <c r="A36" i="23427"/>
  <c r="A35" i="23427"/>
  <c r="A34" i="23427"/>
  <c r="A33" i="23427"/>
  <c r="A32" i="23427"/>
  <c r="A31" i="23427"/>
  <c r="A30" i="23427"/>
  <c r="A29" i="23427"/>
  <c r="A28" i="23427"/>
  <c r="A27" i="23427"/>
  <c r="A26" i="23427"/>
  <c r="A25" i="23427"/>
  <c r="A24" i="23427"/>
  <c r="A23" i="23427"/>
  <c r="A22" i="23427"/>
  <c r="A21" i="23427"/>
  <c r="A20" i="23427"/>
  <c r="A19" i="23427"/>
  <c r="A18" i="23427"/>
  <c r="A17" i="23427"/>
  <c r="A16" i="23427"/>
  <c r="A15" i="23427"/>
  <c r="A14" i="23427"/>
  <c r="A13" i="23427"/>
  <c r="A12" i="23427"/>
  <c r="A11" i="23427"/>
  <c r="A10" i="23427"/>
  <c r="A9" i="23427"/>
  <c r="A8" i="23427"/>
  <c r="A7" i="23427"/>
  <c r="A6" i="23427"/>
  <c r="A5" i="23427"/>
  <c r="A4" i="23427"/>
  <c r="A3" i="23427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26" i="2"/>
  <c r="AQ125" i="2"/>
  <c r="AQ124" i="2"/>
  <c r="AQ123" i="2"/>
  <c r="AQ122" i="2"/>
  <c r="AQ121" i="2"/>
  <c r="AQ105" i="2"/>
  <c r="AQ104" i="2"/>
  <c r="AQ103" i="2"/>
  <c r="AQ102" i="2"/>
  <c r="AQ101" i="2"/>
  <c r="AQ85" i="2"/>
  <c r="AQ84" i="2"/>
  <c r="AQ83" i="2"/>
  <c r="AQ82" i="2"/>
  <c r="AQ80" i="2"/>
  <c r="AQ79" i="2"/>
  <c r="AQ78" i="2"/>
  <c r="AQ77" i="2"/>
  <c r="AQ76" i="2"/>
  <c r="AQ42" i="2"/>
  <c r="AQ41" i="2"/>
  <c r="AQ40" i="2"/>
  <c r="AQ39" i="2"/>
  <c r="AQ27" i="2"/>
  <c r="AQ26" i="2"/>
  <c r="AQ25" i="2"/>
  <c r="AQ24" i="2"/>
  <c r="AQ8" i="2"/>
  <c r="AQ7" i="2"/>
  <c r="R24" i="23422"/>
  <c r="Q24" i="23422"/>
  <c r="R23" i="23422"/>
  <c r="Q23" i="23422"/>
  <c r="R22" i="23422"/>
  <c r="Q22" i="23422"/>
  <c r="R21" i="23422"/>
  <c r="Q21" i="23422"/>
  <c r="R20" i="23422"/>
  <c r="Q20" i="23422"/>
  <c r="R19" i="23422"/>
  <c r="Q19" i="23422"/>
  <c r="R978" i="23422"/>
  <c r="Q978" i="23422"/>
  <c r="R977" i="23422"/>
  <c r="Q977" i="23422"/>
  <c r="R976" i="23422"/>
  <c r="Q976" i="23422"/>
  <c r="R975" i="23422"/>
  <c r="Q975" i="23422"/>
  <c r="R974" i="23422"/>
  <c r="Q974" i="23422"/>
  <c r="R973" i="23422"/>
  <c r="Q973" i="23422"/>
  <c r="R972" i="23422"/>
  <c r="Q972" i="23422"/>
  <c r="R971" i="23422"/>
  <c r="Q971" i="23422"/>
  <c r="R970" i="23422"/>
  <c r="Q970" i="23422"/>
  <c r="R969" i="23422"/>
  <c r="Q969" i="23422"/>
  <c r="R968" i="23422"/>
  <c r="Q968" i="23422"/>
  <c r="R967" i="23422"/>
  <c r="Q967" i="23422"/>
  <c r="R1084" i="23422"/>
  <c r="R1083" i="23422"/>
  <c r="R1081" i="23422"/>
  <c r="R1080" i="23422"/>
  <c r="R1079" i="23422"/>
  <c r="R1078" i="23422"/>
  <c r="R30" i="23422"/>
  <c r="R29" i="23422"/>
  <c r="R28" i="23422"/>
  <c r="R27" i="23422"/>
  <c r="R26" i="23422"/>
  <c r="R25" i="23422"/>
  <c r="R1077" i="23422"/>
  <c r="R1076" i="23422"/>
  <c r="R1075" i="23422"/>
  <c r="R1074" i="23422"/>
  <c r="R966" i="23422"/>
  <c r="R965" i="23422"/>
  <c r="Q965" i="23422"/>
  <c r="Q27" i="23422"/>
  <c r="Q1080" i="23422"/>
  <c r="Q1083" i="23422"/>
  <c r="Q966" i="23422"/>
  <c r="Q1075" i="23422"/>
  <c r="Q1077" i="23422"/>
  <c r="Q26" i="23422"/>
  <c r="Q28" i="23422"/>
  <c r="Q30" i="23422"/>
  <c r="Q1079" i="23422"/>
  <c r="Q1081" i="23422"/>
  <c r="Q1084" i="23422"/>
  <c r="Q1078" i="23422"/>
  <c r="Q25" i="23422"/>
  <c r="Q1076" i="23422"/>
  <c r="Q29" i="23422"/>
  <c r="Q1074" i="23422"/>
  <c r="A9" i="23424" l="1"/>
  <c r="AQ20" i="2"/>
  <c r="AQ21" i="2"/>
  <c r="AQ129" i="2"/>
  <c r="AQ128" i="2"/>
  <c r="AQ144" i="2"/>
  <c r="AQ145" i="2"/>
  <c r="AQ161" i="2"/>
  <c r="AQ160" i="2"/>
  <c r="C4" i="23420"/>
  <c r="AQ127" i="2"/>
  <c r="AQ143" i="2"/>
  <c r="AQ159" i="2"/>
  <c r="AQ19" i="2"/>
  <c r="AQ23" i="2"/>
  <c r="AQ75" i="2"/>
  <c r="AQ81" i="2"/>
  <c r="S182" i="23420" l="1"/>
  <c r="S181" i="23420"/>
  <c r="S180" i="23420"/>
  <c r="S179" i="23420"/>
  <c r="S178" i="23420"/>
  <c r="S177" i="23420"/>
  <c r="S176" i="23420"/>
  <c r="S175" i="23420"/>
  <c r="S174" i="23420"/>
  <c r="S173" i="23420"/>
  <c r="S172" i="23420"/>
  <c r="S171" i="23420"/>
  <c r="R4" i="23420"/>
  <c r="N123" i="23420" s="1"/>
  <c r="S128" i="23420"/>
  <c r="S127" i="23420"/>
  <c r="S126" i="23420"/>
  <c r="S125" i="23420"/>
  <c r="S124" i="23420"/>
  <c r="S123" i="23420"/>
  <c r="S122" i="23420"/>
  <c r="S121" i="23420"/>
  <c r="S120" i="23420"/>
  <c r="S119" i="23420"/>
  <c r="S118" i="23420"/>
  <c r="S117" i="23420"/>
  <c r="R178" i="23420"/>
  <c r="R156" i="23420"/>
  <c r="R128" i="23420"/>
  <c r="R106" i="23420"/>
  <c r="R84" i="23420"/>
  <c r="R56" i="23420"/>
  <c r="R34" i="23420"/>
  <c r="R12" i="23420"/>
  <c r="R177" i="23420"/>
  <c r="R155" i="23420"/>
  <c r="R127" i="23420"/>
  <c r="R105" i="23420"/>
  <c r="R83" i="23420"/>
  <c r="R55" i="23420"/>
  <c r="R33" i="23420"/>
  <c r="R11" i="23420"/>
  <c r="R176" i="23420"/>
  <c r="R154" i="23420"/>
  <c r="R126" i="23420"/>
  <c r="R104" i="23420"/>
  <c r="R82" i="23420"/>
  <c r="R54" i="23420"/>
  <c r="R32" i="23420"/>
  <c r="R10" i="23420"/>
  <c r="R175" i="23420"/>
  <c r="R153" i="23420"/>
  <c r="R125" i="23420"/>
  <c r="R103" i="23420"/>
  <c r="R81" i="23420"/>
  <c r="R53" i="23420"/>
  <c r="R31" i="23420"/>
  <c r="R9" i="23420"/>
  <c r="R174" i="23420"/>
  <c r="R146" i="23420"/>
  <c r="R124" i="23420"/>
  <c r="R102" i="23420"/>
  <c r="R74" i="23420"/>
  <c r="R52" i="23420"/>
  <c r="R30" i="23420"/>
  <c r="T20" i="23420"/>
  <c r="R173" i="23420"/>
  <c r="R145" i="23420"/>
  <c r="R123" i="23420"/>
  <c r="R101" i="23420"/>
  <c r="R73" i="23420"/>
  <c r="R51" i="23420"/>
  <c r="R29" i="23420"/>
  <c r="T19" i="23420"/>
  <c r="R172" i="23420"/>
  <c r="R144" i="23420"/>
  <c r="R122" i="23420"/>
  <c r="R100" i="23420"/>
  <c r="R72" i="23420"/>
  <c r="R50" i="23420"/>
  <c r="R28" i="23420"/>
  <c r="T18" i="23420"/>
  <c r="R171" i="23420"/>
  <c r="R143" i="23420"/>
  <c r="R121" i="23420"/>
  <c r="R99" i="23420"/>
  <c r="R71" i="23420"/>
  <c r="R49" i="23420"/>
  <c r="R27" i="23420"/>
  <c r="T17" i="23420"/>
  <c r="R35" i="23420"/>
  <c r="R164" i="23420"/>
  <c r="R142" i="23420"/>
  <c r="R120" i="23420"/>
  <c r="R92" i="23420"/>
  <c r="R70" i="23420"/>
  <c r="R48" i="23420"/>
  <c r="R20" i="23420"/>
  <c r="T16" i="23420"/>
  <c r="R85" i="23420"/>
  <c r="R163" i="23420"/>
  <c r="R141" i="23420"/>
  <c r="R119" i="23420"/>
  <c r="R91" i="23420"/>
  <c r="R69" i="23420"/>
  <c r="R47" i="23420"/>
  <c r="R19" i="23420"/>
  <c r="T15" i="23420"/>
  <c r="R13" i="23420"/>
  <c r="R162" i="23420"/>
  <c r="R140" i="23420"/>
  <c r="R118" i="23420"/>
  <c r="R90" i="23420"/>
  <c r="R68" i="23420"/>
  <c r="R46" i="23420"/>
  <c r="R18" i="23420"/>
  <c r="T14" i="23420"/>
  <c r="R63" i="23420"/>
  <c r="T9" i="23420"/>
  <c r="R161" i="23420"/>
  <c r="R139" i="23420"/>
  <c r="R117" i="23420"/>
  <c r="R89" i="23420"/>
  <c r="R67" i="23420"/>
  <c r="R45" i="23420"/>
  <c r="R17" i="23420"/>
  <c r="T13" i="23420"/>
  <c r="R107" i="23420"/>
  <c r="R182" i="23420"/>
  <c r="R160" i="23420"/>
  <c r="R138" i="23420"/>
  <c r="R110" i="23420"/>
  <c r="R88" i="23420"/>
  <c r="R66" i="23420"/>
  <c r="R38" i="23420"/>
  <c r="R16" i="23420"/>
  <c r="T12" i="23420"/>
  <c r="R135" i="23420"/>
  <c r="R181" i="23420"/>
  <c r="R159" i="23420"/>
  <c r="R137" i="23420"/>
  <c r="R109" i="23420"/>
  <c r="R87" i="23420"/>
  <c r="R65" i="23420"/>
  <c r="R37" i="23420"/>
  <c r="R15" i="23420"/>
  <c r="T11" i="23420"/>
  <c r="R157" i="23420"/>
  <c r="R180" i="23420"/>
  <c r="R158" i="23420"/>
  <c r="R136" i="23420"/>
  <c r="R108" i="23420"/>
  <c r="R86" i="23420"/>
  <c r="R64" i="23420"/>
  <c r="R36" i="23420"/>
  <c r="R14" i="23420"/>
  <c r="T10" i="23420"/>
  <c r="R179" i="23420"/>
  <c r="S156" i="23420"/>
  <c r="S106" i="23420"/>
  <c r="S84" i="23420"/>
  <c r="S56" i="23420"/>
  <c r="S34" i="23420"/>
  <c r="S12" i="23420"/>
  <c r="S155" i="23420"/>
  <c r="S105" i="23420"/>
  <c r="S83" i="23420"/>
  <c r="S55" i="23420"/>
  <c r="S33" i="23420"/>
  <c r="S11" i="23420"/>
  <c r="S86" i="23420"/>
  <c r="S154" i="23420"/>
  <c r="S104" i="23420"/>
  <c r="S82" i="23420"/>
  <c r="S54" i="23420"/>
  <c r="S32" i="23420"/>
  <c r="S10" i="23420"/>
  <c r="S108" i="23420"/>
  <c r="S153" i="23420"/>
  <c r="S103" i="23420"/>
  <c r="S81" i="23420"/>
  <c r="S53" i="23420"/>
  <c r="S31" i="23420"/>
  <c r="S9" i="23420"/>
  <c r="S146" i="23420"/>
  <c r="S102" i="23420"/>
  <c r="S74" i="23420"/>
  <c r="S52" i="23420"/>
  <c r="S30" i="23420"/>
  <c r="S36" i="23420"/>
  <c r="S145" i="23420"/>
  <c r="S101" i="23420"/>
  <c r="S73" i="23420"/>
  <c r="S51" i="23420"/>
  <c r="S29" i="23420"/>
  <c r="S14" i="23420"/>
  <c r="S144" i="23420"/>
  <c r="S100" i="23420"/>
  <c r="S72" i="23420"/>
  <c r="S50" i="23420"/>
  <c r="S28" i="23420"/>
  <c r="S143" i="23420"/>
  <c r="S99" i="23420"/>
  <c r="S71" i="23420"/>
  <c r="S49" i="23420"/>
  <c r="S27" i="23420"/>
  <c r="S164" i="23420"/>
  <c r="S142" i="23420"/>
  <c r="S92" i="23420"/>
  <c r="S70" i="23420"/>
  <c r="S48" i="23420"/>
  <c r="S20" i="23420"/>
  <c r="S163" i="23420"/>
  <c r="S141" i="23420"/>
  <c r="S91" i="23420"/>
  <c r="S69" i="23420"/>
  <c r="S47" i="23420"/>
  <c r="S19" i="23420"/>
  <c r="S109" i="23420"/>
  <c r="S65" i="23420"/>
  <c r="S162" i="23420"/>
  <c r="S140" i="23420"/>
  <c r="S90" i="23420"/>
  <c r="S68" i="23420"/>
  <c r="S46" i="23420"/>
  <c r="S18" i="23420"/>
  <c r="S137" i="23420"/>
  <c r="S87" i="23420"/>
  <c r="S37" i="23420"/>
  <c r="S158" i="23420"/>
  <c r="S161" i="23420"/>
  <c r="S139" i="23420"/>
  <c r="S89" i="23420"/>
  <c r="S67" i="23420"/>
  <c r="S45" i="23420"/>
  <c r="S17" i="23420"/>
  <c r="S159" i="23420"/>
  <c r="S160" i="23420"/>
  <c r="S138" i="23420"/>
  <c r="S110" i="23420"/>
  <c r="S88" i="23420"/>
  <c r="S66" i="23420"/>
  <c r="S38" i="23420"/>
  <c r="S16" i="23420"/>
  <c r="S15" i="23420"/>
  <c r="S136" i="23420"/>
  <c r="S157" i="23420"/>
  <c r="S135" i="23420"/>
  <c r="S107" i="23420"/>
  <c r="S85" i="23420"/>
  <c r="S63" i="23420"/>
  <c r="S35" i="23420"/>
  <c r="S13" i="23420"/>
  <c r="S64" i="23420"/>
  <c r="AQ87" i="2"/>
  <c r="AQ97" i="2" s="1"/>
  <c r="AQ88" i="2"/>
  <c r="AQ89" i="2"/>
  <c r="AQ30" i="2"/>
  <c r="AQ31" i="2"/>
  <c r="AQ29" i="2"/>
  <c r="N177" i="23420" l="1"/>
  <c r="N15" i="23420"/>
  <c r="P15" i="23420"/>
  <c r="N33" i="23420"/>
  <c r="N51" i="23420"/>
  <c r="N69" i="23420"/>
  <c r="N87" i="23420"/>
  <c r="N105" i="23420"/>
  <c r="N141" i="23420"/>
  <c r="N159" i="23420"/>
  <c r="AQ107" i="2"/>
  <c r="AQ109" i="2"/>
  <c r="AQ108" i="2"/>
  <c r="AQ98" i="2"/>
  <c r="AQ99" i="2"/>
  <c r="AQ46" i="2"/>
  <c r="AQ47" i="2"/>
  <c r="AQ45" i="2"/>
  <c r="AQ63" i="2" s="1"/>
  <c r="AQ117" i="2" l="1"/>
  <c r="AQ118" i="2"/>
  <c r="AQ119" i="2"/>
  <c r="AQ62" i="2"/>
  <c r="AQ61" i="2"/>
  <c r="AQ72" i="2" l="1"/>
  <c r="AQ71" i="2"/>
  <c r="AQ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  <author>Ekologgruppen</author>
  </authors>
  <commentList>
    <comment ref="C7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E7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F7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H7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I7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1" shapeId="0" xr:uid="{399DC42D-E7DD-4E2F-85BE-47D6071B3948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" authorId="1" shapeId="0" xr:uid="{9E37A948-BAFF-4627-B597-A74CA77DD98C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" authorId="0" shapeId="0" xr:uid="{CC89DBC4-BCF9-436B-AF00-5316864F121D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7" authorId="1" shapeId="0" xr:uid="{00000000-0006-0000-0800-00000D000000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O7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" authorId="1" shapeId="0" xr:uid="{C04534CF-3A1F-4770-AA46-CB7CFC19F964}">
      <text>
        <r>
          <rPr>
            <b/>
            <sz val="8"/>
            <color indexed="81"/>
            <rFont val="Tahoma"/>
            <family val="2"/>
          </rPr>
          <t>Klor a</t>
        </r>
        <r>
          <rPr>
            <sz val="8"/>
            <color indexed="81"/>
            <rFont val="Tahoma"/>
            <family val="2"/>
          </rPr>
          <t xml:space="preserve">
Klorofyll a (klor a) är ett grovt mått på vattnets växtplanktonbiomassa. Halten varierar bla med ljusförhållande, temperatur och närsalttillgång
</t>
        </r>
      </text>
    </comment>
    <comment ref="Q7" authorId="2" shapeId="0" xr:uid="{552E273F-FB82-484B-90A2-772721EC6DA3}">
      <text>
        <r>
          <rPr>
            <b/>
            <sz val="8"/>
            <color indexed="81"/>
            <rFont val="Tahoma"/>
            <family val="2"/>
          </rPr>
          <t xml:space="preserve">Siktdjup:
</t>
        </r>
        <r>
          <rPr>
            <sz val="8"/>
            <color indexed="81"/>
            <rFont val="Tahoma"/>
            <family val="2"/>
          </rPr>
          <t xml:space="preserve">Det vattendjup på vilket en vit skiva kan urskiljas med vattenkikare.
</t>
        </r>
      </text>
    </comment>
    <comment ref="R7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  <author>Ekologgruppen</author>
  </authors>
  <commentList>
    <comment ref="C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E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F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H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I3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" authorId="1" shapeId="0" xr:uid="{160C2689-4BDF-41B8-A857-C154A197827A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3C286061-426C-447A-BC8B-83445FD6CDD6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" authorId="0" shapeId="0" xr:uid="{C6394C2C-F0B8-4935-82B3-47156ACBBF7B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3" authorId="0" shapeId="0" xr:uid="{B5E48C63-FBFE-49E9-A86A-24B16A731FE9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2D7B757-F719-4AEB-A957-AB1D0A1C1AF0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O3" authorId="0" shapeId="0" xr:uid="{B032EAB4-B5E6-4767-B578-128192152DC6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" authorId="1" shapeId="0" xr:uid="{7150A150-DD54-4CC1-A775-22D3D2F7910E}">
      <text>
        <r>
          <rPr>
            <b/>
            <sz val="8"/>
            <color indexed="81"/>
            <rFont val="Tahoma"/>
            <family val="2"/>
          </rPr>
          <t>Klor a</t>
        </r>
        <r>
          <rPr>
            <sz val="8"/>
            <color indexed="81"/>
            <rFont val="Tahoma"/>
            <family val="2"/>
          </rPr>
          <t xml:space="preserve">
Klorofyll a (klor a) är ett grovt mått på vattnets växtplanktonbiomassa. Halten varierar bla med ljusförhållande, temperatur och närsalttillgång
</t>
        </r>
      </text>
    </comment>
    <comment ref="Q3" authorId="2" shapeId="0" xr:uid="{FD9970A3-ABFF-4972-9AAA-2DD2D2338731}">
      <text>
        <r>
          <rPr>
            <b/>
            <sz val="8"/>
            <color indexed="81"/>
            <rFont val="Tahoma"/>
            <family val="2"/>
          </rPr>
          <t xml:space="preserve">Siktdjup:
</t>
        </r>
        <r>
          <rPr>
            <sz val="8"/>
            <color indexed="81"/>
            <rFont val="Tahoma"/>
            <family val="2"/>
          </rPr>
          <t xml:space="preserve">Det vattendjup på vilket en vit skiva kan urskiljas med vattenkikare.
</t>
        </r>
      </text>
    </comment>
    <comment ref="R3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  <author>Ekologgruppen</author>
  </authors>
  <commentList>
    <comment ref="E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G1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H1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J1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K1" authorId="0" shapeId="0" xr:uid="{5F19A35E-B745-4C27-97EF-483F00FB263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" authorId="1" shapeId="0" xr:uid="{AF3CC33A-80FB-42D8-A554-FBE39E7DDEF0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" authorId="1" shapeId="0" xr:uid="{460DD990-0FB8-4E8B-B353-07E3CAE6C94F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" authorId="0" shapeId="0" xr:uid="{FD128B8B-D08E-4207-89A3-58137BC5F241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" authorId="0" shapeId="0" xr:uid="{B6116665-A062-46AB-A856-93E5107D9252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" authorId="1" shapeId="0" xr:uid="{E14283C5-D91A-49EC-AEEE-F1135FD3481D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Q1" authorId="0" shapeId="0" xr:uid="{A241FDE5-9408-44F4-97AF-6CE539069CBA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" authorId="1" shapeId="0" xr:uid="{8FC77D0C-434E-42AF-97AE-55AE81E48A96}">
      <text>
        <r>
          <rPr>
            <b/>
            <sz val="8"/>
            <color indexed="81"/>
            <rFont val="Tahoma"/>
            <family val="2"/>
          </rPr>
          <t>Klor a</t>
        </r>
        <r>
          <rPr>
            <sz val="8"/>
            <color indexed="81"/>
            <rFont val="Tahoma"/>
            <family val="2"/>
          </rPr>
          <t xml:space="preserve">
Klorofyll a (klor a) är ett grovt mått på vattnets växtplanktonbiomassa. Halten varierar bla med ljusförhållande, temperatur och närsalttillgång
</t>
        </r>
      </text>
    </comment>
    <comment ref="S1" authorId="2" shapeId="0" xr:uid="{D7709CE0-F459-4447-A716-B4944929F5D8}">
      <text>
        <r>
          <rPr>
            <b/>
            <sz val="8"/>
            <color indexed="81"/>
            <rFont val="Tahoma"/>
            <family val="2"/>
          </rPr>
          <t xml:space="preserve">Siktdjup:
</t>
        </r>
        <r>
          <rPr>
            <sz val="8"/>
            <color indexed="81"/>
            <rFont val="Tahoma"/>
            <family val="2"/>
          </rPr>
          <t xml:space="preserve">Det vattendjup på vilket en vit skiva kan urskiljas med vattenkikare.
</t>
        </r>
      </text>
    </comment>
    <comment ref="T1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  <author>Ekologgruppen</author>
  </authors>
  <commentList>
    <comment ref="C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E5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F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H5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I5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1" shapeId="0" xr:uid="{1D1A02E8-A323-432B-B7D8-03FE2FEFEFFE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1" shapeId="0" xr:uid="{219FA15C-9C9D-4B56-9680-204FE3414ECD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5D394490-7AA4-46F1-8E22-92BD6CD99625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2581C716-1D3F-445A-8BBC-0BC85E127BE6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" authorId="1" shapeId="0" xr:uid="{D288CA70-8576-4081-A662-30BF9C61B213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O5" authorId="0" shapeId="0" xr:uid="{14241F65-DB29-4E76-9F5D-CA2D81E1E49C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5" authorId="1" shapeId="0" xr:uid="{AAC23B73-2AF9-438E-8C24-260455D6371D}">
      <text>
        <r>
          <rPr>
            <b/>
            <sz val="8"/>
            <color indexed="81"/>
            <rFont val="Tahoma"/>
            <family val="2"/>
          </rPr>
          <t>Klor a</t>
        </r>
        <r>
          <rPr>
            <sz val="8"/>
            <color indexed="81"/>
            <rFont val="Tahoma"/>
            <family val="2"/>
          </rPr>
          <t xml:space="preserve">
Klorofyll a (klor a) är ett grovt mått på vattnets växtplanktonbiomassa. Halten varierar bla med ljusförhållande, temperatur och närsalttillgång
</t>
        </r>
      </text>
    </comment>
    <comment ref="Q5" authorId="2" shapeId="0" xr:uid="{0EB70234-0BFF-4C59-AA15-A59BBB347082}">
      <text>
        <r>
          <rPr>
            <b/>
            <sz val="8"/>
            <color indexed="81"/>
            <rFont val="Tahoma"/>
            <family val="2"/>
          </rPr>
          <t xml:space="preserve">Siktdjup:
</t>
        </r>
        <r>
          <rPr>
            <sz val="8"/>
            <color indexed="81"/>
            <rFont val="Tahoma"/>
            <family val="2"/>
          </rPr>
          <t xml:space="preserve">Det vattendjup på vilket en vit skiva kan urskiljas med vattenkikare.
</t>
        </r>
      </text>
    </comment>
    <comment ref="R5" authorId="0" shapeId="0" xr:uid="{00000000-0006-0000-0300-00000F000000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93C50D4D-CE4C-4537-A0A0-C05531B47302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" authorId="0" shapeId="0" xr:uid="{62D6E626-14AC-4CF4-8CE0-2FC812261045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</authors>
  <commentList>
    <comment ref="C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E5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F5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H5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I5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 xml:space="preserve">Part-P:
</t>
        </r>
        <r>
          <rPr>
            <sz val="8"/>
            <color indexed="81"/>
            <rFont val="Tahoma"/>
            <family val="2"/>
          </rPr>
          <t>Partikulärt fosfor (Part-P) beräknas som skillnaden mellan löst fosfor och totalfosfor.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O5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Bengt</author>
    <author>User</author>
    <author>Ekologgruppen</author>
  </authors>
  <commentList>
    <comment ref="B2" authorId="0" shapeId="0" xr:uid="{9648A485-81A2-48B8-9847-DD2AECA22D01}">
      <text>
        <r>
          <rPr>
            <sz val="9"/>
            <color indexed="81"/>
            <rFont val="Tahoma"/>
            <family val="2"/>
          </rPr>
          <t>Länk till Excel-fil på Ekologgruppens hemsida</t>
        </r>
        <r>
          <rPr>
            <b/>
            <sz val="9"/>
            <color indexed="81"/>
            <rFont val="Tahoma"/>
            <family val="2"/>
          </rPr>
          <t xml:space="preserve">
OBS! Kräver Internetuppkoppling</t>
        </r>
      </text>
    </comment>
    <comment ref="C7" authorId="1" shapeId="0" xr:uid="{D04A4DD1-ACB2-4AB7-801C-0B9035E2611B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1" shapeId="0" xr:uid="{DEE08473-D00D-433D-B408-B9F138A3A547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E7" authorId="2" shapeId="0" xr:uid="{27FDF4B6-9717-497D-B3D0-0E6A98D05EC5}">
      <text>
        <r>
          <rPr>
            <b/>
            <sz val="8"/>
            <color indexed="81"/>
            <rFont val="Tahoma"/>
            <family val="2"/>
          </rPr>
          <t xml:space="preserve">Siktdjup:
</t>
        </r>
        <r>
          <rPr>
            <sz val="8"/>
            <color indexed="81"/>
            <rFont val="Tahoma"/>
            <family val="2"/>
          </rPr>
          <t xml:space="preserve">Det vattendjup på vilket en vit skiva kan urskiljas med vattenkikare.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Bengt W</author>
    <author>Bengt Wedding</author>
  </authors>
  <commentList>
    <comment ref="G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Bengt W:</t>
        </r>
        <r>
          <rPr>
            <sz val="9"/>
            <color indexed="81"/>
            <rFont val="Tahoma"/>
            <family val="2"/>
          </rPr>
          <t xml:space="preserve">
rör ej</t>
        </r>
      </text>
    </comment>
    <comment ref="B20" authorId="1" shapeId="0" xr:uid="{9FB7A147-9186-426B-997A-2DDEA67D4B99}">
      <text>
        <r>
          <rPr>
            <b/>
            <sz val="9"/>
            <color indexed="81"/>
            <rFont val="Tahoma"/>
            <family val="2"/>
          </rPr>
          <t>Bengt Wedding:</t>
        </r>
        <r>
          <rPr>
            <sz val="9"/>
            <color indexed="81"/>
            <rFont val="Tahoma"/>
            <family val="2"/>
          </rPr>
          <t xml:space="preserve">
Historik saknas, därför ej med i valbar lista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Birgitta</author>
    <author>Bengt W</author>
  </authors>
  <commentList>
    <comment ref="C4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 xml:space="preserve">Provtagn datum:
</t>
        </r>
        <r>
          <rPr>
            <sz val="8"/>
            <color indexed="81"/>
            <rFont val="Tahoma"/>
            <family val="2"/>
          </rPr>
          <t>Datum för provtagningstillfället.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 xml:space="preserve">Vattenf:
</t>
        </r>
        <r>
          <rPr>
            <sz val="8"/>
            <color indexed="81"/>
            <rFont val="Tahoma"/>
            <family val="2"/>
          </rPr>
          <t xml:space="preserve">Vattenföring (vattenmängd per sekund) baseras på enkla mätningar (flottörmetod) på lokalen vid provtagningstillfället.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Temp:</t>
        </r>
        <r>
          <rPr>
            <sz val="8"/>
            <color indexed="81"/>
            <rFont val="Tahoma"/>
            <family val="2"/>
          </rPr>
          <t xml:space="preserve"> 
Vattentemperatur i Celsiusgrader mätt vid provtagningstillfället.
</t>
        </r>
      </text>
    </comment>
    <comment ref="F4" authorId="0" shapeId="0" xr:uid="{00000000-0006-0000-1000-000004000000}">
      <text>
        <r>
          <rPr>
            <b/>
            <sz val="8"/>
            <color indexed="81"/>
            <rFont val="Tahoma"/>
            <family val="2"/>
          </rPr>
          <t>Syreh:</t>
        </r>
        <r>
          <rPr>
            <sz val="8"/>
            <color indexed="81"/>
            <rFont val="Tahoma"/>
            <family val="2"/>
          </rPr>
          <t xml:space="preserve">
Syrehalt mäts med elektrod direkt vid provtillfället.</t>
        </r>
      </text>
    </comment>
    <comment ref="G4" authorId="0" shapeId="0" xr:uid="{00000000-0006-0000-1000-000005000000}">
      <text>
        <r>
          <rPr>
            <b/>
            <sz val="8"/>
            <color indexed="81"/>
            <rFont val="Tahoma"/>
            <family val="2"/>
          </rPr>
          <t xml:space="preserve">Syrem:
</t>
        </r>
        <r>
          <rPr>
            <sz val="8"/>
            <color indexed="81"/>
            <rFont val="Tahoma"/>
            <family val="2"/>
          </rPr>
          <t>Syremättnad anger vattnets innehåll av syre i förhållande till hur mycket syre vattnet normalt förmår att lösa vid en bestämd temperatur. Vid högre temperaturer minskar vattnets förmåga att lösa syre.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" authorId="0" shapeId="0" xr:uid="{00000000-0006-0000-1000-000006000000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J4" authorId="0" shapeId="0" xr:uid="{00000000-0006-0000-1000-000007000000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K4" authorId="0" shapeId="0" xr:uid="{00000000-0006-0000-1000-000008000000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4" authorId="1" shapeId="0" xr:uid="{00000000-0006-0000-1000-000009000000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" authorId="1" shapeId="0" xr:uid="{00000000-0006-0000-1000-00000A000000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0" shapeId="0" xr:uid="{00000000-0006-0000-1000-00000B000000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4" authorId="1" shapeId="0" xr:uid="{00000000-0006-0000-1000-00000C000000}">
      <text>
        <r>
          <rPr>
            <b/>
            <sz val="8"/>
            <color indexed="81"/>
            <rFont val="Tahoma"/>
            <family val="2"/>
          </rPr>
          <t xml:space="preserve">Part-P:
</t>
        </r>
        <r>
          <rPr>
            <sz val="8"/>
            <color indexed="81"/>
            <rFont val="Tahoma"/>
            <family val="2"/>
          </rPr>
          <t>Partikulärt fosfor (Part-P) beräknas som skillnaden mellan löst fosfor och totalfosfor.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" authorId="0" shapeId="0" xr:uid="{00000000-0006-0000-1000-00000D000000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00000000-0006-0000-1000-00000E000000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R4" authorId="0" shapeId="0" xr:uid="{00000000-0006-0000-1000-00000F000000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4" authorId="1" shapeId="0" xr:uid="{00000000-0006-0000-1000-000010000000}">
      <text>
        <r>
          <rPr>
            <b/>
            <sz val="8"/>
            <color indexed="81"/>
            <rFont val="Tahoma"/>
            <family val="2"/>
          </rPr>
          <t>Susp:</t>
        </r>
        <r>
          <rPr>
            <sz val="8"/>
            <color indexed="81"/>
            <rFont val="Tahoma"/>
            <family val="2"/>
          </rPr>
          <t xml:space="preserve">
Suspenderat material, anger halten partiklar i vattnet.</t>
        </r>
      </text>
    </comment>
    <comment ref="T4" authorId="0" shapeId="0" xr:uid="{00000000-0006-0000-1000-000011000000}">
      <text>
        <r>
          <rPr>
            <b/>
            <sz val="8"/>
            <color indexed="81"/>
            <rFont val="Tahoma"/>
            <family val="2"/>
          </rPr>
          <t>Anmärkning:</t>
        </r>
        <r>
          <rPr>
            <sz val="8"/>
            <color indexed="81"/>
            <rFont val="Tahoma"/>
            <family val="2"/>
          </rPr>
          <t xml:space="preserve">
Avser framförallt kommentar till anmärkningsvärda provförhållanden eller iakttagelser vid provlokalen.</t>
        </r>
      </text>
    </comment>
    <comment ref="G5" authorId="2" shapeId="0" xr:uid="{00000000-0006-0000-1000-000012000000}">
      <text>
        <r>
          <rPr>
            <b/>
            <sz val="9"/>
            <color indexed="81"/>
            <rFont val="Tahoma"/>
            <family val="2"/>
          </rPr>
          <t>Bengt W:</t>
        </r>
        <r>
          <rPr>
            <sz val="9"/>
            <color indexed="81"/>
            <rFont val="Tahoma"/>
            <family val="2"/>
          </rPr>
          <t xml:space="preserve">
OBS! I nya versionen finns formeln inlagd i Rapport-fliken.
Behövs alltså inte</t>
        </r>
      </text>
    </comment>
    <comment ref="A18" authorId="0" shapeId="0" xr:uid="{F46E7A12-295B-489B-A18A-26A075BAB323}">
      <text>
        <r>
          <rPr>
            <b/>
            <sz val="8"/>
            <color indexed="81"/>
            <rFont val="Tahoma"/>
            <family val="2"/>
          </rPr>
          <t>pH:</t>
        </r>
        <r>
          <rPr>
            <sz val="8"/>
            <color indexed="81"/>
            <rFont val="Tahoma"/>
            <family val="2"/>
          </rPr>
          <t xml:space="preserve">
ett mått på vattnets surhet eller innehåll av vätejoner (H</t>
        </r>
        <r>
          <rPr>
            <vertAlign val="superscript"/>
            <sz val="8"/>
            <color indexed="81"/>
            <rFont val="Tahoma"/>
            <family val="2"/>
          </rPr>
          <t>+</t>
        </r>
        <r>
          <rPr>
            <sz val="8"/>
            <color indexed="81"/>
            <rFont val="Tahoma"/>
            <family val="2"/>
          </rPr>
          <t xml:space="preserve">). pH 7 innebär neutralt värde, högre än 7 är basiskt och lägre än 7 surt.
</t>
        </r>
      </text>
    </comment>
    <comment ref="B18" authorId="0" shapeId="0" xr:uid="{3466D98D-8581-4565-B5F0-140CC0DBB7BF}">
      <text>
        <r>
          <rPr>
            <b/>
            <sz val="8"/>
            <color indexed="81"/>
            <rFont val="Tahoma"/>
            <family val="2"/>
          </rPr>
          <t>Gruml: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Grumlighet, eller turbiditet, är ett mått på vattnets grumlighet mätt med en turbiditetsmätare.</t>
        </r>
      </text>
    </comment>
    <comment ref="C18" authorId="0" shapeId="0" xr:uid="{430E1CFF-7E96-4D6E-BDEC-24223039B8D1}">
      <text>
        <r>
          <rPr>
            <b/>
            <sz val="8"/>
            <color indexed="81"/>
            <rFont val="Tahoma"/>
            <family val="2"/>
          </rPr>
          <t xml:space="preserve">Kond:
</t>
        </r>
        <r>
          <rPr>
            <sz val="8"/>
            <color indexed="81"/>
            <rFont val="Tahoma"/>
            <family val="2"/>
          </rPr>
          <t>Konduktivitet, eller ledningsförmåga, är ett mått på vattnets elektriska ledningsförmåga och innehåll av joner (salter).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1" shapeId="0" xr:uid="{88C56245-CD80-4B9F-A81E-7CC2B5C67A3A}">
      <text>
        <r>
          <rPr>
            <b/>
            <sz val="8"/>
            <color indexed="81"/>
            <rFont val="Tahoma"/>
            <family val="2"/>
          </rPr>
          <t>BOD</t>
        </r>
        <r>
          <rPr>
            <b/>
            <vertAlign val="subscript"/>
            <sz val="8"/>
            <color indexed="81"/>
            <rFont val="Tahoma"/>
            <family val="2"/>
          </rPr>
          <t>7</t>
        </r>
        <r>
          <rPr>
            <b/>
            <sz val="8"/>
            <color indexed="81"/>
            <rFont val="Tahoma"/>
            <family val="2"/>
          </rPr>
          <t xml:space="preserve">:
</t>
        </r>
        <r>
          <rPr>
            <sz val="8"/>
            <color indexed="81"/>
            <rFont val="Tahoma"/>
            <family val="2"/>
          </rPr>
          <t>Biologisk syrgasförbrukning (BOD</t>
        </r>
        <r>
          <rPr>
            <vertAlign val="subscript"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) är ett mått på den mängd syrgas som åtgår under sju dagar, när vattnets mikroorganismer bryter ner organiskt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1" shapeId="0" xr:uid="{FA0B36EA-67C2-4AE0-9CDB-E03C51943C2C}">
      <text>
        <r>
          <rPr>
            <b/>
            <sz val="8"/>
            <color indexed="81"/>
            <rFont val="Tahoma"/>
            <family val="2"/>
          </rPr>
          <t xml:space="preserve">PO4-P:
</t>
        </r>
        <r>
          <rPr>
            <sz val="8"/>
            <color indexed="81"/>
            <rFont val="Tahoma"/>
            <family val="2"/>
          </rPr>
          <t>Fosfatfosfor (PO4-P) anger det fosfor som förekommer som fosfat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 xr:uid="{030458B6-A824-4171-A070-26A81ABF72BF}">
      <text>
        <r>
          <rPr>
            <b/>
            <sz val="8"/>
            <color indexed="81"/>
            <rFont val="Tahoma"/>
            <family val="2"/>
          </rPr>
          <t xml:space="preserve">Tot-P:
</t>
        </r>
        <r>
          <rPr>
            <sz val="8"/>
            <color indexed="81"/>
            <rFont val="Tahoma"/>
            <family val="2"/>
          </rPr>
          <t>Totalfosfor (Tot-P) är ett mått på vattnets totala fosforinnehåll, vilket inbegriper löst fosfor och fosfor bundet till organiskt och minerogent material.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 shapeId="0" xr:uid="{F6C0E7D1-D205-40B5-96DA-C756BA014E00}">
      <text>
        <r>
          <rPr>
            <b/>
            <sz val="8"/>
            <color indexed="81"/>
            <rFont val="Tahoma"/>
            <family val="2"/>
          </rPr>
          <t xml:space="preserve">NO3+2-N:
</t>
        </r>
        <r>
          <rPr>
            <sz val="8"/>
            <color indexed="81"/>
            <rFont val="Tahoma"/>
            <family val="2"/>
          </rPr>
          <t>Nitrat+nitrit-kväve (NO3+2-N) anger det kväve som förekommer som nitrat och nitrit i vattnet.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1" shapeId="0" xr:uid="{829B0881-E62C-493D-B823-2E9FB48BB0A8}">
      <text>
        <r>
          <rPr>
            <b/>
            <sz val="8"/>
            <color indexed="81"/>
            <rFont val="Tahoma"/>
            <family val="2"/>
          </rPr>
          <t>NH4-N:</t>
        </r>
        <r>
          <rPr>
            <sz val="8"/>
            <color indexed="81"/>
            <rFont val="Tahoma"/>
            <family val="2"/>
          </rPr>
          <t xml:space="preserve">
Ammonium-kväve (NH4-N) anger det kväve som förekommer som ammonium i vattnet.
</t>
        </r>
      </text>
    </comment>
    <comment ref="I18" authorId="0" shapeId="0" xr:uid="{A56AA4CD-8E4A-43CD-9EE2-57BACBC1DA0F}">
      <text>
        <r>
          <rPr>
            <b/>
            <sz val="8"/>
            <color indexed="81"/>
            <rFont val="Tahoma"/>
            <family val="2"/>
          </rPr>
          <t xml:space="preserve">Tot-N:
</t>
        </r>
        <r>
          <rPr>
            <sz val="8"/>
            <color indexed="81"/>
            <rFont val="Tahoma"/>
            <family val="2"/>
          </rPr>
          <t>Totalkväve (Tot-N) är ett mått på vattnets totala kväveinnehåll, vilket inbegriper kväve i form av nitrat, nitrit, ammonium och organiskt bundet kväve.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1" shapeId="0" xr:uid="{C2AA30EB-974E-4D1B-8FE0-64750C183F0A}">
      <text>
        <r>
          <rPr>
            <b/>
            <sz val="8"/>
            <color indexed="81"/>
            <rFont val="Tahoma"/>
            <family val="2"/>
          </rPr>
          <t>Klor a</t>
        </r>
        <r>
          <rPr>
            <sz val="8"/>
            <color indexed="81"/>
            <rFont val="Tahoma"/>
            <family val="2"/>
          </rPr>
          <t xml:space="preserve">
Klorofyll a (klor a) är ett grovt mått på vattnets växtplanktonbiomassa. Halten varierar bla med ljusförhållande, temperatur och närsalttillgång
</t>
        </r>
      </text>
    </comment>
  </commentList>
</comments>
</file>

<file path=xl/sharedStrings.xml><?xml version="1.0" encoding="utf-8"?>
<sst xmlns="http://schemas.openxmlformats.org/spreadsheetml/2006/main" count="8500" uniqueCount="442">
  <si>
    <t>Länkar</t>
  </si>
  <si>
    <t>Kontakt</t>
  </si>
  <si>
    <t>Sorterings-</t>
  </si>
  <si>
    <t>Provtagningspunkt</t>
  </si>
  <si>
    <t>Provtagn</t>
  </si>
  <si>
    <t xml:space="preserve"> Temp</t>
  </si>
  <si>
    <t xml:space="preserve">  pH</t>
  </si>
  <si>
    <t xml:space="preserve"> Syreh</t>
  </si>
  <si>
    <t>Syrem</t>
  </si>
  <si>
    <t>Gruml</t>
  </si>
  <si>
    <t>Tot-P</t>
  </si>
  <si>
    <t xml:space="preserve"> Tot-N</t>
  </si>
  <si>
    <t>provtagare/projektledare</t>
  </si>
  <si>
    <t>Anmärkning</t>
  </si>
  <si>
    <t>ordning</t>
  </si>
  <si>
    <t>Nr Läge</t>
  </si>
  <si>
    <t>datum</t>
  </si>
  <si>
    <t xml:space="preserve">  °C</t>
  </si>
  <si>
    <t/>
  </si>
  <si>
    <t xml:space="preserve"> µg/l</t>
  </si>
  <si>
    <t xml:space="preserve">  µg/l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</si>
  <si>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</si>
  <si>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</si>
  <si>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</si>
  <si>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</si>
  <si>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</si>
  <si>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</si>
  <si>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</si>
  <si>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</si>
  <si>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</si>
  <si>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</si>
  <si>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</si>
  <si>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Vattenkontroll - förklaring till färgmarkeringar</t>
  </si>
  <si>
    <t>Indelning av halter och värden baseras på:</t>
  </si>
  <si>
    <t xml:space="preserve">Bedömningsgrunder för miljökvalitet - Sjöar och Vattendrag </t>
  </si>
  <si>
    <t>Naturvårdsverket 1999 (Rapport 4913)</t>
  </si>
  <si>
    <t>Observera att bedömningsgrunderna rymmer fem klasser:</t>
  </si>
  <si>
    <t>Följande parametrar ingår i den automatiska färgmarkeringen:</t>
  </si>
  <si>
    <t>klass:</t>
  </si>
  <si>
    <t>Kommentar</t>
  </si>
  <si>
    <r>
      <t>pH</t>
    </r>
    <r>
      <rPr>
        <sz val="8"/>
        <rFont val="Arial"/>
        <family val="2"/>
      </rPr>
      <t>, surhet</t>
    </r>
  </si>
  <si>
    <t>måttligt</t>
  </si>
  <si>
    <t>surt</t>
  </si>
  <si>
    <t>mycket surt</t>
  </si>
  <si>
    <t>pH-värde</t>
  </si>
  <si>
    <t>6,2-6,5</t>
  </si>
  <si>
    <t>5,6-6,19</t>
  </si>
  <si>
    <t>&lt;5,6</t>
  </si>
  <si>
    <t>svagt</t>
  </si>
  <si>
    <r>
      <t>färg</t>
    </r>
    <r>
      <rPr>
        <sz val="8"/>
        <rFont val="Arial"/>
        <family val="2"/>
      </rPr>
      <t>, färgning</t>
    </r>
  </si>
  <si>
    <t xml:space="preserve">betydligt </t>
  </si>
  <si>
    <t>starkt</t>
  </si>
  <si>
    <t>mg Pt/l</t>
  </si>
  <si>
    <t>25-60</t>
  </si>
  <si>
    <t>61-100</t>
  </si>
  <si>
    <t>&gt;100</t>
  </si>
  <si>
    <t>hög</t>
  </si>
  <si>
    <t>mycket hög</t>
  </si>
  <si>
    <r>
      <t>syrehalt</t>
    </r>
    <r>
      <rPr>
        <sz val="8"/>
        <rFont val="Arial"/>
        <family val="2"/>
      </rPr>
      <t>, tillstånd</t>
    </r>
  </si>
  <si>
    <t>syrefattigt</t>
  </si>
  <si>
    <t>syrefritt</t>
  </si>
  <si>
    <t>i sjöar bedöms bottenvatten</t>
  </si>
  <si>
    <r>
      <t>mg 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/l</t>
    </r>
  </si>
  <si>
    <t>3-5</t>
  </si>
  <si>
    <t>1-2,9</t>
  </si>
  <si>
    <t>&lt;1</t>
  </si>
  <si>
    <r>
      <t>totalfosfor</t>
    </r>
    <r>
      <rPr>
        <sz val="8"/>
        <rFont val="Arial"/>
        <family val="2"/>
      </rPr>
      <t>, halt</t>
    </r>
  </si>
  <si>
    <t>extremt hög</t>
  </si>
  <si>
    <t>25-50</t>
  </si>
  <si>
    <t>51-100</t>
  </si>
  <si>
    <r>
      <t>totalkväve</t>
    </r>
    <r>
      <rPr>
        <sz val="8"/>
        <rFont val="Arial"/>
        <family val="2"/>
      </rPr>
      <t>, halt</t>
    </r>
  </si>
  <si>
    <t>625-1250</t>
  </si>
  <si>
    <t>1251-5000</t>
  </si>
  <si>
    <t>&gt;5000</t>
  </si>
  <si>
    <t>Observera att klassningssystemet egentligen är uppbyggt för att karaktärisera en provpunkt</t>
  </si>
  <si>
    <t xml:space="preserve">där en serie av provresultat föreligger, t ex 12 prover under ett år. Oftast rekommenderas </t>
  </si>
  <si>
    <t>att medelvärdena för mätperioden klassas men i fallet syretillstånd skall klassningen baseras</t>
  </si>
  <si>
    <t>på minimivärdet för mätperioden.</t>
  </si>
  <si>
    <t>Varför färgmarkering/avmarkering?</t>
  </si>
  <si>
    <t>Färgmarkeringsfunktionen har lagts till för att uppmärksamma läsaren på anmärkningsvärt höga/</t>
  </si>
  <si>
    <t>låga värden. Avmarkeringsfunktionen finns för att användaren enkelt skall kunna välja hur arket</t>
  </si>
  <si>
    <t xml:space="preserve">skall studeras eller skrivas ut. </t>
  </si>
  <si>
    <t>Vattenkontroll - länkar till äldre resultat mm</t>
  </si>
  <si>
    <t>Välj data från en eller flera stationer. Välj från stationskarta eller tabell.</t>
  </si>
  <si>
    <t>Internetuppkoppling krävs för denna funktion.</t>
  </si>
  <si>
    <t>Vattenkartan</t>
  </si>
  <si>
    <t>VISS, länsstyrelsernas databas för vattendata</t>
  </si>
  <si>
    <t>Länsstyrelsen i Skåne län</t>
  </si>
  <si>
    <t>Vattenmyndigheterna</t>
  </si>
  <si>
    <t>Naturvårdsverket</t>
  </si>
  <si>
    <t>Vattenkontroll - kontaktpersoner</t>
  </si>
  <si>
    <t>Konsult:</t>
  </si>
  <si>
    <t>Uppdragsgivare:</t>
  </si>
  <si>
    <t>E-post:</t>
  </si>
  <si>
    <t>Hemsida:</t>
  </si>
  <si>
    <t>Vattenkontroll - Kommentarer till resultat</t>
  </si>
  <si>
    <t>januari</t>
  </si>
  <si>
    <t>provtagningsuppgifter</t>
  </si>
  <si>
    <t xml:space="preserve">Vattenkontroll </t>
  </si>
  <si>
    <t>Så här skriver du ut!</t>
  </si>
  <si>
    <r>
      <t>Peka på röda trianglar (</t>
    </r>
    <r>
      <rPr>
        <sz val="9"/>
        <color indexed="10"/>
        <rFont val="Arial"/>
        <family val="2"/>
      </rPr>
      <t>►</t>
    </r>
    <r>
      <rPr>
        <sz val="9"/>
        <rFont val="Arial"/>
        <family val="2"/>
      </rPr>
      <t>) för förklaring av parametrar</t>
    </r>
  </si>
  <si>
    <t xml:space="preserve"> Vattenf</t>
  </si>
  <si>
    <t>PO4-P</t>
  </si>
  <si>
    <t>NH4-N</t>
  </si>
  <si>
    <t xml:space="preserve">  FNU</t>
  </si>
  <si>
    <t>mS/m</t>
  </si>
  <si>
    <t>mg/l</t>
  </si>
  <si>
    <t>grumlighet</t>
  </si>
  <si>
    <t>FNU/FTU</t>
  </si>
  <si>
    <t>1,0-2,5</t>
  </si>
  <si>
    <t>2,6-7,0</t>
  </si>
  <si>
    <t>&gt;7,0</t>
  </si>
  <si>
    <t>Tot-N</t>
  </si>
  <si>
    <r>
      <t xml:space="preserve"> NO</t>
    </r>
    <r>
      <rPr>
        <vertAlign val="subscript"/>
        <sz val="8"/>
        <rFont val="Helvetica"/>
        <family val="2"/>
      </rPr>
      <t>3+2</t>
    </r>
    <r>
      <rPr>
        <sz val="8"/>
        <rFont val="Helvetica"/>
        <family val="2"/>
      </rPr>
      <t>-N</t>
    </r>
  </si>
  <si>
    <t>%</t>
  </si>
  <si>
    <t xml:space="preserve"> </t>
  </si>
  <si>
    <t>Kond</t>
  </si>
  <si>
    <t>Susp</t>
  </si>
  <si>
    <t>Metoder och mätosäkerhet</t>
  </si>
  <si>
    <t>Detta blad används endast av Ekologgruppens personal. Bladet är skrivskyddat.</t>
  </si>
  <si>
    <t>Kopiera cellerna i kolumn F-H på rad 5 till de rader i bladet Resultat där syremättnad och alkalinitet ska beräknas</t>
  </si>
  <si>
    <t>Ammoniumkväve, NH4-N</t>
  </si>
  <si>
    <t>Fosfor total, P</t>
  </si>
  <si>
    <t>Kväve total, N</t>
  </si>
  <si>
    <t>Nitrat + nitritkväve, NO23-N</t>
  </si>
  <si>
    <t>Fosfatfosfor, PO4-P</t>
  </si>
  <si>
    <t>Kommentarer</t>
  </si>
  <si>
    <t>Vattenföring</t>
  </si>
  <si>
    <r>
      <t>BOD</t>
    </r>
    <r>
      <rPr>
        <b/>
        <vertAlign val="subscript"/>
        <sz val="9"/>
        <rFont val="Arial"/>
        <family val="2"/>
      </rPr>
      <t>7</t>
    </r>
  </si>
  <si>
    <r>
      <t xml:space="preserve"> NO</t>
    </r>
    <r>
      <rPr>
        <b/>
        <vertAlign val="subscript"/>
        <sz val="9"/>
        <rFont val="Arial"/>
        <family val="2"/>
      </rPr>
      <t>3+2</t>
    </r>
    <r>
      <rPr>
        <b/>
        <sz val="9"/>
        <rFont val="Arial"/>
        <family val="2"/>
      </rPr>
      <t>-N</t>
    </r>
  </si>
  <si>
    <t xml:space="preserve">Länkar till nationell databas, SLU (Sveriges LantbruksUniversitet). </t>
  </si>
  <si>
    <t>VattenAtlas</t>
  </si>
  <si>
    <t>SLU, MVM                 fr o m 2013*</t>
  </si>
  <si>
    <t xml:space="preserve">Lund </t>
  </si>
  <si>
    <t>Lund</t>
  </si>
  <si>
    <t xml:space="preserve">Lund  </t>
  </si>
  <si>
    <t>http://www.ekologigruppen.se/</t>
  </si>
  <si>
    <t>BOD</t>
  </si>
  <si>
    <t>Stora Södergatan 8C</t>
  </si>
  <si>
    <t>222 23 Lund</t>
  </si>
  <si>
    <t>Ekologigruppen</t>
  </si>
  <si>
    <t>Färgmarkeringar i resultatrapporter ingår ej i Ekologigruppens ackreditering.</t>
  </si>
  <si>
    <t>Referenser:</t>
  </si>
  <si>
    <t>De referenser Ekologigruppen använder som stöd för tolkningar av kemidata och indexberäkningar är</t>
  </si>
  <si>
    <t xml:space="preserve"> följande:</t>
  </si>
  <si>
    <t>Naturvårdsverket 1999. Bedömningsgrunder för miljökvalitet - Sjöar och vattendrag. Rapport 4913.</t>
  </si>
  <si>
    <t xml:space="preserve">Havs- och vattenmyndighetens föreskrifter om klassificering och miljökvalitetsnormer avseende </t>
  </si>
  <si>
    <t>&lt;5</t>
  </si>
  <si>
    <t>&lt;10</t>
  </si>
  <si>
    <t>&lt;2</t>
  </si>
  <si>
    <t>Medel</t>
  </si>
  <si>
    <t>Max</t>
  </si>
  <si>
    <t>Min</t>
  </si>
  <si>
    <t>Vattenkontroll - historiska data</t>
  </si>
  <si>
    <t>Datum</t>
  </si>
  <si>
    <t>år</t>
  </si>
  <si>
    <t>månad</t>
  </si>
  <si>
    <t xml:space="preserve"> NO3+2-N</t>
  </si>
  <si>
    <t>År</t>
  </si>
  <si>
    <t>Månad</t>
  </si>
  <si>
    <t>Resultat sorterat per månad</t>
  </si>
  <si>
    <t>Resultat sorterat per provpunkt</t>
  </si>
  <si>
    <t>Std.avv.</t>
  </si>
  <si>
    <t>Provpunkt:</t>
  </si>
  <si>
    <t>Senaste provtagningsdatum</t>
  </si>
  <si>
    <t>Senaste</t>
  </si>
  <si>
    <t>Syre</t>
  </si>
  <si>
    <t>halt</t>
  </si>
  <si>
    <t>mättnad</t>
  </si>
  <si>
    <t>µg/l</t>
  </si>
  <si>
    <t>SISTA</t>
  </si>
  <si>
    <t>(kan vara annorlunda för vissa parametrar)</t>
  </si>
  <si>
    <t>Version</t>
  </si>
  <si>
    <t>Problembeskrivning / uppdatering</t>
  </si>
  <si>
    <t>Sign</t>
  </si>
  <si>
    <t>BW</t>
  </si>
  <si>
    <t>&lt;-värden omvandlade till värden. Medelvärde hämtas här</t>
  </si>
  <si>
    <t>Antal värden</t>
  </si>
  <si>
    <t>Antal</t>
  </si>
  <si>
    <t>-</t>
  </si>
  <si>
    <t xml:space="preserve">   ytvatten, HVMFS 2019:25. Havs- och vattenmyndighetens författningssamling.</t>
  </si>
  <si>
    <t>Årets resultat</t>
  </si>
  <si>
    <t>Denna rad ska vara tom</t>
  </si>
  <si>
    <t>sista rad</t>
  </si>
  <si>
    <t>Klicka på aktuell månad till vänster
Observera att sidbrytningar kan bli olika beroende på skrivare och skrivarinställningar</t>
  </si>
  <si>
    <t>OBS! Om det blir fler än 2000 rader måste makro ändras</t>
  </si>
  <si>
    <t>pH</t>
  </si>
  <si>
    <t>FNU</t>
  </si>
  <si>
    <t>Grumlighet</t>
  </si>
  <si>
    <t>(Turbiditet)</t>
  </si>
  <si>
    <t>Diagram och statistik</t>
  </si>
  <si>
    <r>
      <t xml:space="preserve">OBS! Värden </t>
    </r>
    <r>
      <rPr>
        <b/>
        <sz val="10"/>
        <rFont val="Arial"/>
        <family val="2"/>
      </rPr>
      <t>&lt; a</t>
    </r>
    <r>
      <rPr>
        <sz val="10"/>
        <rFont val="Arial"/>
        <family val="2"/>
      </rPr>
      <t xml:space="preserve"> (och </t>
    </r>
    <r>
      <rPr>
        <b/>
        <sz val="10"/>
        <rFont val="Arial"/>
        <family val="2"/>
      </rPr>
      <t>&gt; a</t>
    </r>
    <r>
      <rPr>
        <sz val="10"/>
        <rFont val="Arial"/>
        <family val="2"/>
      </rPr>
      <t xml:space="preserve">) hanteras som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i beräkning av medelvärde, standardavvikelse, min och max</t>
    </r>
  </si>
  <si>
    <t>Statistik för:</t>
  </si>
  <si>
    <t>svagt surt</t>
  </si>
  <si>
    <t>nära neutralt</t>
  </si>
  <si>
    <t>obetydligt</t>
  </si>
  <si>
    <t>syrerikt</t>
  </si>
  <si>
    <t>måttligt hög</t>
  </si>
  <si>
    <t>låg</t>
  </si>
  <si>
    <t>&gt;6,8</t>
  </si>
  <si>
    <t>6,5-6,8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</si>
  <si>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>10</t>
    </r>
  </si>
  <si>
    <t>0,5-1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</si>
  <si>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>0,5</t>
    </r>
  </si>
  <si>
    <r>
      <rPr>
        <u/>
        <sz val="8"/>
        <rFont val="Arial"/>
        <family val="2"/>
      </rPr>
      <t>&gt;</t>
    </r>
    <r>
      <rPr>
        <sz val="8"/>
        <rFont val="Arial"/>
        <family val="2"/>
      </rPr>
      <t>7</t>
    </r>
  </si>
  <si>
    <t>12,5-25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</si>
  <si>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>12,5</t>
    </r>
  </si>
  <si>
    <t>300-625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</si>
  <si>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>300</t>
    </r>
  </si>
  <si>
    <t>egentligen sjöar</t>
  </si>
  <si>
    <t>medel maj-oktober</t>
  </si>
  <si>
    <t>25-10</t>
  </si>
  <si>
    <r>
      <t xml:space="preserve">Värden &lt;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räknas som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vid beräkning av statistik</t>
    </r>
  </si>
  <si>
    <t>Stödlinjer i diagram--&gt;</t>
  </si>
  <si>
    <t>Värden omvandlade för statisitk --&gt;</t>
  </si>
  <si>
    <t>NO2,3-N</t>
  </si>
  <si>
    <t>Sorterat per provpunkt</t>
  </si>
  <si>
    <t>Månadsrapport</t>
  </si>
  <si>
    <t>16 Saxån vid Saxtorp</t>
  </si>
  <si>
    <t>Part.-P</t>
  </si>
  <si>
    <t>Telefon: 046-106750 (växel)</t>
  </si>
  <si>
    <t xml:space="preserve">Vattenföring </t>
  </si>
  <si>
    <t>is på sjön</t>
  </si>
  <si>
    <t>Turb</t>
  </si>
  <si>
    <t>+/- 1 std</t>
  </si>
  <si>
    <t>- 1 std</t>
  </si>
  <si>
    <t>Klass 3</t>
  </si>
  <si>
    <t>Klass 5</t>
  </si>
  <si>
    <t xml:space="preserve">Test datum </t>
  </si>
  <si>
    <t xml:space="preserve"> Syrehalt</t>
  </si>
  <si>
    <t>BOD7</t>
  </si>
  <si>
    <t>Formler för alkalinitet och syremättnad</t>
  </si>
  <si>
    <t xml:space="preserve">  Kond</t>
  </si>
  <si>
    <r>
      <t>BOD</t>
    </r>
    <r>
      <rPr>
        <vertAlign val="subscript"/>
        <sz val="8"/>
        <rFont val="Helvetica"/>
        <family val="2"/>
      </rPr>
      <t>7</t>
    </r>
  </si>
  <si>
    <t>Sorteringsordning ALC atmis (infoga rad överst)</t>
  </si>
  <si>
    <t>Data/Sortera/Alternativ - sortera vänster till höger-OK . Sortera efter rad 1.</t>
  </si>
  <si>
    <t>Glöm ej att kryssa tillbaka till uppifrån och ned under Alternativ.</t>
  </si>
  <si>
    <t>Klass 4</t>
  </si>
  <si>
    <t>5-7</t>
  </si>
  <si>
    <t>Problemhantering</t>
  </si>
  <si>
    <t>OBS! Makrohanteraren är skyddad, för att få fram makron gäller lösenordet "kontroll"</t>
  </si>
  <si>
    <t>Arsfil_Versionshistorik_och_makron.xlsx</t>
  </si>
  <si>
    <t>1.6</t>
  </si>
  <si>
    <t>Info om versionsuppdateringar, liksom makrofunktioner m m finns i en separat fil:</t>
  </si>
  <si>
    <t>Om ni stöter på problem i just denna fil eller har förslag till förbättringar, skriv in nedan</t>
  </si>
  <si>
    <t xml:space="preserve">Ny flik  "Problemhantering". Flikarna "Verionshistorik" och "Makron m m" flyttas till separat fil, gemensam för alla årsfiler. </t>
  </si>
  <si>
    <t>Inskrivning</t>
  </si>
  <si>
    <t>Uppdaterat till 2022, samt ny version med förändrad inskrivning och rapportdel</t>
  </si>
  <si>
    <t>1.7</t>
  </si>
  <si>
    <r>
      <t>Klicka på "</t>
    </r>
    <r>
      <rPr>
        <b/>
        <sz val="16"/>
        <color rgb="FFFF0000"/>
        <rFont val="Helvetica"/>
      </rPr>
      <t>Uppdatera sortering</t>
    </r>
    <r>
      <rPr>
        <sz val="16"/>
        <color indexed="10"/>
        <rFont val="Helvetica"/>
      </rPr>
      <t>" när du ändrat eller skrivit in nya data</t>
    </r>
  </si>
  <si>
    <t>Denna flik används för att skriva in ny/redigera data. Fliken är dold i den publika versionen</t>
  </si>
  <si>
    <t>Om du klistrar in data, t ex från en annan excelfil använd Klistra in värden</t>
  </si>
  <si>
    <t>3   Kävlingeån, vid Högsmölla</t>
  </si>
  <si>
    <t>10  Kävlingeån, vid Örtofta, uppströms Bråån</t>
  </si>
  <si>
    <t>17  Kävlingeån, vid Vombsjöns utlopp</t>
  </si>
  <si>
    <t>19  Torpsbäcken, vid utlopp till Vombsjön</t>
  </si>
  <si>
    <t>20  Björkaån, vid Björka före utlopp till Vombsjön</t>
  </si>
  <si>
    <t>23  Vollsjöån, nedströms Vollsjö</t>
  </si>
  <si>
    <t>51 Tranåsbäcken, vid utlopp till Tolångaån</t>
  </si>
  <si>
    <t>52  Djurrödsbäcken, vid utlopp till Tolångaån</t>
  </si>
  <si>
    <t>27A Bråån, g:a vägbron vid Örtofta kyrka</t>
  </si>
  <si>
    <t>53A Bråån, vid  golfbana, uppströms Eslövsbäcken</t>
  </si>
  <si>
    <t>33  Sularpsbäcken, nedströms S Sandbys AR</t>
  </si>
  <si>
    <t>35  Klingavälsån, vid utlopp till Kävlingeån</t>
  </si>
  <si>
    <t>50  Klingavälsån, vid Sövdesjöns utlopp</t>
  </si>
  <si>
    <t>12A Kävlingeån, vid Gårdstånga kyrka</t>
  </si>
  <si>
    <t>21  Borstbäcken, före utloppet i Vombsjön</t>
  </si>
  <si>
    <t>27  Bråån, vägbron vid Ellinge slott</t>
  </si>
  <si>
    <t>32  Bråån, vid Högseröds kyrka</t>
  </si>
  <si>
    <t>33A Sularpsbäcekn, uppströms S Sandbys ARV</t>
  </si>
  <si>
    <t>Siktdjup</t>
  </si>
  <si>
    <t>m</t>
  </si>
  <si>
    <t>På uppdrag av Kävlingeåns vattenråd</t>
  </si>
  <si>
    <t>Vattenföring vid Högsmölla</t>
  </si>
  <si>
    <t>SMHI, Stationsnummer 2171</t>
  </si>
  <si>
    <t>Data från SMHI, Station 2171</t>
  </si>
  <si>
    <t>Kävlingeån, Högsmölla</t>
  </si>
  <si>
    <t>Kävlingeån, Vattenkontroll - Statistik</t>
  </si>
  <si>
    <t>Kävlingeån</t>
  </si>
  <si>
    <t>Kävlingeåns vattenråd</t>
  </si>
  <si>
    <t>Kävlingeåns Vattenråd</t>
  </si>
  <si>
    <t>Teckniska förvaltningen</t>
  </si>
  <si>
    <t>Lunds kommun</t>
  </si>
  <si>
    <t>Box 41</t>
  </si>
  <si>
    <t>221 00 Lund</t>
  </si>
  <si>
    <t>Kontaktperson: Therese Parodi</t>
  </si>
  <si>
    <t>therese.parodi@lund.se</t>
  </si>
  <si>
    <t>&lt;0,5</t>
  </si>
  <si>
    <t>&gt;6</t>
  </si>
  <si>
    <t>&lt;100</t>
  </si>
  <si>
    <t>&lt;50</t>
  </si>
  <si>
    <t>Anmärkn</t>
  </si>
  <si>
    <t>översvämmat</t>
  </si>
  <si>
    <t xml:space="preserve">blåsigt på sjön, kiselalgblomning? </t>
  </si>
  <si>
    <t xml:space="preserve">översvämning </t>
  </si>
  <si>
    <t>18  Vombsjön, djuphålan, yta</t>
  </si>
  <si>
    <t>18  Vombsjön, djuphålan, botten</t>
  </si>
  <si>
    <t>33  Sularpsbäcken, nedströms S Sandbys ARV</t>
  </si>
  <si>
    <t>&lt;0,2</t>
  </si>
  <si>
    <t>&gt;1</t>
  </si>
  <si>
    <t>Fil klar för Kävlingeån redovisning 2024. Återstår lite fix på statistik-delen. 
OBS! Porvpunkt 12A ligger utanför valbar matris eftesrom det saknas historisk data</t>
  </si>
  <si>
    <t xml:space="preserve">  * Välj i Undersökningar, t ex: "SRK Kävlingeån" </t>
  </si>
  <si>
    <t xml:space="preserve">     Kävlingeåns vattenråd</t>
  </si>
  <si>
    <t>BOD-7</t>
  </si>
  <si>
    <t xml:space="preserve"> På uppdrag av Kävlingeåns vattenråd</t>
  </si>
  <si>
    <t>1.71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</si>
  <si>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</t>
    </r>
  </si>
  <si>
    <r>
      <t xml:space="preserve">HQ10 </t>
    </r>
    <r>
      <rPr>
        <sz val="10"/>
        <rFont val="Arial"/>
        <family val="2"/>
      </rPr>
      <t>(10-årsflöde)</t>
    </r>
  </si>
  <si>
    <r>
      <t xml:space="preserve">MHQ </t>
    </r>
    <r>
      <rPr>
        <sz val="10"/>
        <rFont val="Arial"/>
        <family val="2"/>
      </rPr>
      <t>(medelhögvattenflöde)</t>
    </r>
  </si>
  <si>
    <r>
      <t>MQ</t>
    </r>
    <r>
      <rPr>
        <sz val="10"/>
        <rFont val="Arial"/>
        <family val="2"/>
      </rPr>
      <t xml:space="preserve"> (medelflöde)</t>
    </r>
  </si>
  <si>
    <r>
      <t xml:space="preserve">MLQ </t>
    </r>
    <r>
      <rPr>
        <sz val="10"/>
        <rFont val="Arial"/>
        <family val="2"/>
      </rPr>
      <t>(medellågvattenflöde)</t>
    </r>
  </si>
  <si>
    <t>Flödesstatistik, Högsmölla (SMHI, S-Hype)</t>
  </si>
  <si>
    <t>Fixat felaktigheter på indataflik.
Låst celler på Sorterat-flik</t>
  </si>
  <si>
    <t>Flödesuppgifter för provtagningsdagar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</si>
  <si>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</si>
  <si>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</si>
  <si>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</si>
  <si>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</si>
  <si>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</si>
  <si>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</si>
  <si>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</si>
  <si>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</si>
  <si>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</si>
  <si>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</si>
  <si>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</si>
  <si>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</si>
  <si>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r>
      <t>3 Högsmölla</t>
    </r>
    <r>
      <rPr>
        <vertAlign val="superscript"/>
        <sz val="9"/>
        <rFont val="Arial"/>
        <family val="2"/>
      </rPr>
      <t>1</t>
    </r>
  </si>
  <si>
    <r>
      <t>17 Vomsj. utl.</t>
    </r>
    <r>
      <rPr>
        <vertAlign val="superscript"/>
        <sz val="9"/>
        <rFont val="Arial"/>
        <family val="2"/>
      </rPr>
      <t>1</t>
    </r>
  </si>
  <si>
    <r>
      <t>27 Ellinge</t>
    </r>
    <r>
      <rPr>
        <vertAlign val="superscript"/>
        <sz val="9"/>
        <rFont val="Arial"/>
        <family val="2"/>
      </rPr>
      <t>1</t>
    </r>
  </si>
  <si>
    <r>
      <t>35A Klingav.ån</t>
    </r>
    <r>
      <rPr>
        <vertAlign val="superscript"/>
        <sz val="9"/>
        <rFont val="Arial"/>
        <family val="2"/>
      </rPr>
      <t>2</t>
    </r>
  </si>
  <si>
    <t>Ca</t>
  </si>
  <si>
    <t>Mg</t>
  </si>
  <si>
    <t>DOC</t>
  </si>
  <si>
    <t>ng/l</t>
  </si>
  <si>
    <t>Hårdhet</t>
  </si>
  <si>
    <t>As*</t>
  </si>
  <si>
    <t>Pb*</t>
  </si>
  <si>
    <t>Cd*</t>
  </si>
  <si>
    <t>Cu*</t>
  </si>
  <si>
    <t>Cr*</t>
  </si>
  <si>
    <t>Hg*</t>
  </si>
  <si>
    <t>Ni*</t>
  </si>
  <si>
    <t>Zn*</t>
  </si>
  <si>
    <t>* Avser filtrerat prov</t>
  </si>
  <si>
    <t>Djup</t>
  </si>
  <si>
    <t>Temp</t>
  </si>
  <si>
    <t>Syrehalt</t>
  </si>
  <si>
    <t>Provdatum</t>
  </si>
  <si>
    <t>(m)</t>
  </si>
  <si>
    <t>(°C)</t>
  </si>
  <si>
    <t>(mg/l)</t>
  </si>
  <si>
    <t>Syreprofiler, 18 Vombsjön, djuphålan</t>
  </si>
  <si>
    <t>Lagt till flik Metaller. Fliken skyddas vid Export.</t>
  </si>
  <si>
    <t>Lagt till flik Syrgashalt. Fliken hämtar värden från Resultatfliken. Skyddas vid "Lock_Normal"</t>
  </si>
  <si>
    <t>Olåsta celler (t ex flik Kommentarer och flik Syreprofiler förblir olåsta i public-versionen</t>
  </si>
  <si>
    <t>Konduktivitet 25°C</t>
  </si>
  <si>
    <t>pH vid 20°C</t>
  </si>
  <si>
    <t>Turbiditet FNU</t>
  </si>
  <si>
    <t>Arsenik, As, filt</t>
  </si>
  <si>
    <t>Bly, Pb, filt</t>
  </si>
  <si>
    <t>Kadmium, Cd, filt</t>
  </si>
  <si>
    <t>Koppar, Cu, filt</t>
  </si>
  <si>
    <t>Krom, Cr, filt</t>
  </si>
  <si>
    <t>Nickel, Ni, filt</t>
  </si>
  <si>
    <t>Zink, Zn, filt</t>
  </si>
  <si>
    <t>Kvicksilver, Hg Fluoresc. f</t>
  </si>
  <si>
    <t>Bytt ordning på 27A och 27. 27 har fått nytt sorteringsnummer: 20 ist f 18.5</t>
  </si>
  <si>
    <t>&lt;3</t>
  </si>
  <si>
    <r>
      <t>20 Björkaån</t>
    </r>
    <r>
      <rPr>
        <vertAlign val="superscript"/>
        <sz val="9"/>
        <rFont val="Arial"/>
        <family val="2"/>
      </rPr>
      <t>2</t>
    </r>
  </si>
  <si>
    <r>
      <t>33 Sularpsb.</t>
    </r>
    <r>
      <rPr>
        <vertAlign val="superscript"/>
        <sz val="9"/>
        <rFont val="Arial"/>
        <family val="2"/>
      </rPr>
      <t>2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</si>
  <si>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Aktuella dygnsflöden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/s), hämtade från SMHIs vattenweb, observationer. Högsmölla:2171, Vombsjön övre:2018, Bråån Ellinge:2126.</t>
    </r>
  </si>
  <si>
    <t>Fixat saknade formler i Sorterat-fliken (kolumn AD --&gt; )</t>
  </si>
  <si>
    <t>Klor a</t>
  </si>
  <si>
    <t>Lagt till december 2023 i statistik. Tagit bort kond K3 dec 2022 (fel värde)
Fixat diagram hist kond, hämta värden från I istället för CI
Lagt till klorofyll a
Gjort färgmarkering för Klor a och Siktdjup</t>
  </si>
  <si>
    <t>bw</t>
  </si>
  <si>
    <r>
      <t>Klorofyll a</t>
    </r>
    <r>
      <rPr>
        <sz val="8"/>
        <rFont val="Arial"/>
        <family val="2"/>
      </rPr>
      <t>, halt</t>
    </r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</si>
  <si>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>2</t>
    </r>
  </si>
  <si>
    <t>2-5</t>
  </si>
  <si>
    <t>5-12</t>
  </si>
  <si>
    <t>12-25</t>
  </si>
  <si>
    <t>&gt;25</t>
  </si>
  <si>
    <t>mycket stort</t>
  </si>
  <si>
    <t>stort</t>
  </si>
  <si>
    <t>litet</t>
  </si>
  <si>
    <t>mycket litet</t>
  </si>
  <si>
    <t>&gt;8</t>
  </si>
  <si>
    <t>5-8</t>
  </si>
  <si>
    <t>2,5-5</t>
  </si>
  <si>
    <t>1-2,5</t>
  </si>
  <si>
    <t>Hårdhet tyska grader</t>
  </si>
  <si>
    <t>Kalcium, Ca</t>
  </si>
  <si>
    <t>Magnesium, Mg</t>
  </si>
  <si>
    <t>Klorofyll a</t>
  </si>
  <si>
    <t>BOD7 (Ej ATU)</t>
  </si>
  <si>
    <t>Fixat linjer mellan punkter i syrgasprofilerna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</si>
  <si>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Aktuella dygnsflöden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/s), hämtade från SMHIs vattenwebb, SHYPE. Björkaån:108, Sularpsbäcken:134, Klingavälsån 104.</t>
    </r>
  </si>
  <si>
    <t>Ej ackrediterad analys, syrgas &amp; temperatur</t>
  </si>
  <si>
    <t>Modelldata per område | SMHI - Vattenwebb</t>
  </si>
  <si>
    <t>Lagt till siktdjup i rapport-fliken. Samt ändrat i makron "Ny_Sortering" (gjort tidigare 2024-08-15, men försvann vid användning av en äldre backup)</t>
  </si>
  <si>
    <t>Det saknas värden för 24-08-10 &amp; 24-08-11 för vattenföringen för Högsmöllas tidsserie</t>
  </si>
  <si>
    <t>JK</t>
  </si>
  <si>
    <t>Kävlingeån, vattenkontroll, kemi - 2025</t>
  </si>
  <si>
    <t>Kävlingeån 2025
Inskrivning</t>
  </si>
  <si>
    <t>Kävlingeån 2025
Resultat</t>
  </si>
  <si>
    <t>Kävlingeån 2025</t>
  </si>
  <si>
    <t>Kävlingeån 2025
Resultat metaller</t>
  </si>
  <si>
    <t>Kävlingeån 2025
Rapport</t>
  </si>
  <si>
    <t>Provtagning: Julia Karlsson  Uppdragsansvarig: Julia Karlsson</t>
  </si>
  <si>
    <t>2025-09-</t>
  </si>
  <si>
    <t>2025-10-</t>
  </si>
  <si>
    <t>2025-11-</t>
  </si>
  <si>
    <t>2025-12-</t>
  </si>
  <si>
    <t>2026-01-xx</t>
  </si>
  <si>
    <t>2026-xx-xx</t>
  </si>
  <si>
    <t>Uppdaterat till version 1.72 (se fil Versionshistorik och makron). Uppdaterat till 2025. Historisk data 2024 ska in när den är klar</t>
  </si>
  <si>
    <t>BOD-analys med ATU</t>
  </si>
  <si>
    <t>analyssvar saknas</t>
  </si>
  <si>
    <t>Stillastående vatten, diket nyligen rensat</t>
  </si>
  <si>
    <t>avvikande provplats pga översvämning</t>
  </si>
  <si>
    <t>avvikande provplats pga tunn is</t>
  </si>
  <si>
    <t>ingen provtagning pga tunn is</t>
  </si>
  <si>
    <t>Fixat till medelvärdesredovisning på Sorterat-fliken (kvar från 2024). Lagt in historik 2024</t>
  </si>
  <si>
    <t>julia.karslsson@ekologigruppen.se</t>
  </si>
  <si>
    <t>Kontaktperson: Julia Karlsson</t>
  </si>
  <si>
    <t>Istäckt</t>
  </si>
  <si>
    <t xml:space="preserve">Istäckt, nära djuphålan </t>
  </si>
  <si>
    <t>&lt;0,01</t>
  </si>
  <si>
    <t xml:space="preserve">SMHI: Hydrologiska observationer </t>
  </si>
  <si>
    <t xml:space="preserve"> Foto: Provpunkt 32, Bråån. Högseröds kyrka</t>
  </si>
  <si>
    <t>°dH</t>
  </si>
  <si>
    <t>Rättat enhet på hårdhet till °dH (flik metaller)</t>
  </si>
  <si>
    <t>Provtagning: Timothy Williams Uppdragsansvarig: Julia Karlsson</t>
  </si>
  <si>
    <t>istäckt,  inte möjligt att provta</t>
  </si>
  <si>
    <t>&lt;0,02</t>
  </si>
  <si>
    <t>Fel referens på temp i Resultatfliken, April för K3 och 12A. Fixat</t>
  </si>
  <si>
    <t>2025-05-13</t>
  </si>
  <si>
    <t>2025-05-15</t>
  </si>
  <si>
    <t>Pga kraftiga vindar togs provet på 8,5 m djup</t>
  </si>
  <si>
    <t>Provtagning: Timothy Williams  Uppdragsansvarig: Julia Karlsson</t>
  </si>
  <si>
    <t>Pga kraftiga vindar var provtagning ej möjlig</t>
  </si>
  <si>
    <t>Förhöjd rapporteringsgräns för ammoniumkväve, NH4-N, 
på grund av störningar från andra ämnen i provet.</t>
  </si>
  <si>
    <t>Korrigerat felaktiga referenser i indata F116-F130, samt i Resultat D112-D126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</si>
</sst>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_)"/>
    <numFmt numFmtId="166" formatCode="0_)"/>
    <numFmt numFmtId="167" formatCode="General_)"/>
    <numFmt numFmtId="168" formatCode="yymmdd"/>
    <numFmt numFmtId="169" formatCode="yyyy/mm/dd;@"/>
    <numFmt numFmtId="170" formatCode="0.000"/>
  </numFmts>
  <fonts count="1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indexed="62"/>
      <name val="Arial"/>
      <family val="2"/>
    </font>
    <font>
      <sz val="18"/>
      <name val="Arial"/>
      <family val="2"/>
    </font>
    <font>
      <u/>
      <sz val="10"/>
      <color indexed="12"/>
      <name val="Courier"/>
      <family val="3"/>
    </font>
    <font>
      <b/>
      <sz val="12"/>
      <color indexed="62"/>
      <name val="Helvetica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Helvetica"/>
    </font>
    <font>
      <i/>
      <sz val="36"/>
      <color indexed="12"/>
      <name val="Helvetica"/>
    </font>
    <font>
      <sz val="9"/>
      <name val="Helvetica"/>
    </font>
    <font>
      <sz val="9"/>
      <name val="Arial"/>
      <family val="2"/>
    </font>
    <font>
      <b/>
      <sz val="18"/>
      <color indexed="62"/>
      <name val="Arial"/>
      <family val="2"/>
    </font>
    <font>
      <sz val="8.5"/>
      <name val="Helvetica"/>
      <family val="2"/>
    </font>
    <font>
      <sz val="9"/>
      <name val="Helvetica"/>
      <family val="2"/>
    </font>
    <font>
      <sz val="7"/>
      <name val="Helvetica"/>
      <family val="2"/>
    </font>
    <font>
      <i/>
      <sz val="8"/>
      <name val="Helvetica"/>
      <family val="2"/>
    </font>
    <font>
      <sz val="8.6999999999999993"/>
      <name val="Helvetica"/>
      <family val="2"/>
    </font>
    <font>
      <sz val="10"/>
      <name val="Courier"/>
      <family val="3"/>
    </font>
    <font>
      <sz val="10"/>
      <name val="Helvetica"/>
      <family val="2"/>
    </font>
    <font>
      <sz val="8.5"/>
      <name val="Arial"/>
      <family val="2"/>
    </font>
    <font>
      <sz val="8.5"/>
      <color indexed="12"/>
      <name val="Helvetica"/>
      <family val="2"/>
    </font>
    <font>
      <sz val="9"/>
      <color indexed="12"/>
      <name val="Helvetica"/>
      <family val="2"/>
    </font>
    <font>
      <sz val="9"/>
      <color indexed="12"/>
      <name val="Helvetica"/>
    </font>
    <font>
      <sz val="8"/>
      <name val="Helvetica"/>
      <family val="2"/>
    </font>
    <font>
      <sz val="8"/>
      <color indexed="12"/>
      <name val="Helvetica"/>
      <family val="2"/>
    </font>
    <font>
      <sz val="10"/>
      <name val="Helvetica"/>
    </font>
    <font>
      <b/>
      <sz val="9"/>
      <name val="Helvetica"/>
    </font>
    <font>
      <sz val="8.6999999999999993"/>
      <color indexed="12"/>
      <name val="Helvetica"/>
      <family val="2"/>
    </font>
    <font>
      <sz val="7"/>
      <color indexed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vertAlign val="superscript"/>
      <sz val="8"/>
      <color indexed="81"/>
      <name val="Tahoma"/>
      <family val="2"/>
    </font>
    <font>
      <vertAlign val="subscript"/>
      <sz val="8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8"/>
      <name val="Arial"/>
      <family val="2"/>
    </font>
    <font>
      <i/>
      <sz val="8.5"/>
      <name val="Helvetica"/>
    </font>
    <font>
      <i/>
      <sz val="10"/>
      <name val="Helvetica"/>
    </font>
    <font>
      <sz val="9"/>
      <color indexed="10"/>
      <name val="Arial"/>
      <family val="2"/>
    </font>
    <font>
      <sz val="9"/>
      <color indexed="10"/>
      <name val="Helvetica"/>
      <family val="2"/>
    </font>
    <font>
      <sz val="9"/>
      <name val="Helvetica-Narrow"/>
    </font>
    <font>
      <sz val="9"/>
      <name val="Arial"/>
      <family val="2"/>
    </font>
    <font>
      <vertAlign val="superscript"/>
      <sz val="9"/>
      <color indexed="12"/>
      <name val="Helvetica"/>
      <family val="2"/>
    </font>
    <font>
      <sz val="10"/>
      <name val="Helvetica-Narrow"/>
    </font>
    <font>
      <i/>
      <sz val="9"/>
      <name val="Arial"/>
      <family val="2"/>
    </font>
    <font>
      <sz val="7"/>
      <name val="Arial"/>
      <family val="2"/>
    </font>
    <font>
      <sz val="8"/>
      <color indexed="12"/>
      <name val="Arial"/>
      <family val="2"/>
    </font>
    <font>
      <sz val="8"/>
      <name val="Helvetica"/>
    </font>
    <font>
      <vertAlign val="subscript"/>
      <sz val="8"/>
      <color indexed="81"/>
      <name val="Tahoma"/>
      <family val="2"/>
    </font>
    <font>
      <b/>
      <vertAlign val="subscript"/>
      <sz val="8"/>
      <color indexed="81"/>
      <name val="Tahoma"/>
      <family val="2"/>
    </font>
    <font>
      <vertAlign val="subscript"/>
      <sz val="8"/>
      <name val="Helvetica"/>
      <family val="2"/>
    </font>
    <font>
      <sz val="8"/>
      <color indexed="44"/>
      <name val="Helvetica"/>
    </font>
    <font>
      <i/>
      <sz val="8.5"/>
      <name val="Arial"/>
      <family val="2"/>
    </font>
    <font>
      <sz val="8"/>
      <name val="Arial"/>
      <family val="2"/>
    </font>
    <font>
      <sz val="9"/>
      <color indexed="10"/>
      <name val="Helvetic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Helvetica"/>
      <family val="2"/>
    </font>
    <font>
      <sz val="8"/>
      <color indexed="44"/>
      <name val="Helvetica"/>
      <family val="2"/>
    </font>
    <font>
      <sz val="8"/>
      <name val="Helv"/>
    </font>
    <font>
      <b/>
      <i/>
      <sz val="9"/>
      <name val="Arial"/>
      <family val="2"/>
    </font>
    <font>
      <b/>
      <vertAlign val="subscript"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Helvetica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8"/>
      <color rgb="FF008A76"/>
      <name val="Arial"/>
      <family val="2"/>
    </font>
    <font>
      <b/>
      <sz val="16"/>
      <color rgb="FF008A76"/>
      <name val="Arial"/>
      <family val="2"/>
    </font>
    <font>
      <b/>
      <sz val="10"/>
      <color rgb="FF008A76"/>
      <name val="Helvetica"/>
    </font>
    <font>
      <i/>
      <sz val="9"/>
      <color theme="0" tint="-0.499984740745262"/>
      <name val="Arial"/>
      <family val="2"/>
    </font>
    <font>
      <sz val="10"/>
      <color theme="1" tint="0.249977111117893"/>
      <name val="Arial"/>
      <family val="2"/>
    </font>
    <font>
      <i/>
      <sz val="26"/>
      <color theme="1" tint="0.249977111117893"/>
      <name val="Arial"/>
      <family val="2"/>
    </font>
    <font>
      <b/>
      <sz val="24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4"/>
      <color theme="1" tint="0.249977111117893"/>
      <name val="Arial"/>
      <family val="2"/>
    </font>
    <font>
      <sz val="18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@Arial Unicode MS"/>
      <family val="2"/>
    </font>
    <font>
      <b/>
      <sz val="9"/>
      <color theme="1" tint="0.249977111117893"/>
      <name val="Arial"/>
      <family val="2"/>
    </font>
    <font>
      <b/>
      <sz val="12"/>
      <color theme="1" tint="0.249977111117893"/>
      <name val="Helvetica"/>
    </font>
    <font>
      <b/>
      <sz val="10"/>
      <color theme="1" tint="0.249977111117893"/>
      <name val="Arial"/>
      <family val="2"/>
    </font>
    <font>
      <b/>
      <sz val="9"/>
      <color theme="1" tint="0.249977111117893"/>
      <name val="@Arial Unicode MS"/>
    </font>
    <font>
      <u/>
      <sz val="8"/>
      <name val="Arial"/>
      <family val="2"/>
    </font>
    <font>
      <b/>
      <sz val="18"/>
      <color rgb="FF00826F"/>
      <name val="Helvetica"/>
    </font>
    <font>
      <b/>
      <sz val="18"/>
      <color rgb="FF00826F"/>
      <name val="Arial"/>
      <family val="2"/>
    </font>
    <font>
      <b/>
      <sz val="10"/>
      <color rgb="FF00826F"/>
      <name val="Arial"/>
      <family val="2"/>
    </font>
    <font>
      <i/>
      <sz val="14"/>
      <color rgb="FF00826F"/>
      <name val="Arial"/>
      <family val="2"/>
    </font>
    <font>
      <sz val="14"/>
      <color rgb="FF00826F"/>
      <name val="Arial"/>
      <family val="2"/>
    </font>
    <font>
      <sz val="10"/>
      <color rgb="FF00826F"/>
      <name val="Helvetica"/>
    </font>
    <font>
      <sz val="10"/>
      <color rgb="FF00826F"/>
      <name val="Arial"/>
      <family val="2"/>
    </font>
    <font>
      <u/>
      <sz val="10"/>
      <color rgb="FF00826F"/>
      <name val="Arial"/>
      <family val="2"/>
    </font>
    <font>
      <b/>
      <sz val="10"/>
      <color rgb="FF008080"/>
      <name val="Arial"/>
      <family val="2"/>
    </font>
    <font>
      <b/>
      <sz val="9"/>
      <color rgb="FF008080"/>
      <name val="Arial"/>
      <family val="2"/>
    </font>
    <font>
      <b/>
      <sz val="14"/>
      <color rgb="FF008080"/>
      <name val="Arial"/>
      <family val="2"/>
    </font>
    <font>
      <b/>
      <sz val="14"/>
      <color rgb="FF006859"/>
      <name val="Arial"/>
      <family val="2"/>
    </font>
    <font>
      <i/>
      <sz val="10"/>
      <name val="Arial"/>
      <family val="2"/>
    </font>
    <font>
      <b/>
      <i/>
      <sz val="18"/>
      <color rgb="FF00826F"/>
      <name val="Arial"/>
      <family val="2"/>
    </font>
    <font>
      <i/>
      <sz val="14"/>
      <color indexed="62"/>
      <name val="Arial"/>
      <family val="2"/>
    </font>
    <font>
      <b/>
      <i/>
      <sz val="12"/>
      <name val="Arial"/>
      <family val="2"/>
    </font>
    <font>
      <i/>
      <sz val="12"/>
      <color rgb="FFFF0000"/>
      <name val="Arial"/>
      <family val="2"/>
    </font>
    <font>
      <i/>
      <sz val="10"/>
      <color rgb="FFFF0000"/>
      <name val="Arial"/>
      <family val="2"/>
    </font>
    <font>
      <i/>
      <u/>
      <sz val="10"/>
      <color rgb="FFFF0000"/>
      <name val="Arial"/>
      <family val="2"/>
    </font>
    <font>
      <i/>
      <sz val="12"/>
      <name val="Arial"/>
      <family val="2"/>
    </font>
    <font>
      <i/>
      <sz val="10"/>
      <color indexed="10"/>
      <name val="Arial"/>
      <family val="2"/>
    </font>
    <font>
      <i/>
      <u/>
      <sz val="10"/>
      <name val="Arial"/>
      <family val="2"/>
    </font>
    <font>
      <sz val="10"/>
      <color theme="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u/>
      <sz val="10"/>
      <color rgb="FF0070C0"/>
      <name val="Verdana"/>
      <family val="2"/>
    </font>
    <font>
      <b/>
      <sz val="14"/>
      <color rgb="FF008A76"/>
      <name val="Arial"/>
      <family val="2"/>
    </font>
    <font>
      <sz val="16"/>
      <color indexed="10"/>
      <name val="Helvetica"/>
    </font>
    <font>
      <b/>
      <sz val="16"/>
      <color rgb="FFFF0000"/>
      <name val="Helvetica"/>
    </font>
    <font>
      <b/>
      <sz val="9"/>
      <color rgb="FF008A76"/>
      <name val="Arial"/>
      <family val="2"/>
    </font>
    <font>
      <b/>
      <sz val="20"/>
      <color rgb="FF00826F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i/>
      <sz val="9"/>
      <name val="Helvetica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49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1E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89FF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0" tint="-0.24994659260841701"/>
      </right>
      <top style="thin">
        <color indexed="9"/>
      </top>
      <bottom style="medium">
        <color theme="0" tint="-0.24994659260841701"/>
      </bottom>
      <diagonal/>
    </border>
    <border>
      <left style="thin">
        <color indexed="9"/>
      </left>
      <right style="thin">
        <color rgb="FF00826F"/>
      </right>
      <top style="thin">
        <color indexed="9"/>
      </top>
      <bottom style="thin">
        <color rgb="FF00826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03">
    <xf numFmtId="0" fontId="0" fillId="0" borderId="0"/>
    <xf numFmtId="167" fontId="30" fillId="0" borderId="0">
      <alignment horizontal="left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167" fontId="50" fillId="0" borderId="0"/>
    <xf numFmtId="0" fontId="68" fillId="0" borderId="0"/>
    <xf numFmtId="0" fontId="22" fillId="0" borderId="0"/>
    <xf numFmtId="0" fontId="22" fillId="0" borderId="0"/>
    <xf numFmtId="0" fontId="76" fillId="0" borderId="0" applyNumberFormat="0" applyFill="0" applyBorder="0" applyAlignment="0" applyProtection="0"/>
    <xf numFmtId="0" fontId="77" fillId="0" borderId="0"/>
    <xf numFmtId="167" fontId="23" fillId="0" borderId="0">
      <alignment horizontal="left"/>
      <protection locked="0"/>
    </xf>
    <xf numFmtId="0" fontId="126" fillId="0" borderId="0" applyNumberFormat="0" applyFill="0" applyBorder="0" applyAlignment="0" applyProtection="0"/>
    <xf numFmtId="0" fontId="127" fillId="0" borderId="32" applyNumberFormat="0" applyFill="0" applyAlignment="0" applyProtection="0"/>
    <xf numFmtId="0" fontId="128" fillId="0" borderId="33" applyNumberFormat="0" applyFill="0" applyAlignment="0" applyProtection="0"/>
    <xf numFmtId="0" fontId="129" fillId="0" borderId="34" applyNumberFormat="0" applyFill="0" applyAlignment="0" applyProtection="0"/>
    <xf numFmtId="0" fontId="129" fillId="0" borderId="0" applyNumberFormat="0" applyFill="0" applyBorder="0" applyAlignment="0" applyProtection="0"/>
    <xf numFmtId="0" fontId="130" fillId="23" borderId="0" applyNumberFormat="0" applyBorder="0" applyAlignment="0" applyProtection="0"/>
    <xf numFmtId="0" fontId="131" fillId="24" borderId="0" applyNumberFormat="0" applyBorder="0" applyAlignment="0" applyProtection="0"/>
    <xf numFmtId="0" fontId="132" fillId="25" borderId="0" applyNumberFormat="0" applyBorder="0" applyAlignment="0" applyProtection="0"/>
    <xf numFmtId="0" fontId="133" fillId="26" borderId="35" applyNumberFormat="0" applyAlignment="0" applyProtection="0"/>
    <xf numFmtId="0" fontId="134" fillId="27" borderId="36" applyNumberFormat="0" applyAlignment="0" applyProtection="0"/>
    <xf numFmtId="0" fontId="135" fillId="27" borderId="35" applyNumberFormat="0" applyAlignment="0" applyProtection="0"/>
    <xf numFmtId="0" fontId="136" fillId="0" borderId="37" applyNumberFormat="0" applyFill="0" applyAlignment="0" applyProtection="0"/>
    <xf numFmtId="0" fontId="137" fillId="28" borderId="38" applyNumberFormat="0" applyAlignment="0" applyProtection="0"/>
    <xf numFmtId="0" fontId="13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40" applyNumberFormat="0" applyFill="0" applyAlignment="0" applyProtection="0"/>
    <xf numFmtId="0" fontId="14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4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41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41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141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41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42" fillId="0" borderId="0"/>
    <xf numFmtId="0" fontId="2" fillId="29" borderId="39" applyNumberFormat="0" applyFont="0" applyAlignment="0" applyProtection="0"/>
    <xf numFmtId="0" fontId="8" fillId="0" borderId="0"/>
    <xf numFmtId="0" fontId="8" fillId="0" borderId="0" applyNumberFormat="0" applyFont="0" applyFill="0" applyBorder="0" applyAlignment="0" applyProtection="0"/>
    <xf numFmtId="0" fontId="1" fillId="29" borderId="39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8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29" borderId="39" applyNumberFormat="0" applyFont="0" applyAlignment="0" applyProtection="0"/>
    <xf numFmtId="0" fontId="154" fillId="0" borderId="0" applyNumberFormat="0" applyFont="0" applyFill="0" applyBorder="0" applyAlignment="0" applyProtection="0"/>
    <xf numFmtId="0" fontId="154" fillId="0" borderId="0" applyNumberFormat="0" applyFont="0" applyFill="0" applyBorder="0" applyAlignment="0" applyProtection="0"/>
    <xf numFmtId="0" fontId="154" fillId="0" borderId="0" applyNumberFormat="0" applyFont="0" applyFill="0" applyBorder="0" applyAlignment="0" applyProtection="0"/>
    <xf numFmtId="0" fontId="157" fillId="0" borderId="0" applyNumberFormat="0" applyFont="0" applyFill="0" applyBorder="0" applyAlignment="0" applyProtection="0"/>
    <xf numFmtId="0" fontId="157" fillId="0" borderId="0" applyNumberFormat="0" applyFont="0" applyFill="0" applyBorder="0" applyAlignment="0" applyProtection="0"/>
  </cellStyleXfs>
  <cellXfs count="760">
    <xf numFmtId="0" fontId="0" fillId="0" borderId="0" xfId="0"/>
    <xf numFmtId="0" fontId="12" fillId="0" borderId="0" xfId="0" applyFont="1" applyAlignment="1">
      <alignment horizontal="center"/>
    </xf>
    <xf numFmtId="0" fontId="19" fillId="0" borderId="0" xfId="0" applyFont="1"/>
    <xf numFmtId="0" fontId="14" fillId="0" borderId="0" xfId="0" applyFont="1"/>
    <xf numFmtId="0" fontId="20" fillId="2" borderId="0" xfId="0" applyFont="1" applyFill="1" applyAlignment="1">
      <alignment horizontal="center"/>
    </xf>
    <xf numFmtId="0" fontId="20" fillId="2" borderId="1" xfId="0" applyFont="1" applyFill="1" applyBorder="1" applyAlignment="1">
      <alignment horizontal="center"/>
    </xf>
    <xf numFmtId="1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14" fontId="14" fillId="0" borderId="0" xfId="0" applyNumberFormat="1" applyFont="1"/>
    <xf numFmtId="0" fontId="27" fillId="3" borderId="0" xfId="0" applyFont="1" applyFill="1" applyProtection="1">
      <protection locked="0"/>
    </xf>
    <xf numFmtId="14" fontId="14" fillId="3" borderId="0" xfId="0" applyNumberFormat="1" applyFont="1" applyFill="1"/>
    <xf numFmtId="164" fontId="14" fillId="3" borderId="0" xfId="0" applyNumberFormat="1" applyFont="1" applyFill="1" applyAlignment="1" applyProtection="1">
      <alignment horizontal="center"/>
      <protection locked="0"/>
    </xf>
    <xf numFmtId="1" fontId="14" fillId="3" borderId="0" xfId="0" applyNumberFormat="1" applyFont="1" applyFill="1" applyAlignment="1" applyProtection="1">
      <alignment horizontal="center"/>
      <protection locked="0"/>
    </xf>
    <xf numFmtId="0" fontId="14" fillId="3" borderId="0" xfId="0" applyFont="1" applyFill="1"/>
    <xf numFmtId="0" fontId="21" fillId="3" borderId="0" xfId="0" applyFont="1" applyFill="1" applyAlignment="1">
      <alignment horizontal="left"/>
    </xf>
    <xf numFmtId="0" fontId="21" fillId="3" borderId="0" xfId="0" applyFont="1" applyFill="1"/>
    <xf numFmtId="0" fontId="30" fillId="3" borderId="0" xfId="0" applyFont="1" applyFill="1"/>
    <xf numFmtId="0" fontId="21" fillId="3" borderId="0" xfId="0" applyFont="1" applyFill="1" applyAlignment="1">
      <alignment horizontal="right"/>
    </xf>
    <xf numFmtId="14" fontId="27" fillId="3" borderId="0" xfId="0" applyNumberFormat="1" applyFont="1" applyFill="1" applyAlignment="1" applyProtection="1">
      <alignment horizontal="left"/>
      <protection locked="0"/>
    </xf>
    <xf numFmtId="0" fontId="14" fillId="3" borderId="0" xfId="0" applyFont="1" applyFill="1" applyAlignment="1">
      <alignment horizontal="left"/>
    </xf>
    <xf numFmtId="14" fontId="14" fillId="3" borderId="0" xfId="0" applyNumberFormat="1" applyFont="1" applyFill="1" applyAlignment="1">
      <alignment horizontal="left"/>
    </xf>
    <xf numFmtId="164" fontId="14" fillId="3" borderId="0" xfId="0" applyNumberFormat="1" applyFont="1" applyFill="1" applyAlignment="1">
      <alignment horizontal="center"/>
    </xf>
    <xf numFmtId="1" fontId="31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4" fontId="27" fillId="3" borderId="0" xfId="0" applyNumberFormat="1" applyFont="1" applyFill="1" applyProtection="1">
      <protection locked="0"/>
    </xf>
    <xf numFmtId="164" fontId="27" fillId="3" borderId="0" xfId="0" applyNumberFormat="1" applyFont="1" applyFill="1" applyAlignment="1" applyProtection="1">
      <alignment horizontal="center"/>
      <protection locked="0"/>
    </xf>
    <xf numFmtId="1" fontId="14" fillId="3" borderId="0" xfId="0" applyNumberFormat="1" applyFont="1" applyFill="1" applyAlignment="1">
      <alignment horizontal="center"/>
    </xf>
    <xf numFmtId="0" fontId="32" fillId="3" borderId="0" xfId="0" applyFont="1" applyFill="1" applyProtection="1">
      <protection locked="0"/>
    </xf>
    <xf numFmtId="1" fontId="27" fillId="3" borderId="0" xfId="0" applyNumberFormat="1" applyFont="1" applyFill="1" applyAlignment="1" applyProtection="1">
      <alignment horizontal="center"/>
      <protection locked="0"/>
    </xf>
    <xf numFmtId="0" fontId="26" fillId="3" borderId="0" xfId="0" applyFont="1" applyFill="1" applyProtection="1">
      <protection locked="0"/>
    </xf>
    <xf numFmtId="14" fontId="26" fillId="3" borderId="0" xfId="0" applyNumberFormat="1" applyFont="1" applyFill="1" applyAlignment="1" applyProtection="1">
      <alignment horizontal="left"/>
      <protection locked="0"/>
    </xf>
    <xf numFmtId="164" fontId="26" fillId="3" borderId="0" xfId="0" applyNumberFormat="1" applyFont="1" applyFill="1" applyAlignment="1" applyProtection="1">
      <alignment horizontal="center"/>
      <protection locked="0"/>
    </xf>
    <xf numFmtId="1" fontId="26" fillId="3" borderId="0" xfId="0" applyNumberFormat="1" applyFont="1" applyFill="1" applyAlignment="1" applyProtection="1">
      <alignment horizontal="center"/>
      <protection locked="0"/>
    </xf>
    <xf numFmtId="0" fontId="18" fillId="3" borderId="0" xfId="0" applyFont="1" applyFill="1"/>
    <xf numFmtId="14" fontId="32" fillId="3" borderId="0" xfId="0" applyNumberFormat="1" applyFont="1" applyFill="1" applyAlignment="1" applyProtection="1">
      <alignment horizontal="left"/>
      <protection locked="0"/>
    </xf>
    <xf numFmtId="0" fontId="25" fillId="3" borderId="0" xfId="0" applyFont="1" applyFill="1" applyProtection="1">
      <protection locked="0"/>
    </xf>
    <xf numFmtId="0" fontId="20" fillId="0" borderId="0" xfId="0" applyFont="1" applyAlignment="1">
      <alignment horizontal="center"/>
    </xf>
    <xf numFmtId="0" fontId="19" fillId="3" borderId="0" xfId="0" applyFont="1" applyFill="1" applyAlignment="1">
      <alignment horizontal="right"/>
    </xf>
    <xf numFmtId="0" fontId="33" fillId="3" borderId="0" xfId="0" applyFont="1" applyFill="1" applyProtection="1">
      <protection locked="0"/>
    </xf>
    <xf numFmtId="0" fontId="19" fillId="3" borderId="0" xfId="0" applyFont="1" applyFill="1"/>
    <xf numFmtId="0" fontId="0" fillId="0" borderId="0" xfId="0" applyAlignment="1">
      <alignment horizontal="center"/>
    </xf>
    <xf numFmtId="0" fontId="8" fillId="0" borderId="0" xfId="10" applyFont="1"/>
    <xf numFmtId="0" fontId="11" fillId="0" borderId="0" xfId="10" applyFont="1"/>
    <xf numFmtId="0" fontId="3" fillId="0" borderId="2" xfId="10" applyFont="1" applyBorder="1" applyAlignment="1">
      <alignment horizontal="right"/>
    </xf>
    <xf numFmtId="0" fontId="3" fillId="0" borderId="3" xfId="10" applyFont="1" applyBorder="1" applyAlignment="1">
      <alignment horizontal="center"/>
    </xf>
    <xf numFmtId="0" fontId="3" fillId="0" borderId="0" xfId="10" applyFont="1"/>
    <xf numFmtId="0" fontId="10" fillId="0" borderId="4" xfId="10" applyFont="1" applyBorder="1"/>
    <xf numFmtId="0" fontId="3" fillId="0" borderId="5" xfId="10" applyFont="1" applyBorder="1"/>
    <xf numFmtId="0" fontId="3" fillId="0" borderId="6" xfId="10" applyFont="1" applyBorder="1"/>
    <xf numFmtId="0" fontId="3" fillId="0" borderId="7" xfId="10" applyFont="1" applyBorder="1"/>
    <xf numFmtId="0" fontId="3" fillId="0" borderId="8" xfId="10" applyFont="1" applyBorder="1"/>
    <xf numFmtId="0" fontId="3" fillId="0" borderId="5" xfId="10" applyFont="1" applyBorder="1" applyAlignment="1">
      <alignment wrapText="1"/>
    </xf>
    <xf numFmtId="0" fontId="3" fillId="0" borderId="9" xfId="10" applyFont="1" applyBorder="1" applyAlignment="1">
      <alignment horizontal="left"/>
    </xf>
    <xf numFmtId="0" fontId="3" fillId="0" borderId="10" xfId="10" applyFont="1" applyBorder="1" applyAlignment="1">
      <alignment horizontal="left"/>
    </xf>
    <xf numFmtId="0" fontId="3" fillId="0" borderId="11" xfId="1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1" fillId="0" borderId="0" xfId="0" applyFont="1"/>
    <xf numFmtId="0" fontId="44" fillId="0" borderId="0" xfId="0" applyFont="1" applyAlignment="1">
      <alignment horizontal="center"/>
    </xf>
    <xf numFmtId="0" fontId="30" fillId="0" borderId="0" xfId="0" applyFont="1"/>
    <xf numFmtId="0" fontId="43" fillId="0" borderId="0" xfId="0" applyFont="1" applyAlignment="1">
      <alignment horizontal="left"/>
    </xf>
    <xf numFmtId="0" fontId="10" fillId="4" borderId="12" xfId="10" applyFont="1" applyFill="1" applyBorder="1" applyAlignment="1">
      <alignment horizontal="center"/>
    </xf>
    <xf numFmtId="0" fontId="3" fillId="4" borderId="13" xfId="10" applyFont="1" applyFill="1" applyBorder="1" applyAlignment="1">
      <alignment horizontal="center"/>
    </xf>
    <xf numFmtId="0" fontId="3" fillId="4" borderId="14" xfId="10" applyFont="1" applyFill="1" applyBorder="1" applyAlignment="1">
      <alignment horizontal="center"/>
    </xf>
    <xf numFmtId="0" fontId="3" fillId="4" borderId="15" xfId="10" applyFont="1" applyFill="1" applyBorder="1" applyAlignment="1">
      <alignment horizontal="center"/>
    </xf>
    <xf numFmtId="0" fontId="3" fillId="4" borderId="14" xfId="10" quotePrefix="1" applyFont="1" applyFill="1" applyBorder="1" applyAlignment="1">
      <alignment horizontal="center"/>
    </xf>
    <xf numFmtId="0" fontId="10" fillId="5" borderId="17" xfId="10" applyFont="1" applyFill="1" applyBorder="1" applyAlignment="1">
      <alignment horizontal="center"/>
    </xf>
    <xf numFmtId="0" fontId="3" fillId="5" borderId="18" xfId="10" applyFont="1" applyFill="1" applyBorder="1" applyAlignment="1">
      <alignment horizontal="center"/>
    </xf>
    <xf numFmtId="0" fontId="3" fillId="5" borderId="1" xfId="10" applyFont="1" applyFill="1" applyBorder="1" applyAlignment="1">
      <alignment horizontal="center"/>
    </xf>
    <xf numFmtId="0" fontId="3" fillId="5" borderId="0" xfId="10" applyFont="1" applyFill="1" applyAlignment="1">
      <alignment horizontal="center"/>
    </xf>
    <xf numFmtId="0" fontId="3" fillId="5" borderId="1" xfId="10" quotePrefix="1" applyFont="1" applyFill="1" applyBorder="1" applyAlignment="1">
      <alignment horizontal="center"/>
    </xf>
    <xf numFmtId="0" fontId="10" fillId="6" borderId="12" xfId="10" applyFont="1" applyFill="1" applyBorder="1" applyAlignment="1">
      <alignment horizontal="center"/>
    </xf>
    <xf numFmtId="0" fontId="3" fillId="6" borderId="13" xfId="10" applyFont="1" applyFill="1" applyBorder="1" applyAlignment="1">
      <alignment horizontal="center"/>
    </xf>
    <xf numFmtId="0" fontId="3" fillId="6" borderId="14" xfId="10" applyFont="1" applyFill="1" applyBorder="1" applyAlignment="1">
      <alignment horizontal="center"/>
    </xf>
    <xf numFmtId="0" fontId="3" fillId="6" borderId="15" xfId="10" applyFont="1" applyFill="1" applyBorder="1" applyAlignment="1">
      <alignment horizontal="center"/>
    </xf>
    <xf numFmtId="0" fontId="3" fillId="6" borderId="16" xfId="10" applyFont="1" applyFill="1" applyBorder="1" applyAlignment="1">
      <alignment horizontal="center"/>
    </xf>
    <xf numFmtId="164" fontId="14" fillId="0" borderId="0" xfId="0" applyNumberFormat="1" applyFont="1" applyAlignment="1">
      <alignment horizontal="right"/>
    </xf>
    <xf numFmtId="164" fontId="14" fillId="3" borderId="0" xfId="0" applyNumberFormat="1" applyFont="1" applyFill="1" applyAlignment="1" applyProtection="1">
      <alignment horizontal="right"/>
      <protection locked="0"/>
    </xf>
    <xf numFmtId="164" fontId="14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 applyProtection="1">
      <alignment horizontal="right"/>
      <protection locked="0"/>
    </xf>
    <xf numFmtId="164" fontId="26" fillId="3" borderId="0" xfId="0" applyNumberFormat="1" applyFont="1" applyFill="1" applyAlignment="1" applyProtection="1">
      <alignment horizontal="right"/>
      <protection locked="0"/>
    </xf>
    <xf numFmtId="1" fontId="27" fillId="3" borderId="0" xfId="0" applyNumberFormat="1" applyFont="1" applyFill="1" applyAlignment="1">
      <alignment horizontal="center"/>
    </xf>
    <xf numFmtId="14" fontId="18" fillId="0" borderId="0" xfId="0" applyNumberFormat="1" applyFont="1" applyProtection="1">
      <protection locked="0"/>
    </xf>
    <xf numFmtId="14" fontId="18" fillId="3" borderId="0" xfId="0" applyNumberFormat="1" applyFont="1" applyFill="1" applyAlignment="1">
      <alignment horizontal="right"/>
    </xf>
    <xf numFmtId="164" fontId="18" fillId="3" borderId="0" xfId="0" applyNumberFormat="1" applyFont="1" applyFill="1" applyAlignment="1">
      <alignment horizontal="center"/>
    </xf>
    <xf numFmtId="1" fontId="18" fillId="3" borderId="0" xfId="0" applyNumberFormat="1" applyFont="1" applyFill="1" applyAlignment="1">
      <alignment horizontal="center"/>
    </xf>
    <xf numFmtId="164" fontId="18" fillId="3" borderId="0" xfId="0" applyNumberFormat="1" applyFont="1" applyFill="1" applyAlignment="1">
      <alignment horizontal="right"/>
    </xf>
    <xf numFmtId="14" fontId="18" fillId="3" borderId="0" xfId="0" applyNumberFormat="1" applyFont="1" applyFill="1"/>
    <xf numFmtId="1" fontId="48" fillId="3" borderId="0" xfId="0" applyNumberFormat="1" applyFont="1" applyFill="1" applyAlignment="1">
      <alignment horizontal="center"/>
    </xf>
    <xf numFmtId="14" fontId="26" fillId="3" borderId="0" xfId="0" applyNumberFormat="1" applyFont="1" applyFill="1" applyProtection="1">
      <protection locked="0"/>
    </xf>
    <xf numFmtId="14" fontId="18" fillId="3" borderId="0" xfId="0" applyNumberFormat="1" applyFont="1" applyFill="1" applyAlignment="1">
      <alignment horizontal="left"/>
    </xf>
    <xf numFmtId="1" fontId="18" fillId="3" borderId="0" xfId="0" quotePrefix="1" applyNumberFormat="1" applyFont="1" applyFill="1" applyAlignment="1">
      <alignment horizontal="center"/>
    </xf>
    <xf numFmtId="164" fontId="18" fillId="3" borderId="0" xfId="0" quotePrefix="1" applyNumberFormat="1" applyFont="1" applyFill="1" applyAlignment="1">
      <alignment horizontal="center"/>
    </xf>
    <xf numFmtId="14" fontId="18" fillId="3" borderId="0" xfId="0" applyNumberFormat="1" applyFont="1" applyFill="1" applyProtection="1">
      <protection locked="0"/>
    </xf>
    <xf numFmtId="1" fontId="18" fillId="3" borderId="0" xfId="0" applyNumberFormat="1" applyFont="1" applyFill="1" applyAlignment="1" applyProtection="1">
      <alignment horizontal="center"/>
      <protection locked="0"/>
    </xf>
    <xf numFmtId="14" fontId="49" fillId="3" borderId="0" xfId="0" applyNumberFormat="1" applyFont="1" applyFill="1" applyAlignment="1" applyProtection="1">
      <alignment horizontal="right"/>
      <protection locked="0"/>
    </xf>
    <xf numFmtId="164" fontId="48" fillId="3" borderId="0" xfId="0" applyNumberFormat="1" applyFont="1" applyFill="1" applyAlignment="1">
      <alignment horizontal="center"/>
    </xf>
    <xf numFmtId="164" fontId="18" fillId="3" borderId="0" xfId="0" quotePrefix="1" applyNumberFormat="1" applyFont="1" applyFill="1" applyAlignment="1">
      <alignment horizontal="right"/>
    </xf>
    <xf numFmtId="164" fontId="18" fillId="3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15" fillId="0" borderId="0" xfId="0" applyFont="1"/>
    <xf numFmtId="0" fontId="51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53" fillId="3" borderId="0" xfId="0" applyFont="1" applyFill="1" applyAlignment="1" applyProtection="1">
      <alignment horizontal="center"/>
      <protection locked="0"/>
    </xf>
    <xf numFmtId="0" fontId="3" fillId="0" borderId="9" xfId="10" applyFont="1" applyBorder="1"/>
    <xf numFmtId="0" fontId="10" fillId="0" borderId="9" xfId="10" applyFont="1" applyBorder="1"/>
    <xf numFmtId="0" fontId="52" fillId="0" borderId="0" xfId="0" applyFont="1"/>
    <xf numFmtId="2" fontId="24" fillId="0" borderId="0" xfId="0" applyNumberFormat="1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54" fillId="2" borderId="0" xfId="0" applyFont="1" applyFill="1" applyAlignment="1">
      <alignment horizontal="left"/>
    </xf>
    <xf numFmtId="0" fontId="54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5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8" fillId="2" borderId="0" xfId="0" applyFont="1" applyFill="1" applyAlignment="1">
      <alignment horizontal="right"/>
    </xf>
    <xf numFmtId="0" fontId="24" fillId="0" borderId="0" xfId="0" applyFont="1" applyProtection="1">
      <protection locked="0"/>
    </xf>
    <xf numFmtId="0" fontId="15" fillId="0" borderId="0" xfId="0" applyFont="1" applyAlignment="1">
      <alignment horizontal="left"/>
    </xf>
    <xf numFmtId="0" fontId="24" fillId="0" borderId="0" xfId="0" applyFont="1" applyAlignment="1" applyProtection="1">
      <alignment horizontal="center"/>
      <protection locked="0"/>
    </xf>
    <xf numFmtId="14" fontId="15" fillId="0" borderId="0" xfId="0" applyNumberFormat="1" applyFont="1"/>
    <xf numFmtId="14" fontId="15" fillId="0" borderId="0" xfId="0" applyNumberFormat="1" applyFont="1" applyProtection="1">
      <protection locked="0"/>
    </xf>
    <xf numFmtId="0" fontId="60" fillId="2" borderId="0" xfId="0" applyFont="1" applyFill="1"/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164" fontId="54" fillId="2" borderId="1" xfId="11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left"/>
    </xf>
    <xf numFmtId="0" fontId="28" fillId="2" borderId="1" xfId="0" applyFont="1" applyFill="1" applyBorder="1"/>
    <xf numFmtId="0" fontId="54" fillId="2" borderId="1" xfId="0" applyFont="1" applyFill="1" applyBorder="1"/>
    <xf numFmtId="0" fontId="65" fillId="0" borderId="0" xfId="5" applyFont="1" applyProtection="1">
      <protection locked="0"/>
    </xf>
    <xf numFmtId="0" fontId="8" fillId="0" borderId="0" xfId="5" applyProtection="1">
      <protection locked="0"/>
    </xf>
    <xf numFmtId="0" fontId="5" fillId="0" borderId="0" xfId="5" applyFont="1" applyProtection="1">
      <protection locked="0"/>
    </xf>
    <xf numFmtId="0" fontId="66" fillId="0" borderId="0" xfId="5" applyFont="1" applyAlignment="1" applyProtection="1">
      <alignment horizontal="left"/>
      <protection locked="0"/>
    </xf>
    <xf numFmtId="164" fontId="17" fillId="2" borderId="0" xfId="11" applyNumberFormat="1" applyFont="1" applyFill="1" applyAlignment="1" applyProtection="1">
      <alignment horizontal="center"/>
      <protection locked="0"/>
    </xf>
    <xf numFmtId="0" fontId="18" fillId="9" borderId="0" xfId="5" applyFont="1" applyFill="1" applyProtection="1">
      <protection locked="0"/>
    </xf>
    <xf numFmtId="0" fontId="17" fillId="9" borderId="0" xfId="5" applyFont="1" applyFill="1" applyAlignment="1" applyProtection="1">
      <alignment horizontal="left"/>
      <protection locked="0"/>
    </xf>
    <xf numFmtId="14" fontId="17" fillId="9" borderId="0" xfId="5" applyNumberFormat="1" applyFont="1" applyFill="1" applyProtection="1">
      <protection locked="0"/>
    </xf>
    <xf numFmtId="164" fontId="17" fillId="9" borderId="0" xfId="5" applyNumberFormat="1" applyFont="1" applyFill="1" applyAlignment="1" applyProtection="1">
      <alignment horizontal="right"/>
      <protection locked="0"/>
    </xf>
    <xf numFmtId="1" fontId="17" fillId="9" borderId="0" xfId="5" applyNumberFormat="1" applyFont="1" applyFill="1" applyAlignment="1" applyProtection="1">
      <alignment horizontal="right"/>
      <protection locked="0"/>
    </xf>
    <xf numFmtId="166" fontId="17" fillId="9" borderId="0" xfId="5" applyNumberFormat="1" applyFont="1" applyFill="1" applyAlignment="1" applyProtection="1">
      <alignment horizontal="right"/>
      <protection locked="0"/>
    </xf>
    <xf numFmtId="0" fontId="17" fillId="9" borderId="0" xfId="5" applyFont="1" applyFill="1" applyAlignment="1" applyProtection="1">
      <alignment horizontal="center"/>
      <protection locked="0"/>
    </xf>
    <xf numFmtId="0" fontId="17" fillId="9" borderId="0" xfId="5" applyFont="1" applyFill="1" applyAlignment="1" applyProtection="1">
      <alignment horizontal="right"/>
      <protection locked="0"/>
    </xf>
    <xf numFmtId="0" fontId="17" fillId="9" borderId="0" xfId="5" applyFont="1" applyFill="1" applyProtection="1">
      <protection locked="0"/>
    </xf>
    <xf numFmtId="0" fontId="28" fillId="9" borderId="0" xfId="5" applyFont="1" applyFill="1" applyAlignment="1" applyProtection="1">
      <alignment horizontal="left"/>
      <protection locked="0"/>
    </xf>
    <xf numFmtId="0" fontId="8" fillId="9" borderId="0" xfId="5" applyFill="1" applyProtection="1">
      <protection locked="0"/>
    </xf>
    <xf numFmtId="0" fontId="26" fillId="9" borderId="0" xfId="5" applyFont="1" applyFill="1" applyProtection="1">
      <protection locked="0"/>
    </xf>
    <xf numFmtId="0" fontId="18" fillId="7" borderId="0" xfId="5" applyFont="1" applyFill="1" applyAlignment="1" applyProtection="1">
      <alignment horizontal="right"/>
      <protection locked="0"/>
    </xf>
    <xf numFmtId="0" fontId="18" fillId="8" borderId="0" xfId="5" applyFont="1" applyFill="1" applyAlignment="1" applyProtection="1">
      <alignment horizontal="right"/>
      <protection locked="0" hidden="1"/>
    </xf>
    <xf numFmtId="0" fontId="13" fillId="11" borderId="0" xfId="0" applyFont="1" applyFill="1" applyAlignment="1">
      <alignment horizontal="center"/>
    </xf>
    <xf numFmtId="0" fontId="0" fillId="11" borderId="0" xfId="0" applyFill="1"/>
    <xf numFmtId="164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8" fillId="11" borderId="0" xfId="0" applyFont="1" applyFill="1"/>
    <xf numFmtId="0" fontId="15" fillId="2" borderId="0" xfId="0" applyFont="1" applyFill="1"/>
    <xf numFmtId="0" fontId="15" fillId="2" borderId="1" xfId="0" applyFont="1" applyFill="1" applyBorder="1"/>
    <xf numFmtId="0" fontId="51" fillId="2" borderId="0" xfId="0" applyFont="1" applyFill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11" applyFont="1" applyFill="1" applyBorder="1" applyAlignment="1">
      <alignment horizontal="right"/>
    </xf>
    <xf numFmtId="0" fontId="8" fillId="0" borderId="0" xfId="3"/>
    <xf numFmtId="0" fontId="69" fillId="12" borderId="18" xfId="3" applyFont="1" applyFill="1" applyBorder="1"/>
    <xf numFmtId="0" fontId="15" fillId="12" borderId="18" xfId="3" applyFont="1" applyFill="1" applyBorder="1"/>
    <xf numFmtId="164" fontId="15" fillId="12" borderId="18" xfId="3" applyNumberFormat="1" applyFont="1" applyFill="1" applyBorder="1" applyAlignment="1">
      <alignment horizontal="center" vertical="center"/>
    </xf>
    <xf numFmtId="0" fontId="15" fillId="12" borderId="1" xfId="3" applyFont="1" applyFill="1" applyBorder="1" applyAlignment="1">
      <alignment horizontal="center"/>
    </xf>
    <xf numFmtId="14" fontId="15" fillId="12" borderId="1" xfId="3" applyNumberFormat="1" applyFont="1" applyFill="1" applyBorder="1" applyAlignment="1">
      <alignment horizontal="center"/>
    </xf>
    <xf numFmtId="0" fontId="15" fillId="12" borderId="18" xfId="3" applyFont="1" applyFill="1" applyBorder="1" applyAlignment="1">
      <alignment horizontal="center" vertical="center"/>
    </xf>
    <xf numFmtId="0" fontId="64" fillId="12" borderId="1" xfId="3" applyFont="1" applyFill="1" applyBorder="1" applyAlignment="1">
      <alignment horizontal="center"/>
    </xf>
    <xf numFmtId="0" fontId="15" fillId="12" borderId="18" xfId="3" applyFont="1" applyFill="1" applyBorder="1" applyAlignment="1">
      <alignment horizontal="center"/>
    </xf>
    <xf numFmtId="0" fontId="15" fillId="12" borderId="1" xfId="3" applyFont="1" applyFill="1" applyBorder="1"/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5" fillId="2" borderId="1" xfId="11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horizontal="left"/>
    </xf>
    <xf numFmtId="14" fontId="64" fillId="2" borderId="0" xfId="0" applyNumberFormat="1" applyFont="1" applyFill="1" applyAlignment="1">
      <alignment horizontal="center" vertical="center"/>
    </xf>
    <xf numFmtId="164" fontId="64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1" fontId="64" fillId="2" borderId="0" xfId="0" applyNumberFormat="1" applyFont="1" applyFill="1" applyAlignment="1">
      <alignment horizontal="center" vertical="center"/>
    </xf>
    <xf numFmtId="1" fontId="64" fillId="2" borderId="0" xfId="11" applyNumberFormat="1" applyFont="1" applyFill="1" applyAlignment="1">
      <alignment horizontal="center" vertical="center"/>
    </xf>
    <xf numFmtId="164" fontId="18" fillId="0" borderId="0" xfId="0" applyNumberFormat="1" applyFont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 vertical="center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164" fontId="26" fillId="0" borderId="0" xfId="0" applyNumberFormat="1" applyFont="1" applyAlignment="1" applyProtection="1">
      <alignment horizontal="center" vertical="center"/>
      <protection locked="0"/>
    </xf>
    <xf numFmtId="1" fontId="26" fillId="0" borderId="0" xfId="0" applyNumberFormat="1" applyFont="1" applyAlignment="1" applyProtection="1">
      <alignment horizontal="center" vertical="center"/>
      <protection locked="0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" fontId="15" fillId="0" borderId="0" xfId="0" quotePrefix="1" applyNumberFormat="1" applyFont="1" applyAlignment="1">
      <alignment horizontal="center" vertical="center"/>
    </xf>
    <xf numFmtId="164" fontId="15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2" fontId="3" fillId="0" borderId="0" xfId="0" applyNumberFormat="1" applyFont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1" fontId="18" fillId="0" borderId="0" xfId="5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4" fontId="1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2" fontId="15" fillId="0" borderId="0" xfId="0" applyNumberFormat="1" applyFont="1" applyAlignment="1" applyProtection="1">
      <alignment horizontal="center" vertical="center"/>
      <protection locked="0"/>
    </xf>
    <xf numFmtId="2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 applyProtection="1">
      <alignment horizontal="right"/>
      <protection locked="0"/>
    </xf>
    <xf numFmtId="1" fontId="18" fillId="0" borderId="0" xfId="5" applyNumberFormat="1" applyFont="1" applyAlignment="1">
      <alignment horizontal="center" vertical="center"/>
    </xf>
    <xf numFmtId="14" fontId="0" fillId="11" borderId="0" xfId="0" applyNumberFormat="1" applyFill="1"/>
    <xf numFmtId="14" fontId="0" fillId="0" borderId="0" xfId="0" applyNumberFormat="1"/>
    <xf numFmtId="49" fontId="0" fillId="0" borderId="0" xfId="0" applyNumberFormat="1"/>
    <xf numFmtId="1" fontId="15" fillId="0" borderId="0" xfId="0" applyNumberFormat="1" applyFont="1"/>
    <xf numFmtId="169" fontId="64" fillId="2" borderId="0" xfId="0" applyNumberFormat="1" applyFont="1" applyFill="1" applyAlignment="1">
      <alignment horizontal="center" vertical="center"/>
    </xf>
    <xf numFmtId="169" fontId="15" fillId="2" borderId="1" xfId="0" applyNumberFormat="1" applyFont="1" applyFill="1" applyBorder="1" applyAlignment="1">
      <alignment horizontal="center" vertical="center"/>
    </xf>
    <xf numFmtId="169" fontId="14" fillId="0" borderId="0" xfId="0" applyNumberFormat="1" applyFont="1"/>
    <xf numFmtId="164" fontId="15" fillId="0" borderId="0" xfId="0" applyNumberFormat="1" applyFont="1"/>
    <xf numFmtId="0" fontId="3" fillId="0" borderId="0" xfId="0" applyFont="1" applyAlignment="1">
      <alignment horizontal="right"/>
    </xf>
    <xf numFmtId="164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4" borderId="0" xfId="0" applyFill="1"/>
    <xf numFmtId="0" fontId="11" fillId="14" borderId="0" xfId="0" applyFont="1" applyFill="1"/>
    <xf numFmtId="0" fontId="8" fillId="14" borderId="0" xfId="0" applyFont="1" applyFill="1" applyAlignment="1">
      <alignment horizontal="right"/>
    </xf>
    <xf numFmtId="14" fontId="16" fillId="14" borderId="0" xfId="0" applyNumberFormat="1" applyFont="1" applyFill="1" applyAlignment="1">
      <alignment horizontal="right"/>
    </xf>
    <xf numFmtId="14" fontId="0" fillId="1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64" fontId="0" fillId="14" borderId="0" xfId="0" applyNumberFormat="1" applyFill="1"/>
    <xf numFmtId="164" fontId="0" fillId="0" borderId="0" xfId="0" applyNumberFormat="1"/>
    <xf numFmtId="1" fontId="0" fillId="14" borderId="0" xfId="0" applyNumberFormat="1" applyFill="1"/>
    <xf numFmtId="1" fontId="0" fillId="0" borderId="0" xfId="0" applyNumberFormat="1"/>
    <xf numFmtId="14" fontId="0" fillId="13" borderId="0" xfId="0" applyNumberFormat="1" applyFill="1" applyAlignment="1">
      <alignment horizontal="right"/>
    </xf>
    <xf numFmtId="164" fontId="0" fillId="13" borderId="0" xfId="0" applyNumberFormat="1" applyFill="1"/>
    <xf numFmtId="1" fontId="0" fillId="13" borderId="0" xfId="0" applyNumberFormat="1" applyFill="1"/>
    <xf numFmtId="1" fontId="74" fillId="13" borderId="0" xfId="0" applyNumberFormat="1" applyFont="1" applyFill="1"/>
    <xf numFmtId="1" fontId="11" fillId="14" borderId="0" xfId="0" applyNumberFormat="1" applyFont="1" applyFill="1" applyAlignment="1">
      <alignment horizontal="right"/>
    </xf>
    <xf numFmtId="1" fontId="11" fillId="14" borderId="0" xfId="0" applyNumberFormat="1" applyFont="1" applyFill="1" applyAlignment="1">
      <alignment horizontal="left"/>
    </xf>
    <xf numFmtId="0" fontId="15" fillId="2" borderId="0" xfId="11" applyFont="1" applyFill="1" applyAlignment="1">
      <alignment horizontal="left"/>
    </xf>
    <xf numFmtId="0" fontId="0" fillId="13" borderId="0" xfId="0" applyFill="1"/>
    <xf numFmtId="0" fontId="8" fillId="13" borderId="0" xfId="0" applyFont="1" applyFill="1"/>
    <xf numFmtId="1" fontId="8" fillId="13" borderId="0" xfId="0" applyNumberFormat="1" applyFont="1" applyFill="1"/>
    <xf numFmtId="0" fontId="11" fillId="13" borderId="0" xfId="0" applyFont="1" applyFill="1"/>
    <xf numFmtId="0" fontId="8" fillId="13" borderId="0" xfId="0" applyFont="1" applyFill="1" applyAlignment="1">
      <alignment horizontal="right"/>
    </xf>
    <xf numFmtId="0" fontId="8" fillId="0" borderId="0" xfId="0" applyFont="1" applyAlignment="1">
      <alignment wrapText="1"/>
    </xf>
    <xf numFmtId="14" fontId="46" fillId="15" borderId="0" xfId="0" applyNumberFormat="1" applyFont="1" applyFill="1"/>
    <xf numFmtId="164" fontId="18" fillId="15" borderId="0" xfId="0" applyNumberFormat="1" applyFont="1" applyFill="1" applyAlignment="1">
      <alignment horizontal="right"/>
    </xf>
    <xf numFmtId="1" fontId="18" fillId="15" borderId="0" xfId="0" applyNumberFormat="1" applyFont="1" applyFill="1" applyAlignment="1">
      <alignment horizontal="center"/>
    </xf>
    <xf numFmtId="164" fontId="18" fillId="15" borderId="0" xfId="0" applyNumberFormat="1" applyFont="1" applyFill="1" applyAlignment="1">
      <alignment horizontal="center"/>
    </xf>
    <xf numFmtId="1" fontId="54" fillId="15" borderId="0" xfId="0" applyNumberFormat="1" applyFont="1" applyFill="1" applyAlignment="1">
      <alignment vertical="top" wrapText="1"/>
    </xf>
    <xf numFmtId="0" fontId="0" fillId="15" borderId="0" xfId="0" applyFill="1" applyAlignment="1">
      <alignment vertical="top"/>
    </xf>
    <xf numFmtId="0" fontId="0" fillId="15" borderId="0" xfId="0" applyFill="1"/>
    <xf numFmtId="0" fontId="17" fillId="15" borderId="0" xfId="0" applyFont="1" applyFill="1"/>
    <xf numFmtId="0" fontId="18" fillId="15" borderId="0" xfId="0" applyFont="1" applyFill="1"/>
    <xf numFmtId="0" fontId="14" fillId="15" borderId="0" xfId="0" applyFont="1" applyFill="1"/>
    <xf numFmtId="14" fontId="8" fillId="15" borderId="0" xfId="0" applyNumberFormat="1" applyFont="1" applyFill="1" applyAlignment="1">
      <alignment horizontal="right" vertical="center"/>
    </xf>
    <xf numFmtId="14" fontId="18" fillId="15" borderId="0" xfId="0" applyNumberFormat="1" applyFont="1" applyFill="1"/>
    <xf numFmtId="164" fontId="18" fillId="15" borderId="0" xfId="0" applyNumberFormat="1" applyFont="1" applyFill="1" applyAlignment="1" applyProtection="1">
      <alignment horizontal="right"/>
      <protection locked="0"/>
    </xf>
    <xf numFmtId="0" fontId="3" fillId="15" borderId="0" xfId="0" applyFont="1" applyFill="1" applyAlignment="1">
      <alignment horizontal="center"/>
    </xf>
    <xf numFmtId="0" fontId="23" fillId="15" borderId="0" xfId="0" applyFont="1" applyFill="1"/>
    <xf numFmtId="0" fontId="30" fillId="15" borderId="0" xfId="0" applyFont="1" applyFill="1"/>
    <xf numFmtId="14" fontId="75" fillId="13" borderId="0" xfId="0" applyNumberFormat="1" applyFont="1" applyFill="1" applyAlignment="1">
      <alignment horizontal="right"/>
    </xf>
    <xf numFmtId="169" fontId="15" fillId="0" borderId="0" xfId="0" applyNumberFormat="1" applyFont="1"/>
    <xf numFmtId="0" fontId="17" fillId="0" borderId="0" xfId="0" applyFont="1"/>
    <xf numFmtId="164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9" fontId="18" fillId="0" borderId="0" xfId="0" applyNumberFormat="1" applyFont="1"/>
    <xf numFmtId="169" fontId="18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69" fontId="26" fillId="0" borderId="0" xfId="0" applyNumberFormat="1" applyFont="1"/>
    <xf numFmtId="0" fontId="10" fillId="0" borderId="0" xfId="0" applyFont="1"/>
    <xf numFmtId="0" fontId="28" fillId="0" borderId="0" xfId="0" applyFont="1"/>
    <xf numFmtId="164" fontId="26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4" fontId="11" fillId="13" borderId="0" xfId="0" applyNumberFormat="1" applyFont="1" applyFill="1"/>
    <xf numFmtId="1" fontId="8" fillId="14" borderId="0" xfId="0" applyNumberFormat="1" applyFont="1" applyFill="1" applyAlignment="1">
      <alignment horizontal="left"/>
    </xf>
    <xf numFmtId="0" fontId="78" fillId="0" borderId="0" xfId="13" applyFont="1"/>
    <xf numFmtId="0" fontId="77" fillId="0" borderId="0" xfId="13"/>
    <xf numFmtId="0" fontId="80" fillId="0" borderId="0" xfId="13" applyFont="1" applyAlignment="1">
      <alignment vertical="top" wrapText="1"/>
    </xf>
    <xf numFmtId="14" fontId="80" fillId="0" borderId="0" xfId="13" applyNumberFormat="1" applyFont="1" applyAlignment="1">
      <alignment vertical="top"/>
    </xf>
    <xf numFmtId="49" fontId="77" fillId="0" borderId="0" xfId="13" applyNumberFormat="1"/>
    <xf numFmtId="49" fontId="78" fillId="0" borderId="0" xfId="13" applyNumberFormat="1" applyFont="1"/>
    <xf numFmtId="14" fontId="8" fillId="13" borderId="0" xfId="0" applyNumberFormat="1" applyFont="1" applyFill="1" applyAlignment="1">
      <alignment horizontal="right"/>
    </xf>
    <xf numFmtId="14" fontId="0" fillId="13" borderId="0" xfId="0" applyNumberFormat="1" applyFill="1"/>
    <xf numFmtId="14" fontId="8" fillId="13" borderId="0" xfId="0" applyNumberFormat="1" applyFont="1" applyFill="1" applyAlignment="1">
      <alignment horizontal="center"/>
    </xf>
    <xf numFmtId="0" fontId="11" fillId="16" borderId="28" xfId="0" applyFont="1" applyFill="1" applyBorder="1"/>
    <xf numFmtId="0" fontId="8" fillId="16" borderId="18" xfId="0" applyFont="1" applyFill="1" applyBorder="1" applyAlignment="1">
      <alignment horizontal="right"/>
    </xf>
    <xf numFmtId="0" fontId="8" fillId="16" borderId="24" xfId="0" applyFont="1" applyFill="1" applyBorder="1" applyAlignment="1">
      <alignment horizontal="right"/>
    </xf>
    <xf numFmtId="0" fontId="8" fillId="16" borderId="29" xfId="0" applyFont="1" applyFill="1" applyBorder="1"/>
    <xf numFmtId="0" fontId="8" fillId="16" borderId="0" xfId="0" applyFont="1" applyFill="1" applyAlignment="1">
      <alignment horizontal="right"/>
    </xf>
    <xf numFmtId="0" fontId="8" fillId="16" borderId="25" xfId="0" applyFont="1" applyFill="1" applyBorder="1" applyAlignment="1">
      <alignment horizontal="right"/>
    </xf>
    <xf numFmtId="14" fontId="8" fillId="16" borderId="29" xfId="0" applyNumberFormat="1" applyFont="1" applyFill="1" applyBorder="1"/>
    <xf numFmtId="1" fontId="8" fillId="16" borderId="25" xfId="0" applyNumberFormat="1" applyFont="1" applyFill="1" applyBorder="1"/>
    <xf numFmtId="14" fontId="8" fillId="16" borderId="26" xfId="0" applyNumberFormat="1" applyFont="1" applyFill="1" applyBorder="1"/>
    <xf numFmtId="1" fontId="8" fillId="16" borderId="27" xfId="0" applyNumberFormat="1" applyFont="1" applyFill="1" applyBorder="1"/>
    <xf numFmtId="0" fontId="0" fillId="16" borderId="27" xfId="0" applyFill="1" applyBorder="1"/>
    <xf numFmtId="0" fontId="0" fillId="16" borderId="24" xfId="0" applyFill="1" applyBorder="1"/>
    <xf numFmtId="0" fontId="0" fillId="16" borderId="25" xfId="0" applyFill="1" applyBorder="1"/>
    <xf numFmtId="1" fontId="11" fillId="11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53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53" fillId="0" borderId="0" xfId="0" applyNumberFormat="1" applyFont="1" applyAlignment="1">
      <alignment horizontal="left"/>
    </xf>
    <xf numFmtId="1" fontId="82" fillId="13" borderId="0" xfId="0" applyNumberFormat="1" applyFont="1" applyFill="1"/>
    <xf numFmtId="0" fontId="11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14" fontId="11" fillId="13" borderId="0" xfId="0" applyNumberFormat="1" applyFont="1" applyFill="1" applyAlignment="1">
      <alignment vertical="center"/>
    </xf>
    <xf numFmtId="14" fontId="8" fillId="11" borderId="0" xfId="0" applyNumberFormat="1" applyFont="1" applyFill="1" applyAlignment="1">
      <alignment horizontal="right" vertical="center"/>
    </xf>
    <xf numFmtId="1" fontId="11" fillId="11" borderId="0" xfId="0" applyNumberFormat="1" applyFont="1" applyFill="1" applyAlignment="1">
      <alignment horizontal="left" vertical="center"/>
    </xf>
    <xf numFmtId="0" fontId="51" fillId="17" borderId="0" xfId="0" applyFont="1" applyFill="1" applyAlignment="1">
      <alignment horizontal="center"/>
    </xf>
    <xf numFmtId="0" fontId="64" fillId="17" borderId="0" xfId="0" applyFont="1" applyFill="1" applyAlignment="1">
      <alignment horizontal="left"/>
    </xf>
    <xf numFmtId="14" fontId="64" fillId="17" borderId="0" xfId="0" applyNumberFormat="1" applyFont="1" applyFill="1" applyAlignment="1">
      <alignment horizontal="center" vertical="center"/>
    </xf>
    <xf numFmtId="164" fontId="64" fillId="17" borderId="0" xfId="0" applyNumberFormat="1" applyFont="1" applyFill="1" applyAlignment="1">
      <alignment horizontal="center" vertical="center"/>
    </xf>
    <xf numFmtId="0" fontId="64" fillId="17" borderId="0" xfId="0" applyFont="1" applyFill="1" applyAlignment="1">
      <alignment horizontal="center" vertical="center"/>
    </xf>
    <xf numFmtId="1" fontId="64" fillId="17" borderId="0" xfId="0" applyNumberFormat="1" applyFont="1" applyFill="1" applyAlignment="1">
      <alignment horizontal="center" vertical="center"/>
    </xf>
    <xf numFmtId="1" fontId="64" fillId="17" borderId="0" xfId="11" applyNumberFormat="1" applyFont="1" applyFill="1" applyAlignment="1">
      <alignment horizontal="center" vertical="center"/>
    </xf>
    <xf numFmtId="0" fontId="15" fillId="17" borderId="0" xfId="0" applyFont="1" applyFill="1" applyAlignment="1">
      <alignment horizontal="left"/>
    </xf>
    <xf numFmtId="0" fontId="15" fillId="17" borderId="0" xfId="0" applyFont="1" applyFill="1"/>
    <xf numFmtId="0" fontId="51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left"/>
    </xf>
    <xf numFmtId="14" fontId="15" fillId="17" borderId="1" xfId="0" applyNumberFormat="1" applyFont="1" applyFill="1" applyBorder="1" applyAlignment="1">
      <alignment horizontal="center" vertical="center"/>
    </xf>
    <xf numFmtId="164" fontId="15" fillId="17" borderId="1" xfId="0" applyNumberFormat="1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1" fontId="15" fillId="17" borderId="1" xfId="0" applyNumberFormat="1" applyFont="1" applyFill="1" applyBorder="1" applyAlignment="1">
      <alignment horizontal="center" vertical="center"/>
    </xf>
    <xf numFmtId="1" fontId="15" fillId="17" borderId="1" xfId="11" applyNumberFormat="1" applyFont="1" applyFill="1" applyBorder="1" applyAlignment="1">
      <alignment horizontal="center" vertical="center"/>
    </xf>
    <xf numFmtId="0" fontId="15" fillId="17" borderId="1" xfId="11" applyFont="1" applyFill="1" applyBorder="1" applyAlignment="1">
      <alignment horizontal="right"/>
    </xf>
    <xf numFmtId="0" fontId="15" fillId="17" borderId="1" xfId="0" applyFont="1" applyFill="1" applyBorder="1"/>
    <xf numFmtId="14" fontId="84" fillId="15" borderId="0" xfId="0" applyNumberFormat="1" applyFont="1" applyFill="1"/>
    <xf numFmtId="14" fontId="85" fillId="15" borderId="0" xfId="0" applyNumberFormat="1" applyFont="1" applyFill="1"/>
    <xf numFmtId="0" fontId="86" fillId="15" borderId="0" xfId="0" applyFont="1" applyFill="1" applyAlignment="1">
      <alignment horizontal="left"/>
    </xf>
    <xf numFmtId="164" fontId="0" fillId="14" borderId="0" xfId="0" applyNumberFormat="1" applyFill="1" applyAlignment="1">
      <alignment horizontal="right"/>
    </xf>
    <xf numFmtId="1" fontId="0" fillId="14" borderId="0" xfId="0" applyNumberFormat="1" applyFill="1" applyAlignment="1">
      <alignment horizontal="right"/>
    </xf>
    <xf numFmtId="164" fontId="11" fillId="13" borderId="0" xfId="0" applyNumberFormat="1" applyFon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0" fontId="88" fillId="9" borderId="0" xfId="0" applyFont="1" applyFill="1"/>
    <xf numFmtId="0" fontId="89" fillId="9" borderId="0" xfId="0" applyFont="1" applyFill="1" applyAlignment="1">
      <alignment horizontal="center"/>
    </xf>
    <xf numFmtId="0" fontId="90" fillId="9" borderId="0" xfId="0" applyFont="1" applyFill="1" applyAlignment="1">
      <alignment horizontal="center"/>
    </xf>
    <xf numFmtId="0" fontId="91" fillId="9" borderId="0" xfId="0" applyFont="1" applyFill="1"/>
    <xf numFmtId="0" fontId="92" fillId="9" borderId="0" xfId="0" applyFont="1" applyFill="1" applyAlignment="1">
      <alignment horizontal="center"/>
    </xf>
    <xf numFmtId="0" fontId="93" fillId="9" borderId="0" xfId="0" applyFont="1" applyFill="1" applyAlignment="1">
      <alignment horizontal="center"/>
    </xf>
    <xf numFmtId="0" fontId="93" fillId="9" borderId="0" xfId="0" applyFont="1" applyFill="1" applyAlignment="1">
      <alignment vertical="center"/>
    </xf>
    <xf numFmtId="0" fontId="94" fillId="9" borderId="0" xfId="0" applyFont="1" applyFill="1" applyAlignment="1">
      <alignment horizontal="left"/>
    </xf>
    <xf numFmtId="0" fontId="95" fillId="9" borderId="0" xfId="0" applyFont="1" applyFill="1"/>
    <xf numFmtId="0" fontId="88" fillId="9" borderId="0" xfId="0" applyFont="1" applyFill="1" applyAlignment="1">
      <alignment horizontal="center"/>
    </xf>
    <xf numFmtId="0" fontId="97" fillId="9" borderId="0" xfId="2" applyFont="1" applyFill="1" applyBorder="1" applyAlignment="1" applyProtection="1">
      <alignment horizontal="center" vertical="center" wrapText="1"/>
    </xf>
    <xf numFmtId="0" fontId="96" fillId="9" borderId="0" xfId="0" applyFont="1" applyFill="1" applyAlignment="1">
      <alignment horizontal="center"/>
    </xf>
    <xf numFmtId="0" fontId="92" fillId="9" borderId="0" xfId="0" applyFont="1" applyFill="1"/>
    <xf numFmtId="0" fontId="98" fillId="9" borderId="0" xfId="0" applyFont="1" applyFill="1" applyAlignment="1">
      <alignment horizontal="left"/>
    </xf>
    <xf numFmtId="0" fontId="99" fillId="9" borderId="0" xfId="0" applyFont="1" applyFill="1" applyAlignment="1">
      <alignment horizontal="center"/>
    </xf>
    <xf numFmtId="0" fontId="100" fillId="9" borderId="0" xfId="2" applyFont="1" applyFill="1" applyBorder="1" applyAlignment="1" applyProtection="1">
      <alignment horizontal="center" vertical="center"/>
    </xf>
    <xf numFmtId="0" fontId="101" fillId="9" borderId="0" xfId="2" applyFont="1" applyFill="1" applyBorder="1" applyAlignment="1" applyProtection="1">
      <alignment horizontal="center" vertical="center"/>
    </xf>
    <xf numFmtId="0" fontId="96" fillId="9" borderId="0" xfId="0" applyFont="1" applyFill="1" applyAlignment="1">
      <alignment horizontal="left"/>
    </xf>
    <xf numFmtId="164" fontId="8" fillId="14" borderId="0" xfId="0" applyNumberFormat="1" applyFont="1" applyFill="1"/>
    <xf numFmtId="0" fontId="8" fillId="13" borderId="0" xfId="0" applyFont="1" applyFill="1" applyAlignment="1">
      <alignment vertical="center"/>
    </xf>
    <xf numFmtId="14" fontId="0" fillId="13" borderId="0" xfId="0" applyNumberFormat="1" applyFill="1" applyAlignment="1">
      <alignment vertical="center"/>
    </xf>
    <xf numFmtId="14" fontId="8" fillId="13" borderId="0" xfId="0" applyNumberFormat="1" applyFont="1" applyFill="1" applyAlignment="1">
      <alignment horizontal="center" vertical="center"/>
    </xf>
    <xf numFmtId="0" fontId="10" fillId="18" borderId="12" xfId="10" applyFont="1" applyFill="1" applyBorder="1" applyAlignment="1">
      <alignment horizontal="center"/>
    </xf>
    <xf numFmtId="0" fontId="3" fillId="18" borderId="13" xfId="10" applyFont="1" applyFill="1" applyBorder="1" applyAlignment="1">
      <alignment horizontal="center"/>
    </xf>
    <xf numFmtId="0" fontId="3" fillId="18" borderId="14" xfId="10" applyFont="1" applyFill="1" applyBorder="1" applyAlignment="1">
      <alignment horizontal="center"/>
    </xf>
    <xf numFmtId="0" fontId="3" fillId="18" borderId="15" xfId="10" applyFont="1" applyFill="1" applyBorder="1" applyAlignment="1">
      <alignment horizontal="center"/>
    </xf>
    <xf numFmtId="0" fontId="3" fillId="18" borderId="14" xfId="10" quotePrefix="1" applyFont="1" applyFill="1" applyBorder="1" applyAlignment="1">
      <alignment horizontal="center"/>
    </xf>
    <xf numFmtId="0" fontId="10" fillId="19" borderId="12" xfId="10" applyFont="1" applyFill="1" applyBorder="1" applyAlignment="1">
      <alignment horizontal="center"/>
    </xf>
    <xf numFmtId="0" fontId="3" fillId="19" borderId="13" xfId="10" applyFont="1" applyFill="1" applyBorder="1" applyAlignment="1">
      <alignment horizontal="center"/>
    </xf>
    <xf numFmtId="0" fontId="3" fillId="19" borderId="14" xfId="10" applyFont="1" applyFill="1" applyBorder="1" applyAlignment="1">
      <alignment horizontal="center"/>
    </xf>
    <xf numFmtId="0" fontId="3" fillId="19" borderId="15" xfId="10" applyFont="1" applyFill="1" applyBorder="1" applyAlignment="1">
      <alignment horizontal="center"/>
    </xf>
    <xf numFmtId="16" fontId="3" fillId="19" borderId="14" xfId="10" quotePrefix="1" applyNumberFormat="1" applyFont="1" applyFill="1" applyBorder="1" applyAlignment="1">
      <alignment horizontal="center"/>
    </xf>
    <xf numFmtId="0" fontId="96" fillId="9" borderId="31" xfId="2" applyFont="1" applyFill="1" applyBorder="1" applyAlignment="1" applyProtection="1">
      <alignment horizontal="center" vertical="center" wrapText="1"/>
    </xf>
    <xf numFmtId="0" fontId="98" fillId="9" borderId="31" xfId="2" applyFont="1" applyFill="1" applyBorder="1" applyAlignment="1" applyProtection="1">
      <alignment horizontal="center" vertical="center" wrapText="1"/>
    </xf>
    <xf numFmtId="0" fontId="0" fillId="0" borderId="29" xfId="0" applyBorder="1"/>
    <xf numFmtId="0" fontId="8" fillId="0" borderId="29" xfId="0" applyFont="1" applyBorder="1"/>
    <xf numFmtId="1" fontId="11" fillId="13" borderId="0" xfId="0" applyNumberFormat="1" applyFont="1" applyFill="1"/>
    <xf numFmtId="0" fontId="20" fillId="20" borderId="0" xfId="0" applyFont="1" applyFill="1" applyAlignment="1">
      <alignment horizontal="center"/>
    </xf>
    <xf numFmtId="0" fontId="31" fillId="20" borderId="0" xfId="0" applyFont="1" applyFill="1" applyAlignment="1">
      <alignment horizontal="left" vertical="center"/>
    </xf>
    <xf numFmtId="169" fontId="45" fillId="20" borderId="0" xfId="0" applyNumberFormat="1" applyFont="1" applyFill="1" applyAlignment="1">
      <alignment horizontal="center" vertical="center"/>
    </xf>
    <xf numFmtId="164" fontId="18" fillId="20" borderId="0" xfId="0" applyNumberFormat="1" applyFont="1" applyFill="1" applyAlignment="1">
      <alignment horizontal="center" vertical="center"/>
    </xf>
    <xf numFmtId="14" fontId="45" fillId="20" borderId="0" xfId="0" applyNumberFormat="1" applyFont="1" applyFill="1" applyAlignment="1">
      <alignment horizontal="center" vertical="center"/>
    </xf>
    <xf numFmtId="1" fontId="18" fillId="20" borderId="0" xfId="0" applyNumberFormat="1" applyFont="1" applyFill="1" applyAlignment="1">
      <alignment horizontal="center" vertical="center"/>
    </xf>
    <xf numFmtId="49" fontId="3" fillId="20" borderId="0" xfId="0" applyNumberFormat="1" applyFont="1" applyFill="1" applyAlignment="1">
      <alignment horizontal="left" vertical="center"/>
    </xf>
    <xf numFmtId="0" fontId="14" fillId="20" borderId="0" xfId="0" applyFont="1" applyFill="1"/>
    <xf numFmtId="0" fontId="12" fillId="20" borderId="0" xfId="0" applyFont="1" applyFill="1" applyAlignment="1">
      <alignment horizontal="center"/>
    </xf>
    <xf numFmtId="0" fontId="103" fillId="20" borderId="0" xfId="0" applyFont="1" applyFill="1" applyAlignment="1">
      <alignment horizontal="left" wrapText="1"/>
    </xf>
    <xf numFmtId="169" fontId="14" fillId="20" borderId="0" xfId="0" applyNumberFormat="1" applyFont="1" applyFill="1"/>
    <xf numFmtId="164" fontId="14" fillId="20" borderId="0" xfId="0" applyNumberFormat="1" applyFont="1" applyFill="1" applyAlignment="1">
      <alignment horizontal="right"/>
    </xf>
    <xf numFmtId="1" fontId="14" fillId="20" borderId="0" xfId="0" applyNumberFormat="1" applyFont="1" applyFill="1" applyAlignment="1">
      <alignment horizontal="center"/>
    </xf>
    <xf numFmtId="164" fontId="14" fillId="20" borderId="0" xfId="0" applyNumberFormat="1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1" fontId="15" fillId="20" borderId="0" xfId="0" applyNumberFormat="1" applyFont="1" applyFill="1" applyAlignment="1">
      <alignment horizontal="left" vertical="center"/>
    </xf>
    <xf numFmtId="0" fontId="13" fillId="20" borderId="0" xfId="0" applyFont="1" applyFill="1" applyAlignment="1">
      <alignment horizontal="center"/>
    </xf>
    <xf numFmtId="0" fontId="0" fillId="20" borderId="0" xfId="0" applyFill="1"/>
    <xf numFmtId="0" fontId="11" fillId="20" borderId="0" xfId="0" applyFont="1" applyFill="1" applyAlignment="1">
      <alignment vertical="center"/>
    </xf>
    <xf numFmtId="164" fontId="0" fillId="20" borderId="0" xfId="0" applyNumberFormat="1" applyFill="1" applyAlignment="1">
      <alignment horizontal="center"/>
    </xf>
    <xf numFmtId="0" fontId="0" fillId="20" borderId="0" xfId="0" applyFill="1" applyAlignment="1">
      <alignment horizontal="right"/>
    </xf>
    <xf numFmtId="49" fontId="0" fillId="20" borderId="0" xfId="0" applyNumberFormat="1" applyFill="1"/>
    <xf numFmtId="0" fontId="16" fillId="20" borderId="0" xfId="0" applyFont="1" applyFill="1"/>
    <xf numFmtId="14" fontId="8" fillId="20" borderId="0" xfId="0" applyNumberFormat="1" applyFont="1" applyFill="1"/>
    <xf numFmtId="14" fontId="0" fillId="20" borderId="0" xfId="0" applyNumberFormat="1" applyFill="1"/>
    <xf numFmtId="0" fontId="8" fillId="20" borderId="0" xfId="0" applyFont="1" applyFill="1"/>
    <xf numFmtId="169" fontId="18" fillId="20" borderId="0" xfId="0" applyNumberFormat="1" applyFont="1" applyFill="1" applyAlignment="1">
      <alignment horizontal="right"/>
    </xf>
    <xf numFmtId="169" fontId="73" fillId="20" borderId="0" xfId="0" applyNumberFormat="1" applyFont="1" applyFill="1" applyAlignment="1">
      <alignment horizontal="right"/>
    </xf>
    <xf numFmtId="169" fontId="61" fillId="20" borderId="0" xfId="0" applyNumberFormat="1" applyFont="1" applyFill="1" applyAlignment="1">
      <alignment horizontal="right"/>
    </xf>
    <xf numFmtId="164" fontId="73" fillId="20" borderId="0" xfId="0" applyNumberFormat="1" applyFont="1" applyFill="1" applyAlignment="1">
      <alignment horizontal="center" vertical="center"/>
    </xf>
    <xf numFmtId="0" fontId="15" fillId="20" borderId="0" xfId="0" applyFont="1" applyFill="1"/>
    <xf numFmtId="0" fontId="52" fillId="20" borderId="0" xfId="0" applyFont="1" applyFill="1"/>
    <xf numFmtId="169" fontId="45" fillId="20" borderId="0" xfId="0" applyNumberFormat="1" applyFont="1" applyFill="1" applyAlignment="1" applyProtection="1">
      <alignment horizontal="center" vertical="center"/>
      <protection locked="0"/>
    </xf>
    <xf numFmtId="164" fontId="18" fillId="20" borderId="0" xfId="0" applyNumberFormat="1" applyFont="1" applyFill="1" applyAlignment="1">
      <alignment horizontal="right"/>
    </xf>
    <xf numFmtId="1" fontId="18" fillId="20" borderId="0" xfId="0" applyNumberFormat="1" applyFont="1" applyFill="1" applyAlignment="1">
      <alignment horizontal="center"/>
    </xf>
    <xf numFmtId="164" fontId="18" fillId="20" borderId="0" xfId="0" applyNumberFormat="1" applyFont="1" applyFill="1" applyAlignment="1">
      <alignment horizontal="center"/>
    </xf>
    <xf numFmtId="164" fontId="17" fillId="20" borderId="0" xfId="0" applyNumberFormat="1" applyFont="1" applyFill="1" applyAlignment="1">
      <alignment horizontal="right"/>
    </xf>
    <xf numFmtId="0" fontId="3" fillId="20" borderId="0" xfId="0" applyFont="1" applyFill="1" applyAlignment="1">
      <alignment horizontal="left" vertical="center"/>
    </xf>
    <xf numFmtId="169" fontId="72" fillId="20" borderId="0" xfId="0" applyNumberFormat="1" applyFont="1" applyFill="1" applyAlignment="1">
      <alignment horizontal="center" vertical="center"/>
    </xf>
    <xf numFmtId="0" fontId="3" fillId="20" borderId="0" xfId="0" applyFont="1" applyFill="1" applyProtection="1">
      <protection locked="0"/>
    </xf>
    <xf numFmtId="0" fontId="15" fillId="20" borderId="0" xfId="0" applyFont="1" applyFill="1" applyProtection="1">
      <protection locked="0"/>
    </xf>
    <xf numFmtId="0" fontId="9" fillId="20" borderId="0" xfId="0" applyFont="1" applyFill="1" applyAlignment="1">
      <alignment horizontal="center"/>
    </xf>
    <xf numFmtId="0" fontId="51" fillId="20" borderId="0" xfId="0" applyFont="1" applyFill="1" applyAlignment="1">
      <alignment horizontal="center"/>
    </xf>
    <xf numFmtId="0" fontId="51" fillId="20" borderId="0" xfId="0" applyFont="1" applyFill="1"/>
    <xf numFmtId="1" fontId="51" fillId="20" borderId="0" xfId="0" applyNumberFormat="1" applyFont="1" applyFill="1"/>
    <xf numFmtId="2" fontId="54" fillId="20" borderId="0" xfId="0" applyNumberFormat="1" applyFont="1" applyFill="1" applyProtection="1">
      <protection locked="0"/>
    </xf>
    <xf numFmtId="0" fontId="24" fillId="20" borderId="0" xfId="0" applyFont="1" applyFill="1" applyProtection="1">
      <protection locked="0"/>
    </xf>
    <xf numFmtId="0" fontId="3" fillId="20" borderId="0" xfId="0" applyFont="1" applyFill="1"/>
    <xf numFmtId="164" fontId="54" fillId="20" borderId="0" xfId="0" applyNumberFormat="1" applyFont="1" applyFill="1" applyProtection="1">
      <protection locked="0"/>
    </xf>
    <xf numFmtId="2" fontId="24" fillId="20" borderId="0" xfId="0" applyNumberFormat="1" applyFont="1" applyFill="1" applyAlignment="1" applyProtection="1">
      <alignment horizontal="center"/>
      <protection locked="0"/>
    </xf>
    <xf numFmtId="0" fontId="15" fillId="20" borderId="0" xfId="0" applyFont="1" applyFill="1" applyAlignment="1">
      <alignment horizontal="right"/>
    </xf>
    <xf numFmtId="0" fontId="15" fillId="20" borderId="0" xfId="0" applyFont="1" applyFill="1" applyAlignment="1" applyProtection="1">
      <alignment horizontal="right"/>
      <protection hidden="1"/>
    </xf>
    <xf numFmtId="0" fontId="15" fillId="20" borderId="0" xfId="0" applyFont="1" applyFill="1" applyAlignment="1">
      <alignment horizontal="left"/>
    </xf>
    <xf numFmtId="0" fontId="54" fillId="20" borderId="0" xfId="0" applyFont="1" applyFill="1" applyProtection="1">
      <protection locked="0"/>
    </xf>
    <xf numFmtId="0" fontId="24" fillId="20" borderId="0" xfId="0" applyFont="1" applyFill="1" applyAlignment="1" applyProtection="1">
      <alignment horizontal="center"/>
      <protection locked="0"/>
    </xf>
    <xf numFmtId="164" fontId="64" fillId="20" borderId="0" xfId="8" applyNumberFormat="1" applyFont="1" applyFill="1" applyAlignment="1">
      <alignment horizontal="right"/>
    </xf>
    <xf numFmtId="0" fontId="42" fillId="20" borderId="0" xfId="0" applyFont="1" applyFill="1"/>
    <xf numFmtId="0" fontId="104" fillId="20" borderId="0" xfId="0" applyFont="1" applyFill="1"/>
    <xf numFmtId="0" fontId="105" fillId="13" borderId="30" xfId="2" applyFont="1" applyFill="1" applyBorder="1" applyAlignment="1" applyProtection="1">
      <alignment horizontal="center" vertical="center" wrapText="1"/>
    </xf>
    <xf numFmtId="14" fontId="14" fillId="20" borderId="0" xfId="0" applyNumberFormat="1" applyFont="1" applyFill="1"/>
    <xf numFmtId="0" fontId="8" fillId="20" borderId="0" xfId="0" applyFont="1" applyFill="1" applyAlignment="1">
      <alignment horizontal="left"/>
    </xf>
    <xf numFmtId="0" fontId="39" fillId="20" borderId="0" xfId="0" applyFont="1" applyFill="1" applyAlignment="1">
      <alignment horizontal="left"/>
    </xf>
    <xf numFmtId="0" fontId="39" fillId="20" borderId="0" xfId="0" applyFont="1" applyFill="1"/>
    <xf numFmtId="0" fontId="105" fillId="0" borderId="0" xfId="0" applyFont="1"/>
    <xf numFmtId="0" fontId="8" fillId="20" borderId="21" xfId="0" applyFont="1" applyFill="1" applyBorder="1"/>
    <xf numFmtId="167" fontId="38" fillId="20" borderId="21" xfId="2" applyNumberFormat="1" applyFont="1" applyFill="1" applyBorder="1" applyAlignment="1" applyProtection="1"/>
    <xf numFmtId="0" fontId="8" fillId="20" borderId="22" xfId="0" applyFont="1" applyFill="1" applyBorder="1"/>
    <xf numFmtId="0" fontId="106" fillId="20" borderId="20" xfId="0" applyFont="1" applyFill="1" applyBorder="1"/>
    <xf numFmtId="0" fontId="4" fillId="20" borderId="0" xfId="0" applyFont="1" applyFill="1" applyAlignment="1">
      <alignment horizontal="left"/>
    </xf>
    <xf numFmtId="0" fontId="107" fillId="21" borderId="23" xfId="2" applyFont="1" applyFill="1" applyBorder="1" applyAlignment="1" applyProtection="1">
      <alignment horizontal="center" vertical="center" wrapText="1"/>
    </xf>
    <xf numFmtId="164" fontId="108" fillId="0" borderId="0" xfId="0" applyNumberFormat="1" applyFont="1" applyAlignment="1">
      <alignment horizontal="left"/>
    </xf>
    <xf numFmtId="0" fontId="109" fillId="0" borderId="0" xfId="0" applyFont="1" applyAlignment="1">
      <alignment horizontal="left"/>
    </xf>
    <xf numFmtId="0" fontId="108" fillId="0" borderId="0" xfId="0" applyFont="1" applyAlignment="1">
      <alignment horizontal="left" vertical="center"/>
    </xf>
    <xf numFmtId="0" fontId="110" fillId="0" borderId="0" xfId="2" applyFont="1" applyFill="1" applyAlignment="1" applyProtection="1"/>
    <xf numFmtId="0" fontId="109" fillId="0" borderId="0" xfId="0" applyFont="1"/>
    <xf numFmtId="167" fontId="110" fillId="20" borderId="21" xfId="2" applyNumberFormat="1" applyFont="1" applyFill="1" applyBorder="1" applyAlignment="1" applyProtection="1"/>
    <xf numFmtId="0" fontId="8" fillId="20" borderId="0" xfId="10" applyFont="1" applyFill="1"/>
    <xf numFmtId="0" fontId="17" fillId="22" borderId="0" xfId="0" applyFont="1" applyFill="1" applyAlignment="1">
      <alignment horizontal="left"/>
    </xf>
    <xf numFmtId="0" fontId="18" fillId="22" borderId="0" xfId="0" applyFont="1" applyFill="1"/>
    <xf numFmtId="0" fontId="14" fillId="22" borderId="0" xfId="0" applyFont="1" applyFill="1"/>
    <xf numFmtId="0" fontId="15" fillId="22" borderId="0" xfId="0" applyFont="1" applyFill="1"/>
    <xf numFmtId="0" fontId="17" fillId="22" borderId="0" xfId="0" applyFont="1" applyFill="1" applyProtection="1">
      <protection locked="0"/>
    </xf>
    <xf numFmtId="0" fontId="18" fillId="22" borderId="0" xfId="0" applyFont="1" applyFill="1" applyProtection="1">
      <protection locked="0"/>
    </xf>
    <xf numFmtId="0" fontId="14" fillId="22" borderId="0" xfId="0" applyFont="1" applyFill="1" applyProtection="1">
      <protection locked="0"/>
    </xf>
    <xf numFmtId="0" fontId="17" fillId="22" borderId="0" xfId="0" applyFont="1" applyFill="1" applyAlignment="1" applyProtection="1">
      <alignment horizontal="left"/>
      <protection locked="0"/>
    </xf>
    <xf numFmtId="1" fontId="51" fillId="22" borderId="0" xfId="0" applyNumberFormat="1" applyFont="1" applyFill="1"/>
    <xf numFmtId="0" fontId="52" fillId="22" borderId="0" xfId="0" applyFont="1" applyFill="1"/>
    <xf numFmtId="0" fontId="25" fillId="22" borderId="0" xfId="0" applyFont="1" applyFill="1" applyProtection="1">
      <protection locked="0"/>
    </xf>
    <xf numFmtId="0" fontId="0" fillId="22" borderId="0" xfId="0" applyFill="1" applyProtection="1">
      <protection locked="0"/>
    </xf>
    <xf numFmtId="0" fontId="26" fillId="22" borderId="0" xfId="0" applyFont="1" applyFill="1" applyProtection="1">
      <protection locked="0"/>
    </xf>
    <xf numFmtId="0" fontId="29" fillId="22" borderId="0" xfId="0" applyFont="1" applyFill="1" applyProtection="1">
      <protection locked="0"/>
    </xf>
    <xf numFmtId="0" fontId="27" fillId="22" borderId="0" xfId="0" applyFont="1" applyFill="1" applyProtection="1">
      <protection locked="0"/>
    </xf>
    <xf numFmtId="0" fontId="20" fillId="22" borderId="0" xfId="0" applyFont="1" applyFill="1" applyAlignment="1">
      <alignment horizontal="center"/>
    </xf>
    <xf numFmtId="0" fontId="31" fillId="22" borderId="0" xfId="0" applyFont="1" applyFill="1" applyAlignment="1">
      <alignment horizontal="left" vertical="center"/>
    </xf>
    <xf numFmtId="14" fontId="72" fillId="22" borderId="0" xfId="0" applyNumberFormat="1" applyFont="1" applyFill="1" applyAlignment="1" applyProtection="1">
      <alignment horizontal="center" vertical="center"/>
      <protection locked="0"/>
    </xf>
    <xf numFmtId="164" fontId="18" fillId="22" borderId="0" xfId="0" applyNumberFormat="1" applyFont="1" applyFill="1" applyAlignment="1" applyProtection="1">
      <alignment horizontal="center" vertical="center"/>
      <protection locked="0"/>
    </xf>
    <xf numFmtId="1" fontId="18" fillId="22" borderId="0" xfId="0" applyNumberFormat="1" applyFont="1" applyFill="1" applyAlignment="1" applyProtection="1">
      <alignment horizontal="center" vertical="center"/>
      <protection locked="0"/>
    </xf>
    <xf numFmtId="0" fontId="3" fillId="22" borderId="0" xfId="0" applyFont="1" applyFill="1" applyAlignment="1" applyProtection="1">
      <alignment horizontal="left" vertical="center"/>
      <protection locked="0"/>
    </xf>
    <xf numFmtId="14" fontId="45" fillId="22" borderId="0" xfId="0" applyNumberFormat="1" applyFont="1" applyFill="1" applyAlignment="1" applyProtection="1">
      <alignment horizontal="center" vertical="center"/>
      <protection locked="0"/>
    </xf>
    <xf numFmtId="14" fontId="18" fillId="22" borderId="0" xfId="0" applyNumberFormat="1" applyFont="1" applyFill="1" applyAlignment="1" applyProtection="1">
      <alignment horizontal="right"/>
      <protection locked="0"/>
    </xf>
    <xf numFmtId="14" fontId="73" fillId="22" borderId="0" xfId="0" applyNumberFormat="1" applyFont="1" applyFill="1" applyAlignment="1" applyProtection="1">
      <alignment horizontal="right"/>
      <protection locked="0"/>
    </xf>
    <xf numFmtId="164" fontId="61" fillId="22" borderId="0" xfId="0" applyNumberFormat="1" applyFont="1" applyFill="1" applyAlignment="1" applyProtection="1">
      <alignment horizontal="right"/>
      <protection locked="0"/>
    </xf>
    <xf numFmtId="164" fontId="73" fillId="22" borderId="0" xfId="0" applyNumberFormat="1" applyFont="1" applyFill="1" applyAlignment="1" applyProtection="1">
      <alignment horizontal="center" vertical="center"/>
      <protection locked="0"/>
    </xf>
    <xf numFmtId="0" fontId="28" fillId="22" borderId="0" xfId="0" applyFont="1" applyFill="1"/>
    <xf numFmtId="0" fontId="0" fillId="22" borderId="0" xfId="0" applyFill="1"/>
    <xf numFmtId="14" fontId="26" fillId="22" borderId="0" xfId="0" applyNumberFormat="1" applyFont="1" applyFill="1" applyProtection="1">
      <protection locked="0"/>
    </xf>
    <xf numFmtId="164" fontId="26" fillId="22" borderId="0" xfId="0" applyNumberFormat="1" applyFont="1" applyFill="1" applyAlignment="1" applyProtection="1">
      <alignment horizontal="center" vertical="center"/>
      <protection locked="0"/>
    </xf>
    <xf numFmtId="1" fontId="26" fillId="22" borderId="0" xfId="0" applyNumberFormat="1" applyFont="1" applyFill="1" applyAlignment="1" applyProtection="1">
      <alignment horizontal="center" vertical="center"/>
      <protection locked="0"/>
    </xf>
    <xf numFmtId="0" fontId="10" fillId="22" borderId="0" xfId="0" applyFont="1" applyFill="1"/>
    <xf numFmtId="0" fontId="53" fillId="22" borderId="0" xfId="0" applyFont="1" applyFill="1" applyAlignment="1" applyProtection="1">
      <alignment horizontal="left" vertical="center"/>
      <protection locked="0"/>
    </xf>
    <xf numFmtId="0" fontId="53" fillId="22" borderId="0" xfId="0" applyFont="1" applyFill="1" applyAlignment="1" applyProtection="1">
      <alignment horizontal="center"/>
      <protection locked="0"/>
    </xf>
    <xf numFmtId="164" fontId="26" fillId="22" borderId="0" xfId="0" applyNumberFormat="1" applyFont="1" applyFill="1" applyAlignment="1" applyProtection="1">
      <alignment horizontal="right"/>
      <protection locked="0"/>
    </xf>
    <xf numFmtId="1" fontId="26" fillId="22" borderId="0" xfId="0" applyNumberFormat="1" applyFont="1" applyFill="1" applyAlignment="1" applyProtection="1">
      <alignment horizontal="center"/>
      <protection locked="0"/>
    </xf>
    <xf numFmtId="164" fontId="26" fillId="22" borderId="0" xfId="0" applyNumberFormat="1" applyFont="1" applyFill="1" applyAlignment="1" applyProtection="1">
      <alignment horizontal="center"/>
      <protection locked="0"/>
    </xf>
    <xf numFmtId="1" fontId="18" fillId="22" borderId="0" xfId="0" applyNumberFormat="1" applyFont="1" applyFill="1" applyAlignment="1" applyProtection="1">
      <alignment horizontal="center"/>
      <protection locked="0"/>
    </xf>
    <xf numFmtId="14" fontId="27" fillId="22" borderId="0" xfId="0" applyNumberFormat="1" applyFont="1" applyFill="1" applyProtection="1">
      <protection locked="0"/>
    </xf>
    <xf numFmtId="164" fontId="27" fillId="22" borderId="0" xfId="0" applyNumberFormat="1" applyFont="1" applyFill="1" applyAlignment="1" applyProtection="1">
      <alignment horizontal="right"/>
      <protection locked="0"/>
    </xf>
    <xf numFmtId="1" fontId="27" fillId="22" borderId="0" xfId="0" applyNumberFormat="1" applyFont="1" applyFill="1" applyAlignment="1" applyProtection="1">
      <alignment horizontal="center"/>
      <protection locked="0"/>
    </xf>
    <xf numFmtId="164" fontId="27" fillId="22" borderId="0" xfId="0" applyNumberFormat="1" applyFont="1" applyFill="1" applyAlignment="1" applyProtection="1">
      <alignment horizontal="center"/>
      <protection locked="0"/>
    </xf>
    <xf numFmtId="1" fontId="14" fillId="22" borderId="0" xfId="0" applyNumberFormat="1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1" fontId="47" fillId="22" borderId="0" xfId="0" applyNumberFormat="1" applyFont="1" applyFill="1" applyAlignment="1">
      <alignment horizontal="center"/>
    </xf>
    <xf numFmtId="1" fontId="48" fillId="22" borderId="0" xfId="0" applyNumberFormat="1" applyFont="1" applyFill="1" applyAlignment="1">
      <alignment horizontal="center"/>
    </xf>
    <xf numFmtId="14" fontId="14" fillId="22" borderId="0" xfId="0" applyNumberFormat="1" applyFont="1" applyFill="1"/>
    <xf numFmtId="164" fontId="14" fillId="22" borderId="0" xfId="0" applyNumberFormat="1" applyFont="1" applyFill="1" applyAlignment="1" applyProtection="1">
      <alignment horizontal="right"/>
      <protection locked="0"/>
    </xf>
    <xf numFmtId="164" fontId="14" fillId="22" borderId="0" xfId="0" applyNumberFormat="1" applyFont="1" applyFill="1" applyAlignment="1" applyProtection="1">
      <alignment horizontal="center"/>
      <protection locked="0"/>
    </xf>
    <xf numFmtId="1" fontId="14" fillId="22" borderId="0" xfId="0" applyNumberFormat="1" applyFont="1" applyFill="1" applyAlignment="1" applyProtection="1">
      <alignment horizontal="center"/>
      <protection locked="0"/>
    </xf>
    <xf numFmtId="164" fontId="18" fillId="22" borderId="0" xfId="0" applyNumberFormat="1" applyFont="1" applyFill="1" applyAlignment="1">
      <alignment horizontal="right"/>
    </xf>
    <xf numFmtId="1" fontId="18" fillId="22" borderId="0" xfId="0" applyNumberFormat="1" applyFont="1" applyFill="1" applyAlignment="1">
      <alignment horizontal="center"/>
    </xf>
    <xf numFmtId="164" fontId="18" fillId="22" borderId="0" xfId="0" applyNumberFormat="1" applyFont="1" applyFill="1" applyAlignment="1">
      <alignment horizontal="center"/>
    </xf>
    <xf numFmtId="164" fontId="17" fillId="22" borderId="0" xfId="0" applyNumberFormat="1" applyFont="1" applyFill="1" applyAlignment="1">
      <alignment horizontal="right"/>
    </xf>
    <xf numFmtId="0" fontId="3" fillId="22" borderId="0" xfId="0" applyFont="1" applyFill="1" applyAlignment="1">
      <alignment horizontal="left" vertical="center"/>
    </xf>
    <xf numFmtId="0" fontId="109" fillId="9" borderId="0" xfId="0" applyFont="1" applyFill="1"/>
    <xf numFmtId="14" fontId="104" fillId="14" borderId="0" xfId="0" applyNumberFormat="1" applyFont="1" applyFill="1" applyAlignment="1">
      <alignment horizontal="left"/>
    </xf>
    <xf numFmtId="14" fontId="114" fillId="14" borderId="0" xfId="0" applyNumberFormat="1" applyFont="1" applyFill="1" applyAlignment="1">
      <alignment horizontal="left"/>
    </xf>
    <xf numFmtId="0" fontId="115" fillId="20" borderId="0" xfId="0" applyFont="1" applyFill="1"/>
    <xf numFmtId="0" fontId="116" fillId="20" borderId="0" xfId="0" applyFont="1" applyFill="1"/>
    <xf numFmtId="0" fontId="117" fillId="20" borderId="0" xfId="0" applyFont="1" applyFill="1"/>
    <xf numFmtId="0" fontId="118" fillId="0" borderId="0" xfId="0" applyFont="1"/>
    <xf numFmtId="0" fontId="115" fillId="0" borderId="0" xfId="0" applyFont="1"/>
    <xf numFmtId="0" fontId="115" fillId="0" borderId="0" xfId="0" applyFont="1" applyAlignment="1" applyProtection="1">
      <alignment horizontal="right"/>
      <protection locked="0"/>
    </xf>
    <xf numFmtId="0" fontId="115" fillId="0" borderId="0" xfId="0" applyFont="1" applyProtection="1">
      <protection locked="0"/>
    </xf>
    <xf numFmtId="0" fontId="119" fillId="0" borderId="0" xfId="0" applyFont="1" applyProtection="1">
      <protection locked="0"/>
    </xf>
    <xf numFmtId="17" fontId="119" fillId="0" borderId="0" xfId="0" applyNumberFormat="1" applyFont="1" applyProtection="1">
      <protection locked="0"/>
    </xf>
    <xf numFmtId="0" fontId="120" fillId="0" borderId="0" xfId="0" applyFont="1" applyProtection="1">
      <protection locked="0"/>
    </xf>
    <xf numFmtId="0" fontId="121" fillId="0" borderId="0" xfId="0" applyFont="1" applyAlignment="1" applyProtection="1">
      <alignment vertical="top" wrapText="1"/>
      <protection locked="0"/>
    </xf>
    <xf numFmtId="0" fontId="122" fillId="0" borderId="0" xfId="0" applyFont="1" applyProtection="1">
      <protection locked="0"/>
    </xf>
    <xf numFmtId="17" fontId="122" fillId="0" borderId="0" xfId="0" applyNumberFormat="1" applyFont="1" applyProtection="1">
      <protection locked="0"/>
    </xf>
    <xf numFmtId="0" fontId="123" fillId="0" borderId="0" xfId="0" applyFont="1" applyProtection="1">
      <protection locked="0"/>
    </xf>
    <xf numFmtId="0" fontId="124" fillId="0" borderId="0" xfId="0" applyFont="1" applyAlignment="1" applyProtection="1">
      <alignment vertical="top" wrapText="1"/>
      <protection locked="0"/>
    </xf>
    <xf numFmtId="0" fontId="115" fillId="0" borderId="0" xfId="0" applyFont="1" applyAlignment="1" applyProtection="1">
      <alignment vertical="top" wrapText="1"/>
      <protection locked="0"/>
    </xf>
    <xf numFmtId="0" fontId="125" fillId="14" borderId="0" xfId="0" applyFont="1" applyFill="1"/>
    <xf numFmtId="0" fontId="15" fillId="0" borderId="29" xfId="0" applyFont="1" applyBorder="1"/>
    <xf numFmtId="164" fontId="8" fillId="14" borderId="0" xfId="0" applyNumberFormat="1" applyFont="1" applyFill="1" applyAlignment="1">
      <alignment horizontal="right"/>
    </xf>
    <xf numFmtId="164" fontId="8" fillId="0" borderId="0" xfId="0" applyNumberFormat="1" applyFont="1"/>
    <xf numFmtId="164" fontId="8" fillId="16" borderId="0" xfId="0" applyNumberFormat="1" applyFont="1" applyFill="1" applyAlignment="1">
      <alignment horizontal="right"/>
    </xf>
    <xf numFmtId="164" fontId="8" fillId="16" borderId="1" xfId="0" applyNumberFormat="1" applyFont="1" applyFill="1" applyBorder="1" applyAlignment="1">
      <alignment horizontal="right"/>
    </xf>
    <xf numFmtId="0" fontId="20" fillId="2" borderId="0" xfId="3" applyFont="1" applyFill="1" applyAlignment="1" applyProtection="1">
      <alignment horizontal="center"/>
      <protection locked="0"/>
    </xf>
    <xf numFmtId="0" fontId="28" fillId="2" borderId="0" xfId="3" applyFont="1" applyFill="1" applyAlignment="1" applyProtection="1">
      <alignment horizontal="left"/>
      <protection locked="0"/>
    </xf>
    <xf numFmtId="14" fontId="28" fillId="2" borderId="0" xfId="3" applyNumberFormat="1" applyFont="1" applyFill="1" applyAlignment="1" applyProtection="1">
      <alignment horizontal="right"/>
      <protection locked="0"/>
    </xf>
    <xf numFmtId="0" fontId="28" fillId="2" borderId="0" xfId="3" applyFont="1" applyFill="1" applyAlignment="1" applyProtection="1">
      <alignment horizontal="center"/>
      <protection locked="0"/>
    </xf>
    <xf numFmtId="164" fontId="28" fillId="2" borderId="0" xfId="3" applyNumberFormat="1" applyFont="1" applyFill="1" applyAlignment="1" applyProtection="1">
      <alignment horizontal="right"/>
      <protection locked="0"/>
    </xf>
    <xf numFmtId="0" fontId="28" fillId="10" borderId="0" xfId="3" applyFont="1" applyFill="1" applyAlignment="1" applyProtection="1">
      <alignment horizontal="center"/>
      <protection locked="0"/>
    </xf>
    <xf numFmtId="164" fontId="28" fillId="2" borderId="0" xfId="3" applyNumberFormat="1" applyFont="1" applyFill="1" applyAlignment="1" applyProtection="1">
      <alignment horizontal="center"/>
      <protection locked="0"/>
    </xf>
    <xf numFmtId="165" fontId="28" fillId="2" borderId="0" xfId="3" applyNumberFormat="1" applyFont="1" applyFill="1" applyAlignment="1" applyProtection="1">
      <alignment horizontal="center"/>
      <protection locked="0"/>
    </xf>
    <xf numFmtId="2" fontId="28" fillId="2" borderId="0" xfId="3" applyNumberFormat="1" applyFont="1" applyFill="1" applyAlignment="1" applyProtection="1">
      <alignment horizontal="right"/>
      <protection locked="0"/>
    </xf>
    <xf numFmtId="0" fontId="28" fillId="2" borderId="0" xfId="3" applyFont="1" applyFill="1" applyAlignment="1" applyProtection="1">
      <alignment horizontal="right"/>
      <protection locked="0"/>
    </xf>
    <xf numFmtId="1" fontId="24" fillId="2" borderId="0" xfId="3" applyNumberFormat="1" applyFont="1" applyFill="1" applyAlignment="1" applyProtection="1">
      <alignment horizontal="right"/>
      <protection locked="0"/>
    </xf>
    <xf numFmtId="1" fontId="28" fillId="2" borderId="0" xfId="11" applyNumberFormat="1" applyFont="1" applyFill="1" applyAlignment="1" applyProtection="1">
      <alignment horizontal="right"/>
      <protection locked="0"/>
    </xf>
    <xf numFmtId="0" fontId="67" fillId="2" borderId="0" xfId="3" applyFont="1" applyFill="1" applyAlignment="1" applyProtection="1">
      <alignment horizontal="left" indent="3"/>
      <protection locked="0"/>
    </xf>
    <xf numFmtId="0" fontId="18" fillId="2" borderId="0" xfId="3" applyFont="1" applyFill="1" applyProtection="1">
      <protection locked="0"/>
    </xf>
    <xf numFmtId="0" fontId="8" fillId="2" borderId="0" xfId="3" applyFill="1" applyProtection="1">
      <protection locked="0"/>
    </xf>
    <xf numFmtId="1" fontId="17" fillId="0" borderId="0" xfId="3" applyNumberFormat="1" applyFont="1" applyAlignment="1">
      <alignment horizontal="right"/>
    </xf>
    <xf numFmtId="164" fontId="17" fillId="0" borderId="0" xfId="0" applyNumberFormat="1" applyFont="1" applyProtection="1">
      <protection locked="0"/>
    </xf>
    <xf numFmtId="1" fontId="18" fillId="22" borderId="0" xfId="0" applyNumberFormat="1" applyFont="1" applyFill="1" applyAlignment="1">
      <alignment horizontal="center" vertical="center"/>
    </xf>
    <xf numFmtId="1" fontId="45" fillId="22" borderId="0" xfId="0" applyNumberFormat="1" applyFont="1" applyFill="1" applyAlignment="1">
      <alignment horizontal="center" vertical="center"/>
    </xf>
    <xf numFmtId="0" fontId="0" fillId="13" borderId="0" xfId="0" applyFill="1" applyAlignment="1">
      <alignment horizontal="right"/>
    </xf>
    <xf numFmtId="2" fontId="8" fillId="16" borderId="0" xfId="0" applyNumberFormat="1" applyFont="1" applyFill="1" applyAlignment="1">
      <alignment horizontal="right"/>
    </xf>
    <xf numFmtId="2" fontId="8" fillId="16" borderId="1" xfId="0" applyNumberFormat="1" applyFont="1" applyFill="1" applyBorder="1" applyAlignment="1">
      <alignment horizontal="right"/>
    </xf>
    <xf numFmtId="1" fontId="8" fillId="16" borderId="0" xfId="0" applyNumberFormat="1" applyFont="1" applyFill="1" applyAlignment="1">
      <alignment horizontal="right"/>
    </xf>
    <xf numFmtId="1" fontId="8" fillId="16" borderId="1" xfId="0" applyNumberFormat="1" applyFont="1" applyFill="1" applyBorder="1" applyAlignment="1">
      <alignment horizontal="right"/>
    </xf>
    <xf numFmtId="0" fontId="0" fillId="16" borderId="18" xfId="0" applyFill="1" applyBorder="1" applyAlignment="1">
      <alignment horizontal="right"/>
    </xf>
    <xf numFmtId="49" fontId="77" fillId="0" borderId="0" xfId="13" applyNumberFormat="1" applyAlignment="1">
      <alignment horizontal="center" vertical="top"/>
    </xf>
    <xf numFmtId="0" fontId="77" fillId="0" borderId="0" xfId="13" applyAlignment="1">
      <alignment vertical="top"/>
    </xf>
    <xf numFmtId="0" fontId="79" fillId="15" borderId="0" xfId="13" applyFont="1" applyFill="1"/>
    <xf numFmtId="49" fontId="77" fillId="15" borderId="0" xfId="13" applyNumberFormat="1" applyFill="1"/>
    <xf numFmtId="0" fontId="77" fillId="15" borderId="0" xfId="13" applyFill="1"/>
    <xf numFmtId="0" fontId="78" fillId="15" borderId="0" xfId="13" applyFont="1" applyFill="1"/>
    <xf numFmtId="0" fontId="143" fillId="15" borderId="0" xfId="13" applyFont="1" applyFill="1" applyAlignment="1">
      <alignment horizontal="center" vertical="center"/>
    </xf>
    <xf numFmtId="0" fontId="143" fillId="15" borderId="0" xfId="13" applyFont="1" applyFill="1"/>
    <xf numFmtId="2" fontId="77" fillId="0" borderId="0" xfId="13" applyNumberFormat="1"/>
    <xf numFmtId="0" fontId="51" fillId="11" borderId="0" xfId="0" applyFont="1" applyFill="1" applyAlignment="1">
      <alignment horizontal="center"/>
    </xf>
    <xf numFmtId="0" fontId="64" fillId="11" borderId="0" xfId="0" applyFont="1" applyFill="1" applyAlignment="1">
      <alignment horizontal="left"/>
    </xf>
    <xf numFmtId="14" fontId="64" fillId="11" borderId="0" xfId="0" applyNumberFormat="1" applyFont="1" applyFill="1" applyAlignment="1">
      <alignment horizontal="center" vertical="center"/>
    </xf>
    <xf numFmtId="164" fontId="64" fillId="11" borderId="0" xfId="0" applyNumberFormat="1" applyFont="1" applyFill="1" applyAlignment="1">
      <alignment horizontal="center" vertical="center"/>
    </xf>
    <xf numFmtId="0" fontId="64" fillId="11" borderId="0" xfId="0" applyFont="1" applyFill="1" applyAlignment="1">
      <alignment horizontal="center" vertical="center"/>
    </xf>
    <xf numFmtId="1" fontId="64" fillId="11" borderId="0" xfId="0" applyNumberFormat="1" applyFont="1" applyFill="1" applyAlignment="1">
      <alignment horizontal="center" vertical="center"/>
    </xf>
    <xf numFmtId="1" fontId="64" fillId="11" borderId="0" xfId="11" applyNumberFormat="1" applyFont="1" applyFill="1" applyAlignment="1">
      <alignment horizontal="center" vertical="center"/>
    </xf>
    <xf numFmtId="0" fontId="15" fillId="11" borderId="0" xfId="0" applyFont="1" applyFill="1" applyAlignment="1">
      <alignment horizontal="left"/>
    </xf>
    <xf numFmtId="0" fontId="15" fillId="11" borderId="0" xfId="0" applyFont="1" applyFill="1"/>
    <xf numFmtId="0" fontId="51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left"/>
    </xf>
    <xf numFmtId="14" fontId="15" fillId="11" borderId="1" xfId="0" applyNumberFormat="1" applyFont="1" applyFill="1" applyBorder="1" applyAlignment="1">
      <alignment horizontal="center" vertical="center"/>
    </xf>
    <xf numFmtId="164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/>
    </xf>
    <xf numFmtId="1" fontId="15" fillId="11" borderId="1" xfId="11" applyNumberFormat="1" applyFont="1" applyFill="1" applyBorder="1" applyAlignment="1">
      <alignment horizontal="center" vertical="center"/>
    </xf>
    <xf numFmtId="0" fontId="15" fillId="11" borderId="1" xfId="11" applyFont="1" applyFill="1" applyBorder="1" applyAlignment="1">
      <alignment horizontal="right"/>
    </xf>
    <xf numFmtId="0" fontId="15" fillId="11" borderId="1" xfId="0" applyFont="1" applyFill="1" applyBorder="1"/>
    <xf numFmtId="164" fontId="17" fillId="0" borderId="0" xfId="0" applyNumberFormat="1" applyFont="1"/>
    <xf numFmtId="164" fontId="18" fillId="22" borderId="0" xfId="0" applyNumberFormat="1" applyFont="1" applyFill="1" applyAlignment="1">
      <alignment horizontal="center" vertical="center"/>
    </xf>
    <xf numFmtId="14" fontId="18" fillId="0" borderId="0" xfId="0" applyNumberFormat="1" applyFont="1"/>
    <xf numFmtId="14" fontId="18" fillId="0" borderId="0" xfId="0" applyNumberFormat="1" applyFont="1" applyAlignment="1">
      <alignment horizontal="right"/>
    </xf>
    <xf numFmtId="14" fontId="18" fillId="22" borderId="0" xfId="0" applyNumberFormat="1" applyFont="1" applyFill="1" applyAlignment="1">
      <alignment horizontal="right"/>
    </xf>
    <xf numFmtId="14" fontId="73" fillId="22" borderId="0" xfId="0" applyNumberFormat="1" applyFont="1" applyFill="1" applyAlignment="1">
      <alignment horizontal="right"/>
    </xf>
    <xf numFmtId="164" fontId="73" fillId="22" borderId="0" xfId="0" applyNumberFormat="1" applyFont="1" applyFill="1" applyAlignment="1">
      <alignment horizontal="center" vertical="center"/>
    </xf>
    <xf numFmtId="0" fontId="53" fillId="0" borderId="0" xfId="0" applyFont="1" applyAlignment="1">
      <alignment horizontal="left" vertical="center"/>
    </xf>
    <xf numFmtId="14" fontId="144" fillId="15" borderId="0" xfId="0" applyNumberFormat="1" applyFont="1" applyFill="1"/>
    <xf numFmtId="14" fontId="145" fillId="15" borderId="0" xfId="0" applyNumberFormat="1" applyFont="1" applyFill="1"/>
    <xf numFmtId="14" fontId="147" fillId="15" borderId="0" xfId="0" applyNumberFormat="1" applyFont="1" applyFill="1" applyAlignment="1">
      <alignment vertical="center"/>
    </xf>
    <xf numFmtId="0" fontId="106" fillId="20" borderId="13" xfId="0" applyFont="1" applyFill="1" applyBorder="1"/>
    <xf numFmtId="0" fontId="8" fillId="20" borderId="15" xfId="0" applyFont="1" applyFill="1" applyBorder="1"/>
    <xf numFmtId="167" fontId="8" fillId="20" borderId="15" xfId="2" applyNumberFormat="1" applyFont="1" applyFill="1" applyBorder="1" applyAlignment="1" applyProtection="1"/>
    <xf numFmtId="167" fontId="110" fillId="20" borderId="15" xfId="2" applyNumberFormat="1" applyFont="1" applyFill="1" applyBorder="1" applyAlignment="1" applyProtection="1"/>
    <xf numFmtId="0" fontId="8" fillId="20" borderId="14" xfId="0" applyFont="1" applyFill="1" applyBorder="1"/>
    <xf numFmtId="0" fontId="8" fillId="11" borderId="0" xfId="0" applyFont="1" applyFill="1" applyAlignment="1">
      <alignment horizontal="center" vertical="center"/>
    </xf>
    <xf numFmtId="0" fontId="148" fillId="9" borderId="0" xfId="0" applyFont="1" applyFill="1" applyAlignment="1">
      <alignment horizontal="center"/>
    </xf>
    <xf numFmtId="2" fontId="18" fillId="22" borderId="0" xfId="0" applyNumberFormat="1" applyFont="1" applyFill="1" applyAlignment="1">
      <alignment horizontal="right"/>
    </xf>
    <xf numFmtId="49" fontId="15" fillId="0" borderId="0" xfId="0" applyNumberFormat="1" applyFont="1"/>
    <xf numFmtId="14" fontId="15" fillId="13" borderId="28" xfId="0" applyNumberFormat="1" applyFont="1" applyFill="1" applyBorder="1" applyAlignment="1">
      <alignment horizontal="right"/>
    </xf>
    <xf numFmtId="164" fontId="15" fillId="13" borderId="18" xfId="0" applyNumberFormat="1" applyFont="1" applyFill="1" applyBorder="1" applyAlignment="1">
      <alignment horizontal="right" vertical="center"/>
    </xf>
    <xf numFmtId="1" fontId="15" fillId="13" borderId="18" xfId="0" applyNumberFormat="1" applyFont="1" applyFill="1" applyBorder="1" applyAlignment="1">
      <alignment horizontal="right" vertical="center"/>
    </xf>
    <xf numFmtId="14" fontId="15" fillId="13" borderId="29" xfId="0" applyNumberFormat="1" applyFont="1" applyFill="1" applyBorder="1" applyAlignment="1">
      <alignment horizontal="right"/>
    </xf>
    <xf numFmtId="164" fontId="15" fillId="13" borderId="0" xfId="0" applyNumberFormat="1" applyFont="1" applyFill="1" applyAlignment="1">
      <alignment horizontal="right" vertical="center"/>
    </xf>
    <xf numFmtId="1" fontId="15" fillId="13" borderId="0" xfId="0" applyNumberFormat="1" applyFont="1" applyFill="1" applyAlignment="1">
      <alignment horizontal="right" vertical="center"/>
    </xf>
    <xf numFmtId="14" fontId="15" fillId="13" borderId="26" xfId="0" applyNumberFormat="1" applyFont="1" applyFill="1" applyBorder="1" applyAlignment="1">
      <alignment horizontal="right"/>
    </xf>
    <xf numFmtId="164" fontId="15" fillId="13" borderId="1" xfId="0" applyNumberFormat="1" applyFont="1" applyFill="1" applyBorder="1" applyAlignment="1">
      <alignment horizontal="right" vertical="center"/>
    </xf>
    <xf numFmtId="1" fontId="15" fillId="13" borderId="1" xfId="0" applyNumberFormat="1" applyFont="1" applyFill="1" applyBorder="1" applyAlignment="1">
      <alignment horizontal="right" vertical="center"/>
    </xf>
    <xf numFmtId="14" fontId="3" fillId="20" borderId="0" xfId="0" applyNumberFormat="1" applyFont="1" applyFill="1" applyAlignment="1">
      <alignment horizontal="left"/>
    </xf>
    <xf numFmtId="164" fontId="15" fillId="20" borderId="0" xfId="0" applyNumberFormat="1" applyFont="1" applyFill="1" applyAlignment="1">
      <alignment horizontal="center" vertical="center"/>
    </xf>
    <xf numFmtId="1" fontId="18" fillId="20" borderId="0" xfId="5" applyNumberFormat="1" applyFont="1" applyFill="1" applyAlignment="1">
      <alignment horizontal="center" vertical="center"/>
    </xf>
    <xf numFmtId="1" fontId="15" fillId="20" borderId="0" xfId="0" applyNumberFormat="1" applyFont="1" applyFill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8" fillId="0" borderId="0" xfId="3" applyAlignment="1">
      <alignment horizontal="left"/>
    </xf>
    <xf numFmtId="0" fontId="11" fillId="0" borderId="0" xfId="3" applyFont="1"/>
    <xf numFmtId="2" fontId="0" fillId="0" borderId="0" xfId="0" applyNumberFormat="1"/>
    <xf numFmtId="14" fontId="8" fillId="0" borderId="0" xfId="3" applyNumberFormat="1"/>
    <xf numFmtId="14" fontId="15" fillId="15" borderId="0" xfId="3" applyNumberFormat="1" applyFont="1" applyFill="1" applyAlignment="1">
      <alignment horizontal="center"/>
    </xf>
    <xf numFmtId="164" fontId="15" fillId="15" borderId="0" xfId="3" applyNumberFormat="1" applyFont="1" applyFill="1" applyAlignment="1">
      <alignment horizontal="center"/>
    </xf>
    <xf numFmtId="0" fontId="15" fillId="15" borderId="0" xfId="3" applyFont="1" applyFill="1" applyAlignment="1">
      <alignment horizontal="center"/>
    </xf>
    <xf numFmtId="2" fontId="15" fillId="15" borderId="0" xfId="3" applyNumberFormat="1" applyFont="1" applyFill="1" applyAlignment="1">
      <alignment horizontal="center"/>
    </xf>
    <xf numFmtId="1" fontId="15" fillId="15" borderId="0" xfId="3" applyNumberFormat="1" applyFont="1" applyFill="1" applyAlignment="1">
      <alignment horizontal="center"/>
    </xf>
    <xf numFmtId="0" fontId="15" fillId="15" borderId="0" xfId="3" applyFont="1" applyFill="1"/>
    <xf numFmtId="164" fontId="87" fillId="15" borderId="0" xfId="3" applyNumberFormat="1" applyFont="1" applyFill="1" applyAlignment="1">
      <alignment horizontal="center"/>
    </xf>
    <xf numFmtId="1" fontId="151" fillId="15" borderId="0" xfId="3" applyNumberFormat="1" applyFont="1" applyFill="1" applyAlignment="1">
      <alignment horizontal="center"/>
    </xf>
    <xf numFmtId="2" fontId="87" fillId="15" borderId="0" xfId="3" applyNumberFormat="1" applyFont="1" applyFill="1" applyAlignment="1">
      <alignment horizontal="center"/>
    </xf>
    <xf numFmtId="1" fontId="15" fillId="15" borderId="0" xfId="3" applyNumberFormat="1" applyFont="1" applyFill="1" applyAlignment="1">
      <alignment horizontal="left" vertical="center"/>
    </xf>
    <xf numFmtId="2" fontId="15" fillId="15" borderId="0" xfId="3" applyNumberFormat="1" applyFont="1" applyFill="1" applyAlignment="1">
      <alignment horizontal="left" vertical="center"/>
    </xf>
    <xf numFmtId="0" fontId="15" fillId="15" borderId="0" xfId="3" applyFont="1" applyFill="1" applyAlignment="1">
      <alignment horizontal="left" vertical="center"/>
    </xf>
    <xf numFmtId="164" fontId="15" fillId="15" borderId="0" xfId="6" applyNumberFormat="1" applyFont="1" applyFill="1" applyBorder="1" applyAlignment="1">
      <alignment horizontal="center"/>
    </xf>
    <xf numFmtId="14" fontId="15" fillId="15" borderId="0" xfId="9" applyNumberFormat="1" applyFont="1" applyFill="1" applyAlignment="1">
      <alignment horizontal="center"/>
    </xf>
    <xf numFmtId="14" fontId="15" fillId="15" borderId="0" xfId="3" applyNumberFormat="1" applyFont="1" applyFill="1" applyAlignment="1">
      <alignment horizontal="left"/>
    </xf>
    <xf numFmtId="0" fontId="15" fillId="15" borderId="0" xfId="3" applyFont="1" applyFill="1" applyAlignment="1">
      <alignment horizontal="left"/>
    </xf>
    <xf numFmtId="169" fontId="15" fillId="15" borderId="0" xfId="3" applyNumberFormat="1" applyFont="1" applyFill="1" applyAlignment="1">
      <alignment horizontal="center"/>
    </xf>
    <xf numFmtId="168" fontId="15" fillId="15" borderId="0" xfId="3" applyNumberFormat="1" applyFont="1" applyFill="1" applyAlignment="1">
      <alignment horizontal="center" vertical="center"/>
    </xf>
    <xf numFmtId="0" fontId="149" fillId="15" borderId="0" xfId="0" applyFont="1" applyFill="1"/>
    <xf numFmtId="0" fontId="11" fillId="15" borderId="0" xfId="0" applyFont="1" applyFill="1"/>
    <xf numFmtId="164" fontId="11" fillId="15" borderId="0" xfId="0" applyNumberFormat="1" applyFont="1" applyFill="1" applyAlignment="1">
      <alignment horizontal="right"/>
    </xf>
    <xf numFmtId="1" fontId="0" fillId="15" borderId="0" xfId="0" applyNumberFormat="1" applyFill="1"/>
    <xf numFmtId="0" fontId="87" fillId="15" borderId="0" xfId="3" applyFont="1" applyFill="1"/>
    <xf numFmtId="0" fontId="8" fillId="15" borderId="0" xfId="3" applyFill="1"/>
    <xf numFmtId="164" fontId="0" fillId="15" borderId="0" xfId="0" applyNumberFormat="1" applyFill="1"/>
    <xf numFmtId="167" fontId="110" fillId="15" borderId="0" xfId="2" applyNumberFormat="1" applyFont="1" applyFill="1" applyBorder="1" applyAlignment="1" applyProtection="1"/>
    <xf numFmtId="0" fontId="6" fillId="15" borderId="0" xfId="2" applyFill="1" applyAlignment="1" applyProtection="1"/>
    <xf numFmtId="0" fontId="0" fillId="20" borderId="0" xfId="0" applyFill="1" applyAlignment="1">
      <alignment horizontal="left"/>
    </xf>
    <xf numFmtId="0" fontId="15" fillId="12" borderId="1" xfId="3" applyFont="1" applyFill="1" applyBorder="1" applyAlignment="1">
      <alignment horizontal="left"/>
    </xf>
    <xf numFmtId="2" fontId="15" fillId="15" borderId="0" xfId="3" applyNumberFormat="1" applyFont="1" applyFill="1" applyAlignment="1">
      <alignment horizontal="left"/>
    </xf>
    <xf numFmtId="0" fontId="8" fillId="15" borderId="0" xfId="3" applyFill="1" applyAlignment="1">
      <alignment horizontal="left"/>
    </xf>
    <xf numFmtId="14" fontId="0" fillId="20" borderId="0" xfId="0" applyNumberFormat="1" applyFill="1" applyAlignment="1">
      <alignment horizontal="left"/>
    </xf>
    <xf numFmtId="14" fontId="15" fillId="12" borderId="18" xfId="3" applyNumberFormat="1" applyFont="1" applyFill="1" applyBorder="1" applyAlignment="1">
      <alignment horizontal="left" vertical="center"/>
    </xf>
    <xf numFmtId="14" fontId="15" fillId="12" borderId="1" xfId="3" applyNumberFormat="1" applyFont="1" applyFill="1" applyBorder="1" applyAlignment="1">
      <alignment horizontal="left"/>
    </xf>
    <xf numFmtId="14" fontId="65" fillId="15" borderId="0" xfId="3" applyNumberFormat="1" applyFont="1" applyFill="1" applyAlignment="1">
      <alignment horizontal="left" vertical="center"/>
    </xf>
    <xf numFmtId="14" fontId="8" fillId="15" borderId="0" xfId="3" applyNumberFormat="1" applyFill="1" applyAlignment="1">
      <alignment horizontal="left"/>
    </xf>
    <xf numFmtId="14" fontId="8" fillId="0" borderId="0" xfId="3" applyNumberFormat="1" applyAlignment="1">
      <alignment horizontal="left"/>
    </xf>
    <xf numFmtId="0" fontId="15" fillId="12" borderId="18" xfId="3" applyFont="1" applyFill="1" applyBorder="1" applyAlignment="1">
      <alignment horizontal="left"/>
    </xf>
    <xf numFmtId="2" fontId="15" fillId="15" borderId="41" xfId="3" applyNumberFormat="1" applyFont="1" applyFill="1" applyBorder="1" applyAlignment="1">
      <alignment horizontal="left" vertical="center"/>
    </xf>
    <xf numFmtId="14" fontId="15" fillId="15" borderId="41" xfId="3" applyNumberFormat="1" applyFont="1" applyFill="1" applyBorder="1" applyAlignment="1">
      <alignment horizontal="left" vertical="center"/>
    </xf>
    <xf numFmtId="14" fontId="15" fillId="15" borderId="41" xfId="3" applyNumberFormat="1" applyFont="1" applyFill="1" applyBorder="1" applyAlignment="1">
      <alignment horizontal="left"/>
    </xf>
    <xf numFmtId="164" fontId="3" fillId="0" borderId="0" xfId="3" applyNumberFormat="1" applyFont="1" applyAlignment="1" applyProtection="1">
      <alignment horizontal="right"/>
      <protection locked="0"/>
    </xf>
    <xf numFmtId="164" fontId="3" fillId="0" borderId="1" xfId="3" applyNumberFormat="1" applyFont="1" applyBorder="1" applyProtection="1">
      <protection locked="0"/>
    </xf>
    <xf numFmtId="0" fontId="8" fillId="20" borderId="0" xfId="3" applyFill="1"/>
    <xf numFmtId="0" fontId="8" fillId="20" borderId="0" xfId="3" applyFill="1" applyAlignment="1">
      <alignment horizontal="left"/>
    </xf>
    <xf numFmtId="0" fontId="116" fillId="20" borderId="0" xfId="3" applyFont="1" applyFill="1"/>
    <xf numFmtId="0" fontId="39" fillId="20" borderId="0" xfId="3" applyFont="1" applyFill="1"/>
    <xf numFmtId="0" fontId="39" fillId="20" borderId="0" xfId="3" applyFont="1" applyFill="1" applyAlignment="1">
      <alignment horizontal="left"/>
    </xf>
    <xf numFmtId="0" fontId="10" fillId="0" borderId="1" xfId="3" applyFont="1" applyBorder="1" applyAlignment="1">
      <alignment horizontal="left"/>
    </xf>
    <xf numFmtId="0" fontId="8" fillId="0" borderId="1" xfId="3" applyBorder="1"/>
    <xf numFmtId="0" fontId="3" fillId="0" borderId="1" xfId="3" applyFont="1" applyBorder="1" applyAlignment="1">
      <alignment horizontal="left"/>
    </xf>
    <xf numFmtId="14" fontId="3" fillId="0" borderId="1" xfId="3" applyNumberFormat="1" applyFont="1" applyBorder="1" applyAlignment="1">
      <alignment horizontal="left"/>
    </xf>
    <xf numFmtId="0" fontId="3" fillId="0" borderId="28" xfId="3" applyFont="1" applyBorder="1" applyAlignment="1">
      <alignment horizontal="right"/>
    </xf>
    <xf numFmtId="0" fontId="3" fillId="0" borderId="0" xfId="3" applyFont="1" applyAlignment="1">
      <alignment horizontal="right"/>
    </xf>
    <xf numFmtId="0" fontId="8" fillId="0" borderId="18" xfId="3" applyBorder="1"/>
    <xf numFmtId="0" fontId="8" fillId="0" borderId="24" xfId="3" applyBorder="1"/>
    <xf numFmtId="0" fontId="3" fillId="0" borderId="18" xfId="3" applyFont="1" applyBorder="1" applyAlignment="1">
      <alignment horizontal="right"/>
    </xf>
    <xf numFmtId="0" fontId="3" fillId="0" borderId="26" xfId="3" applyFont="1" applyBorder="1" applyAlignment="1">
      <alignment horizontal="right"/>
    </xf>
    <xf numFmtId="0" fontId="3" fillId="0" borderId="1" xfId="3" applyFont="1" applyBorder="1" applyAlignment="1">
      <alignment horizontal="right"/>
    </xf>
    <xf numFmtId="0" fontId="8" fillId="0" borderId="25" xfId="3" applyBorder="1"/>
    <xf numFmtId="164" fontId="3" fillId="0" borderId="29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1" fontId="3" fillId="0" borderId="29" xfId="3" applyNumberFormat="1" applyFont="1" applyBorder="1" applyAlignment="1">
      <alignment horizontal="right"/>
    </xf>
    <xf numFmtId="1" fontId="3" fillId="0" borderId="26" xfId="3" applyNumberFormat="1" applyFont="1" applyBorder="1" applyAlignment="1">
      <alignment horizontal="right"/>
    </xf>
    <xf numFmtId="0" fontId="8" fillId="0" borderId="27" xfId="3" applyBorder="1"/>
    <xf numFmtId="0" fontId="104" fillId="20" borderId="0" xfId="3" applyFont="1" applyFill="1"/>
    <xf numFmtId="0" fontId="80" fillId="10" borderId="0" xfId="13" applyFont="1" applyFill="1" applyAlignment="1">
      <alignment vertical="top" wrapText="1"/>
    </xf>
    <xf numFmtId="0" fontId="80" fillId="54" borderId="0" xfId="13" applyFont="1" applyFill="1" applyAlignment="1">
      <alignment vertical="top" wrapText="1"/>
    </xf>
    <xf numFmtId="0" fontId="8" fillId="55" borderId="0" xfId="5" applyFill="1" applyAlignment="1" applyProtection="1">
      <alignment horizontal="center" vertical="center"/>
      <protection locked="0"/>
    </xf>
    <xf numFmtId="0" fontId="8" fillId="9" borderId="0" xfId="5" applyFill="1" applyAlignment="1" applyProtection="1">
      <alignment horizontal="left"/>
      <protection locked="0"/>
    </xf>
    <xf numFmtId="0" fontId="8" fillId="9" borderId="0" xfId="5" applyFill="1" applyAlignment="1" applyProtection="1">
      <alignment horizontal="center"/>
      <protection locked="0"/>
    </xf>
    <xf numFmtId="0" fontId="8" fillId="55" borderId="0" xfId="5" applyFill="1" applyAlignment="1" applyProtection="1">
      <alignment horizontal="center"/>
      <protection locked="0"/>
    </xf>
    <xf numFmtId="2" fontId="14" fillId="20" borderId="0" xfId="0" applyNumberFormat="1" applyFont="1" applyFill="1" applyAlignment="1">
      <alignment horizontal="right"/>
    </xf>
    <xf numFmtId="170" fontId="15" fillId="0" borderId="0" xfId="0" applyNumberFormat="1" applyFont="1" applyAlignment="1">
      <alignment horizontal="center" vertical="center"/>
    </xf>
    <xf numFmtId="170" fontId="14" fillId="20" borderId="0" xfId="0" applyNumberFormat="1" applyFont="1" applyFill="1" applyAlignment="1">
      <alignment horizontal="right"/>
    </xf>
    <xf numFmtId="2" fontId="14" fillId="20" borderId="0" xfId="0" applyNumberFormat="1" applyFont="1" applyFill="1" applyAlignment="1">
      <alignment horizontal="center"/>
    </xf>
    <xf numFmtId="170" fontId="18" fillId="0" borderId="0" xfId="5" applyNumberFormat="1" applyFont="1" applyAlignment="1">
      <alignment horizontal="center" vertical="center"/>
    </xf>
    <xf numFmtId="170" fontId="14" fillId="20" borderId="0" xfId="0" applyNumberFormat="1" applyFont="1" applyFill="1" applyAlignment="1">
      <alignment horizontal="center"/>
    </xf>
    <xf numFmtId="1" fontId="14" fillId="20" borderId="0" xfId="0" applyNumberFormat="1" applyFont="1" applyFill="1" applyAlignment="1">
      <alignment horizontal="right"/>
    </xf>
    <xf numFmtId="1" fontId="15" fillId="15" borderId="41" xfId="3" applyNumberFormat="1" applyFont="1" applyFill="1" applyBorder="1" applyAlignment="1">
      <alignment horizontal="center" vertical="center"/>
    </xf>
    <xf numFmtId="2" fontId="15" fillId="15" borderId="41" xfId="3" applyNumberFormat="1" applyFont="1" applyFill="1" applyBorder="1" applyAlignment="1">
      <alignment horizontal="center" vertical="center"/>
    </xf>
    <xf numFmtId="0" fontId="15" fillId="15" borderId="41" xfId="3" applyFont="1" applyFill="1" applyBorder="1" applyAlignment="1">
      <alignment horizontal="center"/>
    </xf>
    <xf numFmtId="0" fontId="15" fillId="15" borderId="41" xfId="3" applyFont="1" applyFill="1" applyBorder="1" applyAlignment="1">
      <alignment horizontal="center" vertical="center"/>
    </xf>
    <xf numFmtId="164" fontId="15" fillId="15" borderId="41" xfId="3" applyNumberFormat="1" applyFont="1" applyFill="1" applyBorder="1" applyAlignment="1">
      <alignment horizontal="center" vertical="center"/>
    </xf>
    <xf numFmtId="14" fontId="15" fillId="0" borderId="0" xfId="0" applyNumberFormat="1" applyFont="1" applyAlignment="1" applyProtection="1">
      <alignment horizontal="center"/>
      <protection locked="0"/>
    </xf>
    <xf numFmtId="169" fontId="15" fillId="0" borderId="0" xfId="0" applyNumberFormat="1" applyFont="1" applyAlignment="1">
      <alignment horizontal="center"/>
    </xf>
    <xf numFmtId="169" fontId="14" fillId="20" borderId="0" xfId="0" applyNumberFormat="1" applyFont="1" applyFill="1" applyAlignment="1">
      <alignment horizontal="center"/>
    </xf>
    <xf numFmtId="164" fontId="15" fillId="13" borderId="24" xfId="0" applyNumberFormat="1" applyFont="1" applyFill="1" applyBorder="1" applyAlignment="1">
      <alignment horizontal="right" vertical="center"/>
    </xf>
    <xf numFmtId="164" fontId="15" fillId="13" borderId="25" xfId="0" applyNumberFormat="1" applyFont="1" applyFill="1" applyBorder="1" applyAlignment="1">
      <alignment horizontal="right" vertical="center"/>
    </xf>
    <xf numFmtId="164" fontId="15" fillId="13" borderId="27" xfId="0" applyNumberFormat="1" applyFont="1" applyFill="1" applyBorder="1" applyAlignment="1">
      <alignment horizontal="right" vertical="center"/>
    </xf>
    <xf numFmtId="164" fontId="0" fillId="20" borderId="0" xfId="0" applyNumberFormat="1" applyFill="1"/>
    <xf numFmtId="0" fontId="3" fillId="0" borderId="6" xfId="10" applyFont="1" applyBorder="1" applyAlignment="1">
      <alignment horizontal="left"/>
    </xf>
    <xf numFmtId="16" fontId="3" fillId="4" borderId="14" xfId="10" quotePrefix="1" applyNumberFormat="1" applyFont="1" applyFill="1" applyBorder="1" applyAlignment="1">
      <alignment horizontal="center"/>
    </xf>
    <xf numFmtId="0" fontId="3" fillId="0" borderId="8" xfId="10" applyFont="1" applyBorder="1" applyAlignment="1">
      <alignment wrapText="1"/>
    </xf>
    <xf numFmtId="0" fontId="102" fillId="18" borderId="16" xfId="10" applyFont="1" applyFill="1" applyBorder="1" applyAlignment="1">
      <alignment horizontal="center"/>
    </xf>
    <xf numFmtId="16" fontId="3" fillId="19" borderId="16" xfId="10" quotePrefix="1" applyNumberFormat="1" applyFont="1" applyFill="1" applyBorder="1" applyAlignment="1">
      <alignment horizontal="center"/>
    </xf>
    <xf numFmtId="16" fontId="3" fillId="4" borderId="16" xfId="10" quotePrefix="1" applyNumberFormat="1" applyFont="1" applyFill="1" applyBorder="1" applyAlignment="1">
      <alignment horizontal="center"/>
    </xf>
    <xf numFmtId="0" fontId="3" fillId="5" borderId="19" xfId="10" quotePrefix="1" applyFont="1" applyFill="1" applyBorder="1" applyAlignment="1">
      <alignment horizontal="center"/>
    </xf>
    <xf numFmtId="164" fontId="15" fillId="20" borderId="0" xfId="0" applyNumberFormat="1" applyFont="1" applyFill="1" applyAlignment="1">
      <alignment horizontal="left" vertical="center"/>
    </xf>
    <xf numFmtId="164" fontId="0" fillId="15" borderId="0" xfId="0" applyNumberFormat="1" applyFill="1" applyAlignment="1">
      <alignment vertical="top"/>
    </xf>
    <xf numFmtId="164" fontId="18" fillId="22" borderId="0" xfId="0" applyNumberFormat="1" applyFont="1" applyFill="1" applyAlignment="1" applyProtection="1">
      <alignment horizontal="center"/>
      <protection locked="0"/>
    </xf>
    <xf numFmtId="164" fontId="14" fillId="22" borderId="0" xfId="0" applyNumberFormat="1" applyFont="1" applyFill="1" applyAlignment="1">
      <alignment horizontal="center"/>
    </xf>
    <xf numFmtId="164" fontId="31" fillId="3" borderId="0" xfId="0" applyNumberFormat="1" applyFont="1" applyFill="1" applyAlignment="1">
      <alignment horizontal="center"/>
    </xf>
    <xf numFmtId="164" fontId="18" fillId="3" borderId="0" xfId="0" applyNumberFormat="1" applyFont="1" applyFill="1" applyAlignment="1" applyProtection="1">
      <alignment horizontal="center"/>
      <protection locked="0"/>
    </xf>
    <xf numFmtId="164" fontId="18" fillId="0" borderId="0" xfId="0" applyNumberFormat="1" applyFont="1" applyAlignment="1">
      <alignment horizontal="center"/>
    </xf>
    <xf numFmtId="0" fontId="83" fillId="0" borderId="0" xfId="0" applyFont="1" applyAlignment="1">
      <alignment vertical="center"/>
    </xf>
    <xf numFmtId="1" fontId="8" fillId="9" borderId="0" xfId="5" applyNumberFormat="1" applyFill="1" applyAlignment="1" applyProtection="1">
      <alignment horizontal="center"/>
      <protection locked="0"/>
    </xf>
    <xf numFmtId="0" fontId="3" fillId="0" borderId="0" xfId="3" applyFont="1"/>
    <xf numFmtId="170" fontId="15" fillId="15" borderId="41" xfId="3" applyNumberFormat="1" applyFont="1" applyFill="1" applyBorder="1" applyAlignment="1">
      <alignment horizontal="center" vertical="center"/>
    </xf>
    <xf numFmtId="0" fontId="6" fillId="0" borderId="0" xfId="2" applyAlignment="1" applyProtection="1"/>
    <xf numFmtId="164" fontId="8" fillId="0" borderId="0" xfId="3" applyNumberFormat="1"/>
    <xf numFmtId="167" fontId="156" fillId="15" borderId="0" xfId="2" applyNumberFormat="1" applyFont="1" applyFill="1" applyBorder="1" applyAlignment="1" applyProtection="1"/>
    <xf numFmtId="2" fontId="15" fillId="0" borderId="0" xfId="102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14" fontId="72" fillId="2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14" fontId="45" fillId="22" borderId="0" xfId="0" applyNumberFormat="1" applyFont="1" applyFill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" fontId="153" fillId="0" borderId="0" xfId="5" applyNumberFormat="1" applyFont="1" applyAlignment="1">
      <alignment horizontal="center" vertical="center"/>
    </xf>
    <xf numFmtId="164" fontId="61" fillId="22" borderId="0" xfId="0" applyNumberFormat="1" applyFont="1" applyFill="1" applyAlignment="1">
      <alignment horizontal="right"/>
    </xf>
    <xf numFmtId="0" fontId="81" fillId="9" borderId="0" xfId="0" applyFont="1" applyFill="1"/>
    <xf numFmtId="0" fontId="8" fillId="9" borderId="0" xfId="0" applyFont="1" applyFill="1"/>
    <xf numFmtId="0" fontId="8" fillId="9" borderId="0" xfId="0" applyFont="1" applyFill="1" applyAlignment="1">
      <alignment wrapText="1"/>
    </xf>
    <xf numFmtId="0" fontId="82" fillId="9" borderId="0" xfId="0" applyFont="1" applyFill="1"/>
    <xf numFmtId="0" fontId="8" fillId="9" borderId="0" xfId="0" applyFont="1" applyFill="1" applyAlignment="1">
      <alignment vertical="top"/>
    </xf>
    <xf numFmtId="0" fontId="11" fillId="9" borderId="0" xfId="0" applyFont="1" applyFill="1"/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96" fillId="9" borderId="0" xfId="2" applyFont="1" applyFill="1" applyBorder="1" applyAlignment="1" applyProtection="1">
      <alignment horizontal="center" vertical="center" wrapText="1"/>
    </xf>
    <xf numFmtId="164" fontId="54" fillId="2" borderId="0" xfId="11" applyNumberFormat="1" applyFont="1" applyFill="1" applyAlignment="1">
      <alignment horizontal="center"/>
    </xf>
    <xf numFmtId="167" fontId="6" fillId="0" borderId="0" xfId="2" applyNumberFormat="1" applyFill="1" applyAlignment="1" applyProtection="1">
      <alignment horizontal="center" wrapText="1"/>
    </xf>
    <xf numFmtId="0" fontId="0" fillId="0" borderId="0" xfId="0" applyAlignment="1">
      <alignment horizontal="center" wrapText="1"/>
    </xf>
  </cellXfs>
  <cellStyles count="103">
    <cellStyle name="*" xfId="1" xr:uid="{00000000-0005-0000-0000-000000000000}"/>
    <cellStyle name="* 2" xfId="14" xr:uid="{00000000-0005-0000-0000-000001000000}"/>
    <cellStyle name="20 % - Dekorfärg1" xfId="32" builtinId="30" customBuiltin="1"/>
    <cellStyle name="20 % - Dekorfärg1 2" xfId="79" xr:uid="{55F602AD-71D3-4F53-BDAD-53A05C8AAEE0}"/>
    <cellStyle name="20 % - Dekorfärg1 3" xfId="60" xr:uid="{EC2FE615-EE39-4245-A2EE-7CAC73FACF78}"/>
    <cellStyle name="20 % - Dekorfärg2" xfId="36" builtinId="34" customBuiltin="1"/>
    <cellStyle name="20 % - Dekorfärg2 2" xfId="82" xr:uid="{DC1BC271-4DB7-4232-B419-B4C657A5086B}"/>
    <cellStyle name="20 % - Dekorfärg2 3" xfId="63" xr:uid="{2D091EAE-2D68-4688-92B1-646739B7A6A0}"/>
    <cellStyle name="20 % - Dekorfärg3" xfId="40" builtinId="38" customBuiltin="1"/>
    <cellStyle name="20 % - Dekorfärg3 2" xfId="85" xr:uid="{DEA79C11-E05D-45C6-85B7-43690B1ECE94}"/>
    <cellStyle name="20 % - Dekorfärg3 3" xfId="66" xr:uid="{1A6C998C-AAA1-40F0-85C0-3903BC7375E8}"/>
    <cellStyle name="20 % - Dekorfärg4" xfId="44" builtinId="42" customBuiltin="1"/>
    <cellStyle name="20 % - Dekorfärg4 2" xfId="88" xr:uid="{0392DBD3-82FC-4E5F-BF0D-303FB2DDFD8B}"/>
    <cellStyle name="20 % - Dekorfärg4 3" xfId="69" xr:uid="{E00392C5-124B-4114-87D9-EE3341DFF15F}"/>
    <cellStyle name="20 % - Dekorfärg5" xfId="48" builtinId="46" customBuiltin="1"/>
    <cellStyle name="20 % - Dekorfärg5 2" xfId="91" xr:uid="{DC9CD32F-B78E-4CF6-B9A2-14A794D8790C}"/>
    <cellStyle name="20 % - Dekorfärg5 3" xfId="72" xr:uid="{C7B3C996-8320-49B3-9671-8B890DFE6546}"/>
    <cellStyle name="20 % - Dekorfärg6" xfId="52" builtinId="50" customBuiltin="1"/>
    <cellStyle name="20 % - Dekorfärg6 2" xfId="94" xr:uid="{9FF088E8-9063-4B66-8DDA-EF66E43CA015}"/>
    <cellStyle name="20 % - Dekorfärg6 3" xfId="75" xr:uid="{BB582088-C94D-4C8B-A5FF-717CD804855D}"/>
    <cellStyle name="40 % - Dekorfärg1" xfId="33" builtinId="31" customBuiltin="1"/>
    <cellStyle name="40 % - Dekorfärg1 2" xfId="80" xr:uid="{5993FD7A-7CA5-416C-84D3-8F4513FE4288}"/>
    <cellStyle name="40 % - Dekorfärg1 3" xfId="61" xr:uid="{7E16B6B5-3526-428D-8C39-A7FD492B9608}"/>
    <cellStyle name="40 % - Dekorfärg2" xfId="37" builtinId="35" customBuiltin="1"/>
    <cellStyle name="40 % - Dekorfärg2 2" xfId="83" xr:uid="{7A7F4220-6113-411D-9F43-CC22E8161027}"/>
    <cellStyle name="40 % - Dekorfärg2 3" xfId="64" xr:uid="{C34F7091-853D-41C7-998A-8B3782CD4D7F}"/>
    <cellStyle name="40 % - Dekorfärg3" xfId="41" builtinId="39" customBuiltin="1"/>
    <cellStyle name="40 % - Dekorfärg3 2" xfId="86" xr:uid="{1731008D-B214-4E5E-BE9B-309F84A8C006}"/>
    <cellStyle name="40 % - Dekorfärg3 3" xfId="67" xr:uid="{DAB60819-5414-4EDC-A44B-1A01FE912CB5}"/>
    <cellStyle name="40 % - Dekorfärg4" xfId="45" builtinId="43" customBuiltin="1"/>
    <cellStyle name="40 % - Dekorfärg4 2" xfId="89" xr:uid="{6FE2DDD0-F9DF-4265-98E3-E9187E950054}"/>
    <cellStyle name="40 % - Dekorfärg4 3" xfId="70" xr:uid="{5D3F3F30-C4E6-4C40-AC31-87C38D5CB599}"/>
    <cellStyle name="40 % - Dekorfärg5" xfId="49" builtinId="47" customBuiltin="1"/>
    <cellStyle name="40 % - Dekorfärg5 2" xfId="92" xr:uid="{F8FBBFEB-FE34-4038-98E9-70C9EDCF3A04}"/>
    <cellStyle name="40 % - Dekorfärg5 3" xfId="73" xr:uid="{28CFA97A-02E8-4F11-B3F5-2F5A0BB80F4C}"/>
    <cellStyle name="40 % - Dekorfärg6" xfId="53" builtinId="51" customBuiltin="1"/>
    <cellStyle name="40 % - Dekorfärg6 2" xfId="95" xr:uid="{EECBC52E-CAAB-417D-A803-5C57D5261F18}"/>
    <cellStyle name="40 % - Dekorfärg6 3" xfId="76" xr:uid="{26E60BA6-F1D4-44CA-BF6A-2F2C6827B309}"/>
    <cellStyle name="60 % - Dekorfärg1" xfId="34" builtinId="32" customBuiltin="1"/>
    <cellStyle name="60 % - Dekorfärg1 2" xfId="81" xr:uid="{CA1062C8-9D1B-46E0-AFF0-94182A452BB4}"/>
    <cellStyle name="60 % - Dekorfärg1 3" xfId="62" xr:uid="{13C1BD77-76DB-4A07-B5FC-341E6F5ECA8F}"/>
    <cellStyle name="60 % - Dekorfärg2" xfId="38" builtinId="36" customBuiltin="1"/>
    <cellStyle name="60 % - Dekorfärg2 2" xfId="84" xr:uid="{C2428755-0D51-4512-9F79-794A1A5DA7D4}"/>
    <cellStyle name="60 % - Dekorfärg2 3" xfId="65" xr:uid="{23FC07E5-698E-4247-932F-38C20F853678}"/>
    <cellStyle name="60 % - Dekorfärg3" xfId="42" builtinId="40" customBuiltin="1"/>
    <cellStyle name="60 % - Dekorfärg3 2" xfId="87" xr:uid="{5863B530-BDAB-424E-A080-90F35E4DC218}"/>
    <cellStyle name="60 % - Dekorfärg3 3" xfId="68" xr:uid="{18840751-5F95-49DD-9E66-8C76CF62B7DB}"/>
    <cellStyle name="60 % - Dekorfärg4" xfId="46" builtinId="44" customBuiltin="1"/>
    <cellStyle name="60 % - Dekorfärg4 2" xfId="90" xr:uid="{4C28F2EB-9232-4AA1-8909-A514195C7D81}"/>
    <cellStyle name="60 % - Dekorfärg4 3" xfId="71" xr:uid="{111CB006-06A7-4A26-8843-24AC00B4A02F}"/>
    <cellStyle name="60 % - Dekorfärg5" xfId="50" builtinId="48" customBuiltin="1"/>
    <cellStyle name="60 % - Dekorfärg5 2" xfId="93" xr:uid="{45964BB7-A61E-495B-802E-745A62945D1D}"/>
    <cellStyle name="60 % - Dekorfärg5 3" xfId="74" xr:uid="{E794FF21-D587-43C8-AA52-A2240643B7C6}"/>
    <cellStyle name="60 % - Dekorfärg6" xfId="54" builtinId="52" customBuiltin="1"/>
    <cellStyle name="60 % - Dekorfärg6 2" xfId="96" xr:uid="{D22A9D11-C501-419E-A7B6-0CC9C5731EE6}"/>
    <cellStyle name="60 % - Dekorfärg6 3" xfId="77" xr:uid="{2BE89EFB-907B-4E69-A25C-59F13746C968}"/>
    <cellStyle name="Anteckning 2" xfId="56" xr:uid="{638E4E43-D7A9-40CE-95BD-DAFFCBAFC217}"/>
    <cellStyle name="Anteckning 2 2" xfId="97" xr:uid="{86494122-F871-4C89-9D1E-AAF77F594E17}"/>
    <cellStyle name="Anteckning 3" xfId="59" xr:uid="{49CEE4DA-5924-4328-801E-72601C1AC190}"/>
    <cellStyle name="Beräkning" xfId="25" builtinId="22" customBuiltin="1"/>
    <cellStyle name="Bra" xfId="20" builtinId="26" customBuiltin="1"/>
    <cellStyle name="Dekorfärg1" xfId="31" builtinId="29" customBuiltin="1"/>
    <cellStyle name="Dekorfärg2" xfId="35" builtinId="33" customBuiltin="1"/>
    <cellStyle name="Dekorfärg3" xfId="39" builtinId="37" customBuiltin="1"/>
    <cellStyle name="Dekorfärg4" xfId="43" builtinId="41" customBuiltin="1"/>
    <cellStyle name="Dekorfärg5" xfId="47" builtinId="45" customBuiltin="1"/>
    <cellStyle name="Dekorfärg6" xfId="51" builtinId="49" customBuiltin="1"/>
    <cellStyle name="Dålig" xfId="21" builtinId="27" customBuiltin="1"/>
    <cellStyle name="Förklarande text" xfId="29" builtinId="53" customBuiltin="1"/>
    <cellStyle name="Hyperlänk" xfId="2" builtinId="8"/>
    <cellStyle name="Hyperlänk 2" xfId="12" xr:uid="{00000000-0005-0000-0000-000003000000}"/>
    <cellStyle name="Indata" xfId="23" builtinId="20" customBuiltin="1"/>
    <cellStyle name="Kontrollcell" xfId="27" builtinId="23" customBuiltin="1"/>
    <cellStyle name="Länkad cell" xfId="26" builtinId="24" customBuiltin="1"/>
    <cellStyle name="Neutral" xfId="22" builtinId="28" customBuiltin="1"/>
    <cellStyle name="Normal" xfId="0" builtinId="0"/>
    <cellStyle name="Normal 10" xfId="99" xr:uid="{EC8239F8-9F27-4EC0-9210-BC7B6B8648A4}"/>
    <cellStyle name="Normal 11" xfId="100" xr:uid="{EA55F132-D429-4034-AC1E-638466E093FB}"/>
    <cellStyle name="Normal 12" xfId="101" xr:uid="{A92D84E2-DB90-400F-AECB-5E4F6A9DA5A5}"/>
    <cellStyle name="Normal 13" xfId="102" xr:uid="{6C326E2F-2F91-4D6A-A476-78AEEDCAE3ED}"/>
    <cellStyle name="Normal 2" xfId="3" xr:uid="{00000000-0005-0000-0000-000005000000}"/>
    <cellStyle name="Normal 2 2" xfId="4" xr:uid="{00000000-0005-0000-0000-000006000000}"/>
    <cellStyle name="Normal 3" xfId="5" xr:uid="{00000000-0005-0000-0000-000007000000}"/>
    <cellStyle name="Normal 3 2" xfId="6" xr:uid="{00000000-0005-0000-0000-000008000000}"/>
    <cellStyle name="Normal 4" xfId="7" xr:uid="{00000000-0005-0000-0000-000009000000}"/>
    <cellStyle name="Normal 4 2" xfId="58" xr:uid="{93960098-9E14-4890-984A-586380F2A55C}"/>
    <cellStyle name="Normal 5" xfId="13" xr:uid="{00000000-0005-0000-0000-00000A000000}"/>
    <cellStyle name="Normal 6" xfId="57" xr:uid="{956A5381-9D8B-4D46-AA06-58495E43CDAD}"/>
    <cellStyle name="Normal 7" xfId="55" xr:uid="{0851F253-D934-40AB-A7CA-0019178FACF7}"/>
    <cellStyle name="Normal 8" xfId="78" xr:uid="{F6CA8F87-15A1-4E13-829F-4CD1413A5CB4}"/>
    <cellStyle name="Normal 9" xfId="98" xr:uid="{8B3054A3-9D1A-45D7-97C3-4FF3AA719089}"/>
    <cellStyle name="Normal_H98" xfId="8" xr:uid="{00000000-0005-0000-0000-00000B000000}"/>
    <cellStyle name="Normal_Mall fyskem Ronnebyån månadsrapport" xfId="9" xr:uid="{00000000-0005-0000-0000-00000C000000}"/>
    <cellStyle name="Normal_R01RINN" xfId="10" xr:uid="{00000000-0005-0000-0000-00000D000000}"/>
    <cellStyle name="Normal_R05SJOAR" xfId="11" xr:uid="{00000000-0005-0000-0000-00000E000000}"/>
    <cellStyle name="Rubrik" xfId="15" builtinId="15" customBuiltin="1"/>
    <cellStyle name="Rubrik 1" xfId="16" builtinId="16" customBuiltin="1"/>
    <cellStyle name="Rubrik 2" xfId="17" builtinId="17" customBuiltin="1"/>
    <cellStyle name="Rubrik 3" xfId="18" builtinId="18" customBuiltin="1"/>
    <cellStyle name="Rubrik 4" xfId="19" builtinId="19" customBuiltin="1"/>
    <cellStyle name="Summa" xfId="30" builtinId="25" customBuiltin="1"/>
    <cellStyle name="Utdata" xfId="24" builtinId="21" customBuiltin="1"/>
    <cellStyle name="Varningstext" xfId="28" builtinId="11" customBuiltin="1"/>
  </cellStyles>
  <dxfs count="126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colors>
    <mruColors>
      <color rgb="FF00826F"/>
      <color rgb="FF00A88F"/>
      <color rgb="FF89FFEE"/>
      <color rgb="FFC1EFFF"/>
      <color rgb="FF2DC8FF"/>
      <color rgb="FF0080AF"/>
      <color rgb="FF006859"/>
      <color rgb="FF008A76"/>
      <color rgb="FF009E87"/>
      <color rgb="FF00B4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60364972631339"/>
          <c:y val="0.21388086905803441"/>
          <c:w val="0.7332561481612489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Syreprofiler!$C$8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Syreprofiler!$C$10:$C$26</c:f>
              <c:numCache>
                <c:formatCode>0.0</c:formatCode>
                <c:ptCount val="17"/>
                <c:pt idx="0">
                  <c:v>1.5</c:v>
                </c:pt>
                <c:pt idx="10">
                  <c:v>2</c:v>
                </c:pt>
              </c:numCache>
            </c:numRef>
          </c:xVal>
          <c:yVal>
            <c:numRef>
              <c:f>Syreprofiler!$B$10:$B$26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E-4229-903F-885FCEB20A56}"/>
            </c:ext>
          </c:extLst>
        </c:ser>
        <c:ser>
          <c:idx val="1"/>
          <c:order val="1"/>
          <c:tx>
            <c:strRef>
              <c:f>Syreprofiler!$D$8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Syreprofiler!$D$10:$D$26</c:f>
              <c:numCache>
                <c:formatCode>0.0</c:formatCode>
                <c:ptCount val="17"/>
                <c:pt idx="0">
                  <c:v>13.74</c:v>
                </c:pt>
                <c:pt idx="10">
                  <c:v>13.24</c:v>
                </c:pt>
              </c:numCache>
            </c:numRef>
          </c:xVal>
          <c:yVal>
            <c:numRef>
              <c:f>Syreprofiler!$B$10:$B$26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E-4229-903F-885FCEB2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</a:t>
                </a:r>
                <a:r>
                  <a:rPr lang="sv-SE"/>
                  <a:t>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60364972631339"/>
          <c:y val="0.21388086905803441"/>
          <c:w val="0.7332561481612489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Syreprofiler!$C$71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Syreprofiler!$C$73:$C$89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Syreprofiler!$B$73:$B$89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88-49A7-8013-53B75D8DAD79}"/>
            </c:ext>
          </c:extLst>
        </c:ser>
        <c:ser>
          <c:idx val="1"/>
          <c:order val="1"/>
          <c:tx>
            <c:strRef>
              <c:f>Syreprofiler!$D$71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Syreprofiler!$D$73:$D$89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Syreprofiler!$B$73:$B$89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88-49A7-8013-53B75D8D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</a:t>
                </a:r>
                <a:r>
                  <a:rPr lang="sv-SE"/>
                  <a:t>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6134627873067"/>
          <c:y val="0.21388086905803441"/>
          <c:w val="0.7480984516088317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Syreprofiler!$M$71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Syreprofiler!$M$73:$M$89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Syreprofiler!$L$73:$L$89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1-4EAD-8AF8-FEA63875A4A0}"/>
            </c:ext>
          </c:extLst>
        </c:ser>
        <c:ser>
          <c:idx val="1"/>
          <c:order val="1"/>
          <c:tx>
            <c:strRef>
              <c:f>Syreprofiler!$N$71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Syreprofiler!$N$73:$N$89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Syreprofiler!$L$73:$L$89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B1-4EAD-8AF8-FEA63875A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1391179620309"/>
          <c:y val="0.21388086905803441"/>
          <c:w val="0.7530458860913593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Syreprofiler!$W$71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Syreprofiler!$W$73:$W$89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Syreprofiler!$V$73:$V$89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CB-42A3-8574-659E23803A0F}"/>
            </c:ext>
          </c:extLst>
        </c:ser>
        <c:ser>
          <c:idx val="1"/>
          <c:order val="1"/>
          <c:tx>
            <c:strRef>
              <c:f>Syreprofiler!$X$71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Syreprofiler!$X$73:$X$89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Syreprofiler!$V$73:$V$89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CB-42A3-8574-659E2380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034627366636443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Vattenföring Kävlingeån, Högsmölla</a:t>
            </a:r>
          </a:p>
        </c:rich>
      </c:tx>
      <c:layout>
        <c:manualLayout>
          <c:xMode val="edge"/>
          <c:yMode val="edge"/>
          <c:x val="0.23387171644866706"/>
          <c:y val="2.473037461226437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Vattenföring!$B$99</c:f>
              <c:strCache>
                <c:ptCount val="1"/>
                <c:pt idx="0">
                  <c:v>Kävlingeån, Högsmölla</c:v>
                </c:pt>
              </c:strCache>
            </c:strRef>
          </c:tx>
          <c:marker>
            <c:symbol val="none"/>
          </c:marker>
          <c:cat>
            <c:numRef>
              <c:f>Vattenföring!$A$100:$A$466</c:f>
              <c:numCache>
                <c:formatCode>m/d/yyyy</c:formatCode>
                <c:ptCount val="367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  <c:pt idx="365">
                  <c:v>46023</c:v>
                </c:pt>
              </c:numCache>
            </c:numRef>
          </c:cat>
          <c:val>
            <c:numRef>
              <c:f>Vattenföring!$B$100:$B$466</c:f>
              <c:numCache>
                <c:formatCode>0.0</c:formatCode>
                <c:ptCount val="367"/>
                <c:pt idx="0">
                  <c:v>22</c:v>
                </c:pt>
                <c:pt idx="1">
                  <c:v>32</c:v>
                </c:pt>
                <c:pt idx="2">
                  <c:v>29</c:v>
                </c:pt>
                <c:pt idx="3">
                  <c:v>21</c:v>
                </c:pt>
                <c:pt idx="4">
                  <c:v>14</c:v>
                </c:pt>
                <c:pt idx="5">
                  <c:v>14</c:v>
                </c:pt>
                <c:pt idx="6">
                  <c:v>34</c:v>
                </c:pt>
                <c:pt idx="7">
                  <c:v>35</c:v>
                </c:pt>
                <c:pt idx="8">
                  <c:v>33</c:v>
                </c:pt>
                <c:pt idx="9">
                  <c:v>31</c:v>
                </c:pt>
                <c:pt idx="10">
                  <c:v>30</c:v>
                </c:pt>
                <c:pt idx="11">
                  <c:v>28</c:v>
                </c:pt>
                <c:pt idx="12">
                  <c:v>27</c:v>
                </c:pt>
                <c:pt idx="13">
                  <c:v>26</c:v>
                </c:pt>
                <c:pt idx="14">
                  <c:v>23</c:v>
                </c:pt>
                <c:pt idx="15">
                  <c:v>21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16</c:v>
                </c:pt>
                <c:pt idx="23">
                  <c:v>21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  <c:pt idx="27">
                  <c:v>25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21</c:v>
                </c:pt>
                <c:pt idx="34">
                  <c:v>17</c:v>
                </c:pt>
                <c:pt idx="35">
                  <c:v>14</c:v>
                </c:pt>
                <c:pt idx="36">
                  <c:v>12</c:v>
                </c:pt>
                <c:pt idx="37">
                  <c:v>12</c:v>
                </c:pt>
                <c:pt idx="38">
                  <c:v>14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13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12</c:v>
                </c:pt>
                <c:pt idx="56">
                  <c:v>12</c:v>
                </c:pt>
                <c:pt idx="57">
                  <c:v>11</c:v>
                </c:pt>
                <c:pt idx="58">
                  <c:v>10</c:v>
                </c:pt>
                <c:pt idx="59">
                  <c:v>8.98</c:v>
                </c:pt>
                <c:pt idx="60">
                  <c:v>8.51</c:v>
                </c:pt>
                <c:pt idx="61">
                  <c:v>8.32</c:v>
                </c:pt>
                <c:pt idx="62">
                  <c:v>8.1199999999999992</c:v>
                </c:pt>
                <c:pt idx="63">
                  <c:v>7.76</c:v>
                </c:pt>
                <c:pt idx="64">
                  <c:v>7.53</c:v>
                </c:pt>
                <c:pt idx="65">
                  <c:v>7.29</c:v>
                </c:pt>
                <c:pt idx="66">
                  <c:v>7.02</c:v>
                </c:pt>
                <c:pt idx="67">
                  <c:v>6.84</c:v>
                </c:pt>
                <c:pt idx="68">
                  <c:v>7.19</c:v>
                </c:pt>
                <c:pt idx="69">
                  <c:v>7.31</c:v>
                </c:pt>
                <c:pt idx="70">
                  <c:v>7.26</c:v>
                </c:pt>
                <c:pt idx="71">
                  <c:v>7.45</c:v>
                </c:pt>
                <c:pt idx="72">
                  <c:v>7.58</c:v>
                </c:pt>
                <c:pt idx="73">
                  <c:v>6.51</c:v>
                </c:pt>
                <c:pt idx="74">
                  <c:v>6.04</c:v>
                </c:pt>
                <c:pt idx="75">
                  <c:v>5.86</c:v>
                </c:pt>
                <c:pt idx="76">
                  <c:v>5.69</c:v>
                </c:pt>
                <c:pt idx="77">
                  <c:v>6.22</c:v>
                </c:pt>
                <c:pt idx="78">
                  <c:v>6.39</c:v>
                </c:pt>
                <c:pt idx="79">
                  <c:v>6.37</c:v>
                </c:pt>
                <c:pt idx="80">
                  <c:v>6.24</c:v>
                </c:pt>
                <c:pt idx="81">
                  <c:v>6.07</c:v>
                </c:pt>
                <c:pt idx="82">
                  <c:v>5.86</c:v>
                </c:pt>
                <c:pt idx="83">
                  <c:v>5.87</c:v>
                </c:pt>
                <c:pt idx="84">
                  <c:v>5.83</c:v>
                </c:pt>
                <c:pt idx="85">
                  <c:v>5.26</c:v>
                </c:pt>
                <c:pt idx="86">
                  <c:v>4.91</c:v>
                </c:pt>
                <c:pt idx="87">
                  <c:v>4.95</c:v>
                </c:pt>
                <c:pt idx="88">
                  <c:v>5.2</c:v>
                </c:pt>
                <c:pt idx="89">
                  <c:v>5.3</c:v>
                </c:pt>
                <c:pt idx="90">
                  <c:v>5.0999999999999996</c:v>
                </c:pt>
                <c:pt idx="91">
                  <c:v>5.01</c:v>
                </c:pt>
                <c:pt idx="92">
                  <c:v>4.78</c:v>
                </c:pt>
                <c:pt idx="93">
                  <c:v>4.8099999999999996</c:v>
                </c:pt>
                <c:pt idx="94">
                  <c:v>4.57</c:v>
                </c:pt>
                <c:pt idx="95">
                  <c:v>4.4000000000000004</c:v>
                </c:pt>
                <c:pt idx="96">
                  <c:v>4.28</c:v>
                </c:pt>
                <c:pt idx="97">
                  <c:v>4.22</c:v>
                </c:pt>
                <c:pt idx="98">
                  <c:v>4.0999999999999996</c:v>
                </c:pt>
                <c:pt idx="99">
                  <c:v>3.92</c:v>
                </c:pt>
                <c:pt idx="100">
                  <c:v>4</c:v>
                </c:pt>
                <c:pt idx="101">
                  <c:v>3.92</c:v>
                </c:pt>
                <c:pt idx="102">
                  <c:v>4.07</c:v>
                </c:pt>
                <c:pt idx="103">
                  <c:v>3.92</c:v>
                </c:pt>
                <c:pt idx="104">
                  <c:v>3.85</c:v>
                </c:pt>
                <c:pt idx="105">
                  <c:v>3.86</c:v>
                </c:pt>
                <c:pt idx="106">
                  <c:v>3.64</c:v>
                </c:pt>
                <c:pt idx="107">
                  <c:v>3.68</c:v>
                </c:pt>
                <c:pt idx="108">
                  <c:v>3.59</c:v>
                </c:pt>
                <c:pt idx="109">
                  <c:v>3.54</c:v>
                </c:pt>
                <c:pt idx="110">
                  <c:v>3.42</c:v>
                </c:pt>
                <c:pt idx="111">
                  <c:v>3.3</c:v>
                </c:pt>
                <c:pt idx="112">
                  <c:v>3.22</c:v>
                </c:pt>
                <c:pt idx="113">
                  <c:v>3.25</c:v>
                </c:pt>
                <c:pt idx="114">
                  <c:v>3.09</c:v>
                </c:pt>
                <c:pt idx="115">
                  <c:v>3.07</c:v>
                </c:pt>
                <c:pt idx="116">
                  <c:v>3.06</c:v>
                </c:pt>
                <c:pt idx="117">
                  <c:v>2.83</c:v>
                </c:pt>
                <c:pt idx="118">
                  <c:v>2.68</c:v>
                </c:pt>
                <c:pt idx="119">
                  <c:v>2.63</c:v>
                </c:pt>
                <c:pt idx="120">
                  <c:v>2.5499999999999998</c:v>
                </c:pt>
                <c:pt idx="121">
                  <c:v>2.44</c:v>
                </c:pt>
                <c:pt idx="122">
                  <c:v>2.69</c:v>
                </c:pt>
                <c:pt idx="123">
                  <c:v>3.9</c:v>
                </c:pt>
                <c:pt idx="124">
                  <c:v>3.94</c:v>
                </c:pt>
                <c:pt idx="125">
                  <c:v>3.63</c:v>
                </c:pt>
                <c:pt idx="126">
                  <c:v>3.31</c:v>
                </c:pt>
                <c:pt idx="127">
                  <c:v>3.09</c:v>
                </c:pt>
                <c:pt idx="128">
                  <c:v>2.82</c:v>
                </c:pt>
                <c:pt idx="129">
                  <c:v>2.6</c:v>
                </c:pt>
                <c:pt idx="130">
                  <c:v>2.4700000000000002</c:v>
                </c:pt>
                <c:pt idx="131">
                  <c:v>2.39</c:v>
                </c:pt>
                <c:pt idx="132">
                  <c:v>2.37</c:v>
                </c:pt>
                <c:pt idx="133">
                  <c:v>2.33</c:v>
                </c:pt>
                <c:pt idx="134">
                  <c:v>2.25</c:v>
                </c:pt>
                <c:pt idx="135">
                  <c:v>2.12</c:v>
                </c:pt>
                <c:pt idx="136">
                  <c:v>2.0299999999999998</c:v>
                </c:pt>
                <c:pt idx="137">
                  <c:v>1.93</c:v>
                </c:pt>
                <c:pt idx="138">
                  <c:v>1.9</c:v>
                </c:pt>
                <c:pt idx="139">
                  <c:v>1.89</c:v>
                </c:pt>
                <c:pt idx="140">
                  <c:v>1.8</c:v>
                </c:pt>
                <c:pt idx="141">
                  <c:v>1.79</c:v>
                </c:pt>
                <c:pt idx="142">
                  <c:v>1.94</c:v>
                </c:pt>
                <c:pt idx="143">
                  <c:v>1.76</c:v>
                </c:pt>
                <c:pt idx="144">
                  <c:v>1.99</c:v>
                </c:pt>
                <c:pt idx="145">
                  <c:v>2.21</c:v>
                </c:pt>
                <c:pt idx="146">
                  <c:v>2.19</c:v>
                </c:pt>
                <c:pt idx="147">
                  <c:v>2.19</c:v>
                </c:pt>
                <c:pt idx="148">
                  <c:v>2.15</c:v>
                </c:pt>
                <c:pt idx="149">
                  <c:v>2.11</c:v>
                </c:pt>
                <c:pt idx="150">
                  <c:v>2.06</c:v>
                </c:pt>
                <c:pt idx="151">
                  <c:v>2.02</c:v>
                </c:pt>
                <c:pt idx="152">
                  <c:v>2.11</c:v>
                </c:pt>
                <c:pt idx="153">
                  <c:v>2.1</c:v>
                </c:pt>
                <c:pt idx="154">
                  <c:v>2.1</c:v>
                </c:pt>
                <c:pt idx="155">
                  <c:v>2</c:v>
                </c:pt>
                <c:pt idx="156">
                  <c:v>2.0299999999999998</c:v>
                </c:pt>
                <c:pt idx="157">
                  <c:v>1.83</c:v>
                </c:pt>
                <c:pt idx="158">
                  <c:v>1.98</c:v>
                </c:pt>
                <c:pt idx="159">
                  <c:v>1.99</c:v>
                </c:pt>
                <c:pt idx="160">
                  <c:v>2.2799999999999998</c:v>
                </c:pt>
                <c:pt idx="161">
                  <c:v>2.23</c:v>
                </c:pt>
                <c:pt idx="162">
                  <c:v>2.17</c:v>
                </c:pt>
                <c:pt idx="163">
                  <c:v>2.04</c:v>
                </c:pt>
                <c:pt idx="164">
                  <c:v>1.96</c:v>
                </c:pt>
                <c:pt idx="165">
                  <c:v>1.88</c:v>
                </c:pt>
                <c:pt idx="166">
                  <c:v>1.76</c:v>
                </c:pt>
                <c:pt idx="167">
                  <c:v>1.58</c:v>
                </c:pt>
                <c:pt idx="168">
                  <c:v>1.46</c:v>
                </c:pt>
                <c:pt idx="169">
                  <c:v>1.4</c:v>
                </c:pt>
                <c:pt idx="170">
                  <c:v>1.24</c:v>
                </c:pt>
                <c:pt idx="171">
                  <c:v>1.18</c:v>
                </c:pt>
                <c:pt idx="172">
                  <c:v>1.1299999999999999</c:v>
                </c:pt>
                <c:pt idx="173">
                  <c:v>1.07</c:v>
                </c:pt>
                <c:pt idx="174">
                  <c:v>1.1599999999999999</c:v>
                </c:pt>
                <c:pt idx="175">
                  <c:v>1.1599999999999999</c:v>
                </c:pt>
                <c:pt idx="176">
                  <c:v>1.1399999999999999</c:v>
                </c:pt>
                <c:pt idx="177">
                  <c:v>1.17</c:v>
                </c:pt>
                <c:pt idx="178">
                  <c:v>1.1100000000000001</c:v>
                </c:pt>
                <c:pt idx="179">
                  <c:v>1.07</c:v>
                </c:pt>
                <c:pt idx="180">
                  <c:v>0.95599999999999996</c:v>
                </c:pt>
                <c:pt idx="181">
                  <c:v>0.78200000000000003</c:v>
                </c:pt>
                <c:pt idx="182">
                  <c:v>0.57799999999999996</c:v>
                </c:pt>
                <c:pt idx="183">
                  <c:v>0.54500000000000004</c:v>
                </c:pt>
                <c:pt idx="184">
                  <c:v>0.58099999999999996</c:v>
                </c:pt>
                <c:pt idx="185">
                  <c:v>0.60499999999999998</c:v>
                </c:pt>
                <c:pt idx="186">
                  <c:v>0.79800000000000004</c:v>
                </c:pt>
                <c:pt idx="187">
                  <c:v>1.02</c:v>
                </c:pt>
                <c:pt idx="188">
                  <c:v>0.86399999999999999</c:v>
                </c:pt>
                <c:pt idx="189">
                  <c:v>0.876</c:v>
                </c:pt>
                <c:pt idx="190">
                  <c:v>0.91500000000000004</c:v>
                </c:pt>
                <c:pt idx="191">
                  <c:v>1.1000000000000001</c:v>
                </c:pt>
                <c:pt idx="192">
                  <c:v>1.1499999999999999</c:v>
                </c:pt>
                <c:pt idx="193">
                  <c:v>1.23</c:v>
                </c:pt>
                <c:pt idx="194">
                  <c:v>1.25</c:v>
                </c:pt>
                <c:pt idx="195">
                  <c:v>1.24</c:v>
                </c:pt>
                <c:pt idx="196">
                  <c:v>1.25</c:v>
                </c:pt>
                <c:pt idx="197">
                  <c:v>1.28</c:v>
                </c:pt>
                <c:pt idx="198">
                  <c:v>1.3</c:v>
                </c:pt>
                <c:pt idx="199">
                  <c:v>1.27</c:v>
                </c:pt>
                <c:pt idx="200">
                  <c:v>1.18</c:v>
                </c:pt>
                <c:pt idx="201">
                  <c:v>1.19</c:v>
                </c:pt>
                <c:pt idx="202">
                  <c:v>1.29</c:v>
                </c:pt>
                <c:pt idx="203">
                  <c:v>1.24</c:v>
                </c:pt>
                <c:pt idx="204">
                  <c:v>0.92800000000000005</c:v>
                </c:pt>
                <c:pt idx="205">
                  <c:v>0.71</c:v>
                </c:pt>
                <c:pt idx="206">
                  <c:v>0.71099999999999997</c:v>
                </c:pt>
                <c:pt idx="207">
                  <c:v>0.61499999999999999</c:v>
                </c:pt>
                <c:pt idx="208">
                  <c:v>0.67900000000000005</c:v>
                </c:pt>
                <c:pt idx="209">
                  <c:v>0.56000000000000005</c:v>
                </c:pt>
                <c:pt idx="210">
                  <c:v>0.59799999999999998</c:v>
                </c:pt>
                <c:pt idx="211">
                  <c:v>0.60399999999999998</c:v>
                </c:pt>
                <c:pt idx="212">
                  <c:v>0.62</c:v>
                </c:pt>
                <c:pt idx="213">
                  <c:v>0.68799999999999994</c:v>
                </c:pt>
                <c:pt idx="214">
                  <c:v>0.60299999999999998</c:v>
                </c:pt>
                <c:pt idx="215">
                  <c:v>0.90300000000000002</c:v>
                </c:pt>
                <c:pt idx="216">
                  <c:v>1.03</c:v>
                </c:pt>
                <c:pt idx="217">
                  <c:v>1.06</c:v>
                </c:pt>
                <c:pt idx="218">
                  <c:v>0.995</c:v>
                </c:pt>
                <c:pt idx="219">
                  <c:v>0.92500000000000004</c:v>
                </c:pt>
                <c:pt idx="220">
                  <c:v>0.85399999999999998</c:v>
                </c:pt>
                <c:pt idx="221">
                  <c:v>0.70899999999999996</c:v>
                </c:pt>
                <c:pt idx="222">
                  <c:v>0.57499999999999996</c:v>
                </c:pt>
                <c:pt idx="223">
                  <c:v>0.55300000000000005</c:v>
                </c:pt>
                <c:pt idx="224">
                  <c:v>0.54400000000000004</c:v>
                </c:pt>
                <c:pt idx="225">
                  <c:v>0.53100000000000003</c:v>
                </c:pt>
                <c:pt idx="226">
                  <c:v>0.52</c:v>
                </c:pt>
                <c:pt idx="227">
                  <c:v>0.5</c:v>
                </c:pt>
                <c:pt idx="228">
                  <c:v>0.5</c:v>
                </c:pt>
                <c:pt idx="229">
                  <c:v>0.48799999999999999</c:v>
                </c:pt>
                <c:pt idx="230">
                  <c:v>0.56200000000000006</c:v>
                </c:pt>
                <c:pt idx="231">
                  <c:v>0.56100000000000005</c:v>
                </c:pt>
                <c:pt idx="232">
                  <c:v>0.55300000000000005</c:v>
                </c:pt>
                <c:pt idx="233">
                  <c:v>0.58099999999999996</c:v>
                </c:pt>
                <c:pt idx="234">
                  <c:v>0.86899999999999999</c:v>
                </c:pt>
                <c:pt idx="235">
                  <c:v>0.74199999999999999</c:v>
                </c:pt>
                <c:pt idx="236">
                  <c:v>0.82299999999999995</c:v>
                </c:pt>
                <c:pt idx="237">
                  <c:v>0.68700000000000006</c:v>
                </c:pt>
                <c:pt idx="238">
                  <c:v>0.8</c:v>
                </c:pt>
                <c:pt idx="239">
                  <c:v>0.93799999999999994</c:v>
                </c:pt>
                <c:pt idx="240">
                  <c:v>0.92600000000000005</c:v>
                </c:pt>
                <c:pt idx="241">
                  <c:v>0.84699999999999998</c:v>
                </c:pt>
                <c:pt idx="242">
                  <c:v>0.71299999999999997</c:v>
                </c:pt>
                <c:pt idx="243">
                  <c:v>0.56100000000000005</c:v>
                </c:pt>
                <c:pt idx="244">
                  <c:v>0.54</c:v>
                </c:pt>
                <c:pt idx="245">
                  <c:v>0.59099999999999997</c:v>
                </c:pt>
                <c:pt idx="246">
                  <c:v>0.55600000000000005</c:v>
                </c:pt>
                <c:pt idx="247">
                  <c:v>0.97299999999999998</c:v>
                </c:pt>
                <c:pt idx="248">
                  <c:v>0.63300000000000001</c:v>
                </c:pt>
                <c:pt idx="249">
                  <c:v>0.67600000000000005</c:v>
                </c:pt>
                <c:pt idx="250">
                  <c:v>0.60599999999999998</c:v>
                </c:pt>
                <c:pt idx="251">
                  <c:v>0.58699999999999997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F-4ED7-9C9C-64C5CFBE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265792"/>
        <c:axId val="231267328"/>
      </c:lineChart>
      <c:catAx>
        <c:axId val="231265792"/>
        <c:scaling>
          <c:orientation val="minMax"/>
        </c:scaling>
        <c:delete val="0"/>
        <c:axPos val="b"/>
        <c:numFmt formatCode="yyyy/mm/dd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31267328"/>
        <c:crosses val="autoZero"/>
        <c:auto val="0"/>
        <c:lblAlgn val="ctr"/>
        <c:lblOffset val="100"/>
        <c:tickLblSkip val="30"/>
        <c:tickMarkSkip val="30"/>
        <c:noMultiLvlLbl val="0"/>
      </c:catAx>
      <c:valAx>
        <c:axId val="231267328"/>
        <c:scaling>
          <c:orientation val="minMax"/>
          <c:max val="1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m</a:t>
                </a:r>
                <a:r>
                  <a:rPr lang="sv-SE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  <a:r>
                  <a:rPr lang="sv-SE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/s</a:t>
                </a:r>
              </a:p>
            </c:rich>
          </c:tx>
          <c:layout>
            <c:manualLayout>
              <c:xMode val="edge"/>
              <c:yMode val="edge"/>
              <c:x val="8.3067092651757185E-2"/>
              <c:y val="4.3434335106017512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31265792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Tot-P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971685357512131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Statistik!$L$8</c:f>
              <c:strCache>
                <c:ptCount val="1"/>
                <c:pt idx="0">
                  <c:v>Tot-P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Statistik!$L$9:$L$192</c:f>
              <c:numCache>
                <c:formatCode>0</c:formatCode>
                <c:ptCount val="184"/>
                <c:pt idx="1">
                  <c:v>68</c:v>
                </c:pt>
                <c:pt idx="2">
                  <c:v>68</c:v>
                </c:pt>
                <c:pt idx="3">
                  <c:v>64</c:v>
                </c:pt>
                <c:pt idx="4">
                  <c:v>20</c:v>
                </c:pt>
                <c:pt idx="5">
                  <c:v>42</c:v>
                </c:pt>
                <c:pt idx="6">
                  <c:v>70</c:v>
                </c:pt>
                <c:pt idx="7">
                  <c:v>110</c:v>
                </c:pt>
                <c:pt idx="8">
                  <c:v>86</c:v>
                </c:pt>
                <c:pt idx="9">
                  <c:v>61</c:v>
                </c:pt>
                <c:pt idx="10">
                  <c:v>47</c:v>
                </c:pt>
                <c:pt idx="11">
                  <c:v>100</c:v>
                </c:pt>
                <c:pt idx="12">
                  <c:v>54</c:v>
                </c:pt>
                <c:pt idx="13">
                  <c:v>56</c:v>
                </c:pt>
                <c:pt idx="14">
                  <c:v>63</c:v>
                </c:pt>
                <c:pt idx="15">
                  <c:v>65</c:v>
                </c:pt>
                <c:pt idx="16">
                  <c:v>34</c:v>
                </c:pt>
                <c:pt idx="17">
                  <c:v>42</c:v>
                </c:pt>
                <c:pt idx="18">
                  <c:v>120</c:v>
                </c:pt>
                <c:pt idx="19">
                  <c:v>82</c:v>
                </c:pt>
                <c:pt idx="20">
                  <c:v>67</c:v>
                </c:pt>
                <c:pt idx="21">
                  <c:v>62</c:v>
                </c:pt>
                <c:pt idx="22">
                  <c:v>63</c:v>
                </c:pt>
                <c:pt idx="23">
                  <c:v>54</c:v>
                </c:pt>
                <c:pt idx="24">
                  <c:v>83</c:v>
                </c:pt>
                <c:pt idx="25">
                  <c:v>64</c:v>
                </c:pt>
                <c:pt idx="26">
                  <c:v>55</c:v>
                </c:pt>
                <c:pt idx="27">
                  <c:v>49</c:v>
                </c:pt>
                <c:pt idx="28">
                  <c:v>36</c:v>
                </c:pt>
                <c:pt idx="29">
                  <c:v>44</c:v>
                </c:pt>
                <c:pt idx="30">
                  <c:v>66</c:v>
                </c:pt>
                <c:pt idx="31">
                  <c:v>76</c:v>
                </c:pt>
                <c:pt idx="32">
                  <c:v>62</c:v>
                </c:pt>
                <c:pt idx="33">
                  <c:v>81</c:v>
                </c:pt>
                <c:pt idx="34">
                  <c:v>92</c:v>
                </c:pt>
                <c:pt idx="35">
                  <c:v>90</c:v>
                </c:pt>
                <c:pt idx="36">
                  <c:v>84</c:v>
                </c:pt>
                <c:pt idx="37">
                  <c:v>68</c:v>
                </c:pt>
                <c:pt idx="38">
                  <c:v>60</c:v>
                </c:pt>
                <c:pt idx="39">
                  <c:v>44</c:v>
                </c:pt>
                <c:pt idx="40">
                  <c:v>26</c:v>
                </c:pt>
                <c:pt idx="41">
                  <c:v>47</c:v>
                </c:pt>
                <c:pt idx="42">
                  <c:v>73</c:v>
                </c:pt>
                <c:pt idx="43">
                  <c:v>64</c:v>
                </c:pt>
                <c:pt idx="44">
                  <c:v>84</c:v>
                </c:pt>
                <c:pt idx="45">
                  <c:v>68</c:v>
                </c:pt>
                <c:pt idx="46">
                  <c:v>73</c:v>
                </c:pt>
                <c:pt idx="47">
                  <c:v>73</c:v>
                </c:pt>
                <c:pt idx="48">
                  <c:v>70</c:v>
                </c:pt>
                <c:pt idx="49">
                  <c:v>67</c:v>
                </c:pt>
                <c:pt idx="50">
                  <c:v>72</c:v>
                </c:pt>
                <c:pt idx="51">
                  <c:v>34</c:v>
                </c:pt>
                <c:pt idx="52">
                  <c:v>42</c:v>
                </c:pt>
                <c:pt idx="53">
                  <c:v>40</c:v>
                </c:pt>
                <c:pt idx="54">
                  <c:v>58</c:v>
                </c:pt>
                <c:pt idx="55">
                  <c:v>73</c:v>
                </c:pt>
                <c:pt idx="56">
                  <c:v>75</c:v>
                </c:pt>
                <c:pt idx="57">
                  <c:v>59</c:v>
                </c:pt>
                <c:pt idx="58">
                  <c:v>90</c:v>
                </c:pt>
                <c:pt idx="59">
                  <c:v>73</c:v>
                </c:pt>
                <c:pt idx="60">
                  <c:v>69</c:v>
                </c:pt>
                <c:pt idx="61">
                  <c:v>79</c:v>
                </c:pt>
                <c:pt idx="62">
                  <c:v>56</c:v>
                </c:pt>
                <c:pt idx="63">
                  <c:v>46</c:v>
                </c:pt>
                <c:pt idx="64">
                  <c:v>32</c:v>
                </c:pt>
                <c:pt idx="65">
                  <c:v>38</c:v>
                </c:pt>
                <c:pt idx="66">
                  <c:v>60</c:v>
                </c:pt>
                <c:pt idx="67">
                  <c:v>57</c:v>
                </c:pt>
                <c:pt idx="68">
                  <c:v>65</c:v>
                </c:pt>
                <c:pt idx="69">
                  <c:v>59</c:v>
                </c:pt>
                <c:pt idx="70">
                  <c:v>47</c:v>
                </c:pt>
                <c:pt idx="71">
                  <c:v>68</c:v>
                </c:pt>
                <c:pt idx="72">
                  <c:v>68</c:v>
                </c:pt>
                <c:pt idx="73">
                  <c:v>65</c:v>
                </c:pt>
                <c:pt idx="74">
                  <c:v>69</c:v>
                </c:pt>
                <c:pt idx="75">
                  <c:v>46</c:v>
                </c:pt>
                <c:pt idx="76">
                  <c:v>28</c:v>
                </c:pt>
                <c:pt idx="77">
                  <c:v>41</c:v>
                </c:pt>
                <c:pt idx="78">
                  <c:v>54</c:v>
                </c:pt>
                <c:pt idx="79">
                  <c:v>110</c:v>
                </c:pt>
                <c:pt idx="80">
                  <c:v>48</c:v>
                </c:pt>
                <c:pt idx="81">
                  <c:v>79</c:v>
                </c:pt>
                <c:pt idx="82">
                  <c:v>65</c:v>
                </c:pt>
                <c:pt idx="83">
                  <c:v>96</c:v>
                </c:pt>
                <c:pt idx="84">
                  <c:v>44</c:v>
                </c:pt>
                <c:pt idx="85">
                  <c:v>58</c:v>
                </c:pt>
                <c:pt idx="86">
                  <c:v>51</c:v>
                </c:pt>
                <c:pt idx="87">
                  <c:v>42</c:v>
                </c:pt>
                <c:pt idx="88">
                  <c:v>32</c:v>
                </c:pt>
                <c:pt idx="89">
                  <c:v>39</c:v>
                </c:pt>
                <c:pt idx="90">
                  <c:v>66</c:v>
                </c:pt>
                <c:pt idx="91">
                  <c:v>56</c:v>
                </c:pt>
                <c:pt idx="92">
                  <c:v>72</c:v>
                </c:pt>
                <c:pt idx="93">
                  <c:v>97</c:v>
                </c:pt>
                <c:pt idx="94">
                  <c:v>67</c:v>
                </c:pt>
                <c:pt idx="95">
                  <c:v>65</c:v>
                </c:pt>
                <c:pt idx="96">
                  <c:v>65</c:v>
                </c:pt>
                <c:pt idx="97">
                  <c:v>78</c:v>
                </c:pt>
                <c:pt idx="98">
                  <c:v>60</c:v>
                </c:pt>
                <c:pt idx="99">
                  <c:v>100</c:v>
                </c:pt>
                <c:pt idx="100">
                  <c:v>40</c:v>
                </c:pt>
                <c:pt idx="101">
                  <c:v>39</c:v>
                </c:pt>
                <c:pt idx="102">
                  <c:v>58</c:v>
                </c:pt>
                <c:pt idx="103">
                  <c:v>59</c:v>
                </c:pt>
                <c:pt idx="104">
                  <c:v>61</c:v>
                </c:pt>
                <c:pt idx="105">
                  <c:v>60</c:v>
                </c:pt>
                <c:pt idx="106">
                  <c:v>58</c:v>
                </c:pt>
                <c:pt idx="107">
                  <c:v>59</c:v>
                </c:pt>
                <c:pt idx="108">
                  <c:v>58</c:v>
                </c:pt>
                <c:pt idx="109">
                  <c:v>56</c:v>
                </c:pt>
                <c:pt idx="110">
                  <c:v>58</c:v>
                </c:pt>
                <c:pt idx="111">
                  <c:v>59</c:v>
                </c:pt>
                <c:pt idx="112">
                  <c:v>21</c:v>
                </c:pt>
                <c:pt idx="113">
                  <c:v>47</c:v>
                </c:pt>
                <c:pt idx="114">
                  <c:v>62</c:v>
                </c:pt>
                <c:pt idx="115">
                  <c:v>50</c:v>
                </c:pt>
                <c:pt idx="116">
                  <c:v>71</c:v>
                </c:pt>
                <c:pt idx="117">
                  <c:v>63</c:v>
                </c:pt>
                <c:pt idx="118">
                  <c:v>37</c:v>
                </c:pt>
                <c:pt idx="119">
                  <c:v>54</c:v>
                </c:pt>
                <c:pt idx="120">
                  <c:v>110</c:v>
                </c:pt>
                <c:pt idx="121">
                  <c:v>99</c:v>
                </c:pt>
                <c:pt idx="122">
                  <c:v>120</c:v>
                </c:pt>
                <c:pt idx="123">
                  <c:v>56</c:v>
                </c:pt>
                <c:pt idx="124">
                  <c:v>50</c:v>
                </c:pt>
                <c:pt idx="125">
                  <c:v>48</c:v>
                </c:pt>
                <c:pt idx="126">
                  <c:v>56</c:v>
                </c:pt>
                <c:pt idx="127">
                  <c:v>49</c:v>
                </c:pt>
                <c:pt idx="128">
                  <c:v>77</c:v>
                </c:pt>
                <c:pt idx="129">
                  <c:v>53</c:v>
                </c:pt>
                <c:pt idx="130">
                  <c:v>66</c:v>
                </c:pt>
                <c:pt idx="131">
                  <c:v>57</c:v>
                </c:pt>
                <c:pt idx="132">
                  <c:v>60</c:v>
                </c:pt>
                <c:pt idx="133">
                  <c:v>83</c:v>
                </c:pt>
                <c:pt idx="134">
                  <c:v>67</c:v>
                </c:pt>
                <c:pt idx="135">
                  <c:v>40</c:v>
                </c:pt>
                <c:pt idx="136">
                  <c:v>51</c:v>
                </c:pt>
                <c:pt idx="137">
                  <c:v>58</c:v>
                </c:pt>
                <c:pt idx="138">
                  <c:v>80</c:v>
                </c:pt>
                <c:pt idx="139">
                  <c:v>86</c:v>
                </c:pt>
                <c:pt idx="140">
                  <c:v>69</c:v>
                </c:pt>
                <c:pt idx="141">
                  <c:v>76</c:v>
                </c:pt>
                <c:pt idx="142">
                  <c:v>67</c:v>
                </c:pt>
                <c:pt idx="143">
                  <c:v>80</c:v>
                </c:pt>
                <c:pt idx="144">
                  <c:v>68</c:v>
                </c:pt>
                <c:pt idx="145">
                  <c:v>72</c:v>
                </c:pt>
                <c:pt idx="146">
                  <c:v>57</c:v>
                </c:pt>
                <c:pt idx="147">
                  <c:v>49</c:v>
                </c:pt>
                <c:pt idx="148">
                  <c:v>39</c:v>
                </c:pt>
                <c:pt idx="149">
                  <c:v>40</c:v>
                </c:pt>
                <c:pt idx="150">
                  <c:v>69</c:v>
                </c:pt>
                <c:pt idx="151">
                  <c:v>57</c:v>
                </c:pt>
                <c:pt idx="152">
                  <c:v>70</c:v>
                </c:pt>
                <c:pt idx="153">
                  <c:v>56</c:v>
                </c:pt>
                <c:pt idx="154">
                  <c:v>61</c:v>
                </c:pt>
                <c:pt idx="155">
                  <c:v>81</c:v>
                </c:pt>
                <c:pt idx="156">
                  <c:v>82</c:v>
                </c:pt>
                <c:pt idx="157">
                  <c:v>79</c:v>
                </c:pt>
                <c:pt idx="158">
                  <c:v>51</c:v>
                </c:pt>
                <c:pt idx="159">
                  <c:v>40</c:v>
                </c:pt>
                <c:pt idx="160">
                  <c:v>30</c:v>
                </c:pt>
                <c:pt idx="161">
                  <c:v>41</c:v>
                </c:pt>
                <c:pt idx="162">
                  <c:v>62</c:v>
                </c:pt>
                <c:pt idx="163">
                  <c:v>67</c:v>
                </c:pt>
                <c:pt idx="164">
                  <c:v>96</c:v>
                </c:pt>
                <c:pt idx="165">
                  <c:v>67</c:v>
                </c:pt>
                <c:pt idx="166">
                  <c:v>83</c:v>
                </c:pt>
                <c:pt idx="167">
                  <c:v>64</c:v>
                </c:pt>
                <c:pt idx="168">
                  <c:v>75</c:v>
                </c:pt>
                <c:pt idx="169">
                  <c:v>63</c:v>
                </c:pt>
                <c:pt idx="170">
                  <c:v>58</c:v>
                </c:pt>
                <c:pt idx="171">
                  <c:v>48</c:v>
                </c:pt>
                <c:pt idx="172">
                  <c:v>42</c:v>
                </c:pt>
                <c:pt idx="173">
                  <c:v>48</c:v>
                </c:pt>
                <c:pt idx="174">
                  <c:v>60</c:v>
                </c:pt>
                <c:pt idx="175">
                  <c:v>65</c:v>
                </c:pt>
                <c:pt idx="176">
                  <c:v>70</c:v>
                </c:pt>
                <c:pt idx="177">
                  <c:v>98</c:v>
                </c:pt>
                <c:pt idx="178">
                  <c:v>74</c:v>
                </c:pt>
                <c:pt idx="179">
                  <c:v>75</c:v>
                </c:pt>
                <c:pt idx="180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C-419C-97F8-BCE939837A71}"/>
            </c:ext>
          </c:extLst>
        </c:ser>
        <c:ser>
          <c:idx val="1"/>
          <c:order val="1"/>
          <c:tx>
            <c:strRef>
              <c:f>Statistik!$AW$8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Statistik!$AW$9:$AW$192</c:f>
              <c:numCache>
                <c:formatCode>0</c:formatCode>
                <c:ptCount val="184"/>
                <c:pt idx="0">
                  <c:v>62.766666666666666</c:v>
                </c:pt>
                <c:pt idx="1">
                  <c:v>62.766666666666666</c:v>
                </c:pt>
                <c:pt idx="2">
                  <c:v>62.766666666666666</c:v>
                </c:pt>
                <c:pt idx="3">
                  <c:v>62.766666666666666</c:v>
                </c:pt>
                <c:pt idx="4">
                  <c:v>62.766666666666666</c:v>
                </c:pt>
                <c:pt idx="5">
                  <c:v>62.766666666666666</c:v>
                </c:pt>
                <c:pt idx="6">
                  <c:v>62.766666666666666</c:v>
                </c:pt>
                <c:pt idx="7">
                  <c:v>62.766666666666666</c:v>
                </c:pt>
                <c:pt idx="8">
                  <c:v>62.766666666666666</c:v>
                </c:pt>
                <c:pt idx="9">
                  <c:v>62.766666666666666</c:v>
                </c:pt>
                <c:pt idx="10">
                  <c:v>62.766666666666666</c:v>
                </c:pt>
                <c:pt idx="11">
                  <c:v>62.766666666666666</c:v>
                </c:pt>
                <c:pt idx="12">
                  <c:v>62.766666666666666</c:v>
                </c:pt>
                <c:pt idx="13">
                  <c:v>62.766666666666666</c:v>
                </c:pt>
                <c:pt idx="14">
                  <c:v>62.766666666666666</c:v>
                </c:pt>
                <c:pt idx="15">
                  <c:v>62.766666666666666</c:v>
                </c:pt>
                <c:pt idx="16">
                  <c:v>62.766666666666666</c:v>
                </c:pt>
                <c:pt idx="17">
                  <c:v>62.766666666666666</c:v>
                </c:pt>
                <c:pt idx="18">
                  <c:v>62.766666666666666</c:v>
                </c:pt>
                <c:pt idx="19">
                  <c:v>62.766666666666666</c:v>
                </c:pt>
                <c:pt idx="20">
                  <c:v>62.766666666666666</c:v>
                </c:pt>
                <c:pt idx="21">
                  <c:v>62.766666666666666</c:v>
                </c:pt>
                <c:pt idx="22">
                  <c:v>62.766666666666666</c:v>
                </c:pt>
                <c:pt idx="23">
                  <c:v>62.766666666666666</c:v>
                </c:pt>
                <c:pt idx="24">
                  <c:v>62.766666666666666</c:v>
                </c:pt>
                <c:pt idx="25">
                  <c:v>62.766666666666666</c:v>
                </c:pt>
                <c:pt idx="26">
                  <c:v>62.766666666666666</c:v>
                </c:pt>
                <c:pt idx="27">
                  <c:v>62.766666666666666</c:v>
                </c:pt>
                <c:pt idx="28">
                  <c:v>62.766666666666666</c:v>
                </c:pt>
                <c:pt idx="29">
                  <c:v>62.766666666666666</c:v>
                </c:pt>
                <c:pt idx="30">
                  <c:v>62.766666666666666</c:v>
                </c:pt>
                <c:pt idx="31">
                  <c:v>62.766666666666666</c:v>
                </c:pt>
                <c:pt idx="32">
                  <c:v>62.766666666666666</c:v>
                </c:pt>
                <c:pt idx="33">
                  <c:v>62.766666666666666</c:v>
                </c:pt>
                <c:pt idx="34">
                  <c:v>62.766666666666666</c:v>
                </c:pt>
                <c:pt idx="35">
                  <c:v>62.766666666666666</c:v>
                </c:pt>
                <c:pt idx="36">
                  <c:v>62.766666666666666</c:v>
                </c:pt>
                <c:pt idx="37">
                  <c:v>62.766666666666666</c:v>
                </c:pt>
                <c:pt idx="38">
                  <c:v>62.766666666666666</c:v>
                </c:pt>
                <c:pt idx="39">
                  <c:v>62.766666666666666</c:v>
                </c:pt>
                <c:pt idx="40">
                  <c:v>62.766666666666666</c:v>
                </c:pt>
                <c:pt idx="41">
                  <c:v>62.766666666666666</c:v>
                </c:pt>
                <c:pt idx="42">
                  <c:v>62.766666666666666</c:v>
                </c:pt>
                <c:pt idx="43">
                  <c:v>62.766666666666666</c:v>
                </c:pt>
                <c:pt idx="44">
                  <c:v>62.766666666666666</c:v>
                </c:pt>
                <c:pt idx="45">
                  <c:v>62.766666666666666</c:v>
                </c:pt>
                <c:pt idx="46">
                  <c:v>62.766666666666666</c:v>
                </c:pt>
                <c:pt idx="47">
                  <c:v>62.766666666666666</c:v>
                </c:pt>
                <c:pt idx="48">
                  <c:v>62.766666666666666</c:v>
                </c:pt>
                <c:pt idx="49">
                  <c:v>62.766666666666666</c:v>
                </c:pt>
                <c:pt idx="50">
                  <c:v>62.766666666666666</c:v>
                </c:pt>
                <c:pt idx="51">
                  <c:v>62.766666666666666</c:v>
                </c:pt>
                <c:pt idx="52">
                  <c:v>62.766666666666666</c:v>
                </c:pt>
                <c:pt idx="53">
                  <c:v>62.766666666666666</c:v>
                </c:pt>
                <c:pt idx="54">
                  <c:v>62.766666666666666</c:v>
                </c:pt>
                <c:pt idx="55">
                  <c:v>62.766666666666666</c:v>
                </c:pt>
                <c:pt idx="56">
                  <c:v>62.766666666666666</c:v>
                </c:pt>
                <c:pt idx="57">
                  <c:v>62.766666666666666</c:v>
                </c:pt>
                <c:pt idx="58">
                  <c:v>62.766666666666666</c:v>
                </c:pt>
                <c:pt idx="59">
                  <c:v>62.766666666666666</c:v>
                </c:pt>
                <c:pt idx="60">
                  <c:v>62.766666666666666</c:v>
                </c:pt>
                <c:pt idx="61">
                  <c:v>62.766666666666666</c:v>
                </c:pt>
                <c:pt idx="62">
                  <c:v>62.766666666666666</c:v>
                </c:pt>
                <c:pt idx="63">
                  <c:v>62.766666666666666</c:v>
                </c:pt>
                <c:pt idx="64">
                  <c:v>62.766666666666666</c:v>
                </c:pt>
                <c:pt idx="65">
                  <c:v>62.766666666666666</c:v>
                </c:pt>
                <c:pt idx="66">
                  <c:v>62.766666666666666</c:v>
                </c:pt>
                <c:pt idx="67">
                  <c:v>62.766666666666666</c:v>
                </c:pt>
                <c:pt idx="68">
                  <c:v>62.766666666666666</c:v>
                </c:pt>
                <c:pt idx="69">
                  <c:v>62.766666666666666</c:v>
                </c:pt>
                <c:pt idx="70">
                  <c:v>62.766666666666666</c:v>
                </c:pt>
                <c:pt idx="71">
                  <c:v>62.766666666666666</c:v>
                </c:pt>
                <c:pt idx="72">
                  <c:v>62.766666666666666</c:v>
                </c:pt>
                <c:pt idx="73">
                  <c:v>62.766666666666666</c:v>
                </c:pt>
                <c:pt idx="74">
                  <c:v>62.766666666666666</c:v>
                </c:pt>
                <c:pt idx="75">
                  <c:v>62.766666666666666</c:v>
                </c:pt>
                <c:pt idx="76">
                  <c:v>62.766666666666666</c:v>
                </c:pt>
                <c:pt idx="77">
                  <c:v>62.766666666666666</c:v>
                </c:pt>
                <c:pt idx="78">
                  <c:v>62.766666666666666</c:v>
                </c:pt>
                <c:pt idx="79">
                  <c:v>62.766666666666666</c:v>
                </c:pt>
                <c:pt idx="80">
                  <c:v>62.766666666666666</c:v>
                </c:pt>
                <c:pt idx="81">
                  <c:v>62.766666666666666</c:v>
                </c:pt>
                <c:pt idx="82">
                  <c:v>62.766666666666666</c:v>
                </c:pt>
                <c:pt idx="83">
                  <c:v>62.766666666666666</c:v>
                </c:pt>
                <c:pt idx="84">
                  <c:v>62.766666666666666</c:v>
                </c:pt>
                <c:pt idx="85">
                  <c:v>62.766666666666666</c:v>
                </c:pt>
                <c:pt idx="86">
                  <c:v>62.766666666666666</c:v>
                </c:pt>
                <c:pt idx="87">
                  <c:v>62.766666666666666</c:v>
                </c:pt>
                <c:pt idx="88">
                  <c:v>62.766666666666666</c:v>
                </c:pt>
                <c:pt idx="89">
                  <c:v>62.766666666666666</c:v>
                </c:pt>
                <c:pt idx="90">
                  <c:v>62.766666666666666</c:v>
                </c:pt>
                <c:pt idx="91">
                  <c:v>62.766666666666666</c:v>
                </c:pt>
                <c:pt idx="92">
                  <c:v>62.766666666666666</c:v>
                </c:pt>
                <c:pt idx="93">
                  <c:v>62.766666666666666</c:v>
                </c:pt>
                <c:pt idx="94">
                  <c:v>62.766666666666666</c:v>
                </c:pt>
                <c:pt idx="95">
                  <c:v>62.766666666666666</c:v>
                </c:pt>
                <c:pt idx="96">
                  <c:v>62.766666666666666</c:v>
                </c:pt>
                <c:pt idx="97">
                  <c:v>62.766666666666666</c:v>
                </c:pt>
                <c:pt idx="98">
                  <c:v>62.766666666666666</c:v>
                </c:pt>
                <c:pt idx="99">
                  <c:v>62.766666666666666</c:v>
                </c:pt>
                <c:pt idx="100">
                  <c:v>62.766666666666666</c:v>
                </c:pt>
                <c:pt idx="101">
                  <c:v>62.766666666666666</c:v>
                </c:pt>
                <c:pt idx="102">
                  <c:v>62.766666666666666</c:v>
                </c:pt>
                <c:pt idx="103">
                  <c:v>62.766666666666666</c:v>
                </c:pt>
                <c:pt idx="104">
                  <c:v>62.766666666666666</c:v>
                </c:pt>
                <c:pt idx="105">
                  <c:v>62.766666666666666</c:v>
                </c:pt>
                <c:pt idx="106">
                  <c:v>62.766666666666666</c:v>
                </c:pt>
                <c:pt idx="107">
                  <c:v>62.766666666666666</c:v>
                </c:pt>
                <c:pt idx="108">
                  <c:v>62.766666666666666</c:v>
                </c:pt>
                <c:pt idx="109">
                  <c:v>62.766666666666666</c:v>
                </c:pt>
                <c:pt idx="110">
                  <c:v>62.766666666666666</c:v>
                </c:pt>
                <c:pt idx="111">
                  <c:v>62.766666666666666</c:v>
                </c:pt>
                <c:pt idx="112">
                  <c:v>62.766666666666666</c:v>
                </c:pt>
                <c:pt idx="113">
                  <c:v>62.766666666666666</c:v>
                </c:pt>
                <c:pt idx="114">
                  <c:v>62.766666666666666</c:v>
                </c:pt>
                <c:pt idx="115">
                  <c:v>62.766666666666666</c:v>
                </c:pt>
                <c:pt idx="116">
                  <c:v>62.766666666666666</c:v>
                </c:pt>
                <c:pt idx="117">
                  <c:v>62.766666666666666</c:v>
                </c:pt>
                <c:pt idx="118">
                  <c:v>62.766666666666666</c:v>
                </c:pt>
                <c:pt idx="119">
                  <c:v>62.766666666666666</c:v>
                </c:pt>
                <c:pt idx="120">
                  <c:v>62.766666666666666</c:v>
                </c:pt>
                <c:pt idx="121">
                  <c:v>62.766666666666666</c:v>
                </c:pt>
                <c:pt idx="122">
                  <c:v>62.766666666666666</c:v>
                </c:pt>
                <c:pt idx="123">
                  <c:v>62.766666666666666</c:v>
                </c:pt>
                <c:pt idx="124">
                  <c:v>62.766666666666666</c:v>
                </c:pt>
                <c:pt idx="125">
                  <c:v>62.766666666666666</c:v>
                </c:pt>
                <c:pt idx="126">
                  <c:v>62.766666666666666</c:v>
                </c:pt>
                <c:pt idx="127">
                  <c:v>62.766666666666666</c:v>
                </c:pt>
                <c:pt idx="128">
                  <c:v>62.766666666666666</c:v>
                </c:pt>
                <c:pt idx="129">
                  <c:v>62.766666666666666</c:v>
                </c:pt>
                <c:pt idx="130">
                  <c:v>62.766666666666666</c:v>
                </c:pt>
                <c:pt idx="131">
                  <c:v>62.766666666666666</c:v>
                </c:pt>
                <c:pt idx="132">
                  <c:v>62.766666666666666</c:v>
                </c:pt>
                <c:pt idx="133">
                  <c:v>62.766666666666666</c:v>
                </c:pt>
                <c:pt idx="134">
                  <c:v>62.766666666666666</c:v>
                </c:pt>
                <c:pt idx="135">
                  <c:v>62.766666666666666</c:v>
                </c:pt>
                <c:pt idx="136">
                  <c:v>62.766666666666666</c:v>
                </c:pt>
                <c:pt idx="137">
                  <c:v>62.766666666666666</c:v>
                </c:pt>
                <c:pt idx="138">
                  <c:v>62.766666666666666</c:v>
                </c:pt>
                <c:pt idx="139">
                  <c:v>62.766666666666666</c:v>
                </c:pt>
                <c:pt idx="140">
                  <c:v>62.766666666666666</c:v>
                </c:pt>
                <c:pt idx="141">
                  <c:v>62.766666666666666</c:v>
                </c:pt>
                <c:pt idx="142">
                  <c:v>62.766666666666666</c:v>
                </c:pt>
                <c:pt idx="143">
                  <c:v>62.766666666666666</c:v>
                </c:pt>
                <c:pt idx="144">
                  <c:v>62.766666666666666</c:v>
                </c:pt>
                <c:pt idx="145">
                  <c:v>62.766666666666666</c:v>
                </c:pt>
                <c:pt idx="146">
                  <c:v>62.766666666666666</c:v>
                </c:pt>
                <c:pt idx="147">
                  <c:v>62.766666666666666</c:v>
                </c:pt>
                <c:pt idx="148">
                  <c:v>62.766666666666666</c:v>
                </c:pt>
                <c:pt idx="149">
                  <c:v>62.766666666666666</c:v>
                </c:pt>
                <c:pt idx="150">
                  <c:v>62.766666666666666</c:v>
                </c:pt>
                <c:pt idx="151">
                  <c:v>62.766666666666666</c:v>
                </c:pt>
                <c:pt idx="152">
                  <c:v>62.766666666666666</c:v>
                </c:pt>
                <c:pt idx="153">
                  <c:v>62.766666666666666</c:v>
                </c:pt>
                <c:pt idx="154">
                  <c:v>62.766666666666666</c:v>
                </c:pt>
                <c:pt idx="155">
                  <c:v>62.766666666666666</c:v>
                </c:pt>
                <c:pt idx="156">
                  <c:v>62.766666666666666</c:v>
                </c:pt>
                <c:pt idx="157">
                  <c:v>62.766666666666666</c:v>
                </c:pt>
                <c:pt idx="158">
                  <c:v>62.766666666666666</c:v>
                </c:pt>
                <c:pt idx="159">
                  <c:v>62.766666666666666</c:v>
                </c:pt>
                <c:pt idx="160">
                  <c:v>62.766666666666666</c:v>
                </c:pt>
                <c:pt idx="161">
                  <c:v>62.766666666666666</c:v>
                </c:pt>
                <c:pt idx="162">
                  <c:v>62.766666666666666</c:v>
                </c:pt>
                <c:pt idx="163">
                  <c:v>62.766666666666666</c:v>
                </c:pt>
                <c:pt idx="164">
                  <c:v>62.766666666666666</c:v>
                </c:pt>
                <c:pt idx="165">
                  <c:v>62.766666666666666</c:v>
                </c:pt>
                <c:pt idx="166">
                  <c:v>62.766666666666666</c:v>
                </c:pt>
                <c:pt idx="167">
                  <c:v>62.766666666666666</c:v>
                </c:pt>
                <c:pt idx="168">
                  <c:v>62.766666666666666</c:v>
                </c:pt>
                <c:pt idx="169">
                  <c:v>62.766666666666666</c:v>
                </c:pt>
                <c:pt idx="170">
                  <c:v>62.766666666666666</c:v>
                </c:pt>
                <c:pt idx="171">
                  <c:v>62.766666666666666</c:v>
                </c:pt>
                <c:pt idx="172">
                  <c:v>62.766666666666666</c:v>
                </c:pt>
                <c:pt idx="173">
                  <c:v>62.766666666666666</c:v>
                </c:pt>
                <c:pt idx="174">
                  <c:v>62.766666666666666</c:v>
                </c:pt>
                <c:pt idx="175">
                  <c:v>62.766666666666666</c:v>
                </c:pt>
                <c:pt idx="176">
                  <c:v>62.766666666666666</c:v>
                </c:pt>
                <c:pt idx="177">
                  <c:v>62.766666666666666</c:v>
                </c:pt>
                <c:pt idx="178">
                  <c:v>62.766666666666666</c:v>
                </c:pt>
                <c:pt idx="179">
                  <c:v>62.766666666666666</c:v>
                </c:pt>
                <c:pt idx="180">
                  <c:v>62.766666666666666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C-419C-97F8-BCE939837A71}"/>
            </c:ext>
          </c:extLst>
        </c:ser>
        <c:ser>
          <c:idx val="2"/>
          <c:order val="2"/>
          <c:tx>
            <c:strRef>
              <c:f>Statistik!$AX$8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Statistik!$AX$9:$AX$192</c:f>
              <c:numCache>
                <c:formatCode>0</c:formatCode>
                <c:ptCount val="184"/>
                <c:pt idx="0">
                  <c:v>80.98511149172171</c:v>
                </c:pt>
                <c:pt idx="1">
                  <c:v>80.98511149172171</c:v>
                </c:pt>
                <c:pt idx="2">
                  <c:v>80.98511149172171</c:v>
                </c:pt>
                <c:pt idx="3">
                  <c:v>80.98511149172171</c:v>
                </c:pt>
                <c:pt idx="4">
                  <c:v>80.98511149172171</c:v>
                </c:pt>
                <c:pt idx="5">
                  <c:v>80.98511149172171</c:v>
                </c:pt>
                <c:pt idx="6">
                  <c:v>80.98511149172171</c:v>
                </c:pt>
                <c:pt idx="7">
                  <c:v>80.98511149172171</c:v>
                </c:pt>
                <c:pt idx="8">
                  <c:v>80.98511149172171</c:v>
                </c:pt>
                <c:pt idx="9">
                  <c:v>80.98511149172171</c:v>
                </c:pt>
                <c:pt idx="10">
                  <c:v>80.98511149172171</c:v>
                </c:pt>
                <c:pt idx="11">
                  <c:v>80.98511149172171</c:v>
                </c:pt>
                <c:pt idx="12">
                  <c:v>80.98511149172171</c:v>
                </c:pt>
                <c:pt idx="13">
                  <c:v>80.98511149172171</c:v>
                </c:pt>
                <c:pt idx="14">
                  <c:v>80.98511149172171</c:v>
                </c:pt>
                <c:pt idx="15">
                  <c:v>80.98511149172171</c:v>
                </c:pt>
                <c:pt idx="16">
                  <c:v>80.98511149172171</c:v>
                </c:pt>
                <c:pt idx="17">
                  <c:v>80.98511149172171</c:v>
                </c:pt>
                <c:pt idx="18">
                  <c:v>80.98511149172171</c:v>
                </c:pt>
                <c:pt idx="19">
                  <c:v>80.98511149172171</c:v>
                </c:pt>
                <c:pt idx="20">
                  <c:v>80.98511149172171</c:v>
                </c:pt>
                <c:pt idx="21">
                  <c:v>80.98511149172171</c:v>
                </c:pt>
                <c:pt idx="22">
                  <c:v>80.98511149172171</c:v>
                </c:pt>
                <c:pt idx="23">
                  <c:v>80.98511149172171</c:v>
                </c:pt>
                <c:pt idx="24">
                  <c:v>80.98511149172171</c:v>
                </c:pt>
                <c:pt idx="25">
                  <c:v>80.98511149172171</c:v>
                </c:pt>
                <c:pt idx="26">
                  <c:v>80.98511149172171</c:v>
                </c:pt>
                <c:pt idx="27">
                  <c:v>80.98511149172171</c:v>
                </c:pt>
                <c:pt idx="28">
                  <c:v>80.98511149172171</c:v>
                </c:pt>
                <c:pt idx="29">
                  <c:v>80.98511149172171</c:v>
                </c:pt>
                <c:pt idx="30">
                  <c:v>80.98511149172171</c:v>
                </c:pt>
                <c:pt idx="31">
                  <c:v>80.98511149172171</c:v>
                </c:pt>
                <c:pt idx="32">
                  <c:v>80.98511149172171</c:v>
                </c:pt>
                <c:pt idx="33">
                  <c:v>80.98511149172171</c:v>
                </c:pt>
                <c:pt idx="34">
                  <c:v>80.98511149172171</c:v>
                </c:pt>
                <c:pt idx="35">
                  <c:v>80.98511149172171</c:v>
                </c:pt>
                <c:pt idx="36">
                  <c:v>80.98511149172171</c:v>
                </c:pt>
                <c:pt idx="37">
                  <c:v>80.98511149172171</c:v>
                </c:pt>
                <c:pt idx="38">
                  <c:v>80.98511149172171</c:v>
                </c:pt>
                <c:pt idx="39">
                  <c:v>80.98511149172171</c:v>
                </c:pt>
                <c:pt idx="40">
                  <c:v>80.98511149172171</c:v>
                </c:pt>
                <c:pt idx="41">
                  <c:v>80.98511149172171</c:v>
                </c:pt>
                <c:pt idx="42">
                  <c:v>80.98511149172171</c:v>
                </c:pt>
                <c:pt idx="43">
                  <c:v>80.98511149172171</c:v>
                </c:pt>
                <c:pt idx="44">
                  <c:v>80.98511149172171</c:v>
                </c:pt>
                <c:pt idx="45">
                  <c:v>80.98511149172171</c:v>
                </c:pt>
                <c:pt idx="46">
                  <c:v>80.98511149172171</c:v>
                </c:pt>
                <c:pt idx="47">
                  <c:v>80.98511149172171</c:v>
                </c:pt>
                <c:pt idx="48">
                  <c:v>80.98511149172171</c:v>
                </c:pt>
                <c:pt idx="49">
                  <c:v>80.98511149172171</c:v>
                </c:pt>
                <c:pt idx="50">
                  <c:v>80.98511149172171</c:v>
                </c:pt>
                <c:pt idx="51">
                  <c:v>80.98511149172171</c:v>
                </c:pt>
                <c:pt idx="52">
                  <c:v>80.98511149172171</c:v>
                </c:pt>
                <c:pt idx="53">
                  <c:v>80.98511149172171</c:v>
                </c:pt>
                <c:pt idx="54">
                  <c:v>80.98511149172171</c:v>
                </c:pt>
                <c:pt idx="55">
                  <c:v>80.98511149172171</c:v>
                </c:pt>
                <c:pt idx="56">
                  <c:v>80.98511149172171</c:v>
                </c:pt>
                <c:pt idx="57">
                  <c:v>80.98511149172171</c:v>
                </c:pt>
                <c:pt idx="58">
                  <c:v>80.98511149172171</c:v>
                </c:pt>
                <c:pt idx="59">
                  <c:v>80.98511149172171</c:v>
                </c:pt>
                <c:pt idx="60">
                  <c:v>80.98511149172171</c:v>
                </c:pt>
                <c:pt idx="61">
                  <c:v>80.98511149172171</c:v>
                </c:pt>
                <c:pt idx="62">
                  <c:v>80.98511149172171</c:v>
                </c:pt>
                <c:pt idx="63">
                  <c:v>80.98511149172171</c:v>
                </c:pt>
                <c:pt idx="64">
                  <c:v>80.98511149172171</c:v>
                </c:pt>
                <c:pt idx="65">
                  <c:v>80.98511149172171</c:v>
                </c:pt>
                <c:pt idx="66">
                  <c:v>80.98511149172171</c:v>
                </c:pt>
                <c:pt idx="67">
                  <c:v>80.98511149172171</c:v>
                </c:pt>
                <c:pt idx="68">
                  <c:v>80.98511149172171</c:v>
                </c:pt>
                <c:pt idx="69">
                  <c:v>80.98511149172171</c:v>
                </c:pt>
                <c:pt idx="70">
                  <c:v>80.98511149172171</c:v>
                </c:pt>
                <c:pt idx="71">
                  <c:v>80.98511149172171</c:v>
                </c:pt>
                <c:pt idx="72">
                  <c:v>80.98511149172171</c:v>
                </c:pt>
                <c:pt idx="73">
                  <c:v>80.98511149172171</c:v>
                </c:pt>
                <c:pt idx="74">
                  <c:v>80.98511149172171</c:v>
                </c:pt>
                <c:pt idx="75">
                  <c:v>80.98511149172171</c:v>
                </c:pt>
                <c:pt idx="76">
                  <c:v>80.98511149172171</c:v>
                </c:pt>
                <c:pt idx="77">
                  <c:v>80.98511149172171</c:v>
                </c:pt>
                <c:pt idx="78">
                  <c:v>80.98511149172171</c:v>
                </c:pt>
                <c:pt idx="79">
                  <c:v>80.98511149172171</c:v>
                </c:pt>
                <c:pt idx="80">
                  <c:v>80.98511149172171</c:v>
                </c:pt>
                <c:pt idx="81">
                  <c:v>80.98511149172171</c:v>
                </c:pt>
                <c:pt idx="82">
                  <c:v>80.98511149172171</c:v>
                </c:pt>
                <c:pt idx="83">
                  <c:v>80.98511149172171</c:v>
                </c:pt>
                <c:pt idx="84">
                  <c:v>80.98511149172171</c:v>
                </c:pt>
                <c:pt idx="85">
                  <c:v>80.98511149172171</c:v>
                </c:pt>
                <c:pt idx="86">
                  <c:v>80.98511149172171</c:v>
                </c:pt>
                <c:pt idx="87">
                  <c:v>80.98511149172171</c:v>
                </c:pt>
                <c:pt idx="88">
                  <c:v>80.98511149172171</c:v>
                </c:pt>
                <c:pt idx="89">
                  <c:v>80.98511149172171</c:v>
                </c:pt>
                <c:pt idx="90">
                  <c:v>80.98511149172171</c:v>
                </c:pt>
                <c:pt idx="91">
                  <c:v>80.98511149172171</c:v>
                </c:pt>
                <c:pt idx="92">
                  <c:v>80.98511149172171</c:v>
                </c:pt>
                <c:pt idx="93">
                  <c:v>80.98511149172171</c:v>
                </c:pt>
                <c:pt idx="94">
                  <c:v>80.98511149172171</c:v>
                </c:pt>
                <c:pt idx="95">
                  <c:v>80.98511149172171</c:v>
                </c:pt>
                <c:pt idx="96">
                  <c:v>80.98511149172171</c:v>
                </c:pt>
                <c:pt idx="97">
                  <c:v>80.98511149172171</c:v>
                </c:pt>
                <c:pt idx="98">
                  <c:v>80.98511149172171</c:v>
                </c:pt>
                <c:pt idx="99">
                  <c:v>80.98511149172171</c:v>
                </c:pt>
                <c:pt idx="100">
                  <c:v>80.98511149172171</c:v>
                </c:pt>
                <c:pt idx="101">
                  <c:v>80.98511149172171</c:v>
                </c:pt>
                <c:pt idx="102">
                  <c:v>80.98511149172171</c:v>
                </c:pt>
                <c:pt idx="103">
                  <c:v>80.98511149172171</c:v>
                </c:pt>
                <c:pt idx="104">
                  <c:v>80.98511149172171</c:v>
                </c:pt>
                <c:pt idx="105">
                  <c:v>80.98511149172171</c:v>
                </c:pt>
                <c:pt idx="106">
                  <c:v>80.98511149172171</c:v>
                </c:pt>
                <c:pt idx="107">
                  <c:v>80.98511149172171</c:v>
                </c:pt>
                <c:pt idx="108">
                  <c:v>80.98511149172171</c:v>
                </c:pt>
                <c:pt idx="109">
                  <c:v>80.98511149172171</c:v>
                </c:pt>
                <c:pt idx="110">
                  <c:v>80.98511149172171</c:v>
                </c:pt>
                <c:pt idx="111">
                  <c:v>80.98511149172171</c:v>
                </c:pt>
                <c:pt idx="112">
                  <c:v>80.98511149172171</c:v>
                </c:pt>
                <c:pt idx="113">
                  <c:v>80.98511149172171</c:v>
                </c:pt>
                <c:pt idx="114">
                  <c:v>80.98511149172171</c:v>
                </c:pt>
                <c:pt idx="115">
                  <c:v>80.98511149172171</c:v>
                </c:pt>
                <c:pt idx="116">
                  <c:v>80.98511149172171</c:v>
                </c:pt>
                <c:pt idx="117">
                  <c:v>80.98511149172171</c:v>
                </c:pt>
                <c:pt idx="118">
                  <c:v>80.98511149172171</c:v>
                </c:pt>
                <c:pt idx="119">
                  <c:v>80.98511149172171</c:v>
                </c:pt>
                <c:pt idx="120">
                  <c:v>80.98511149172171</c:v>
                </c:pt>
                <c:pt idx="121">
                  <c:v>80.98511149172171</c:v>
                </c:pt>
                <c:pt idx="122">
                  <c:v>80.98511149172171</c:v>
                </c:pt>
                <c:pt idx="123">
                  <c:v>80.98511149172171</c:v>
                </c:pt>
                <c:pt idx="124">
                  <c:v>80.98511149172171</c:v>
                </c:pt>
                <c:pt idx="125">
                  <c:v>80.98511149172171</c:v>
                </c:pt>
                <c:pt idx="126">
                  <c:v>80.98511149172171</c:v>
                </c:pt>
                <c:pt idx="127">
                  <c:v>80.98511149172171</c:v>
                </c:pt>
                <c:pt idx="128">
                  <c:v>80.98511149172171</c:v>
                </c:pt>
                <c:pt idx="129">
                  <c:v>80.98511149172171</c:v>
                </c:pt>
                <c:pt idx="130">
                  <c:v>80.98511149172171</c:v>
                </c:pt>
                <c:pt idx="131">
                  <c:v>80.98511149172171</c:v>
                </c:pt>
                <c:pt idx="132">
                  <c:v>80.98511149172171</c:v>
                </c:pt>
                <c:pt idx="133">
                  <c:v>80.98511149172171</c:v>
                </c:pt>
                <c:pt idx="134">
                  <c:v>80.98511149172171</c:v>
                </c:pt>
                <c:pt idx="135">
                  <c:v>80.98511149172171</c:v>
                </c:pt>
                <c:pt idx="136">
                  <c:v>80.98511149172171</c:v>
                </c:pt>
                <c:pt idx="137">
                  <c:v>80.98511149172171</c:v>
                </c:pt>
                <c:pt idx="138">
                  <c:v>80.98511149172171</c:v>
                </c:pt>
                <c:pt idx="139">
                  <c:v>80.98511149172171</c:v>
                </c:pt>
                <c:pt idx="140">
                  <c:v>80.98511149172171</c:v>
                </c:pt>
                <c:pt idx="141">
                  <c:v>80.98511149172171</c:v>
                </c:pt>
                <c:pt idx="142">
                  <c:v>80.98511149172171</c:v>
                </c:pt>
                <c:pt idx="143">
                  <c:v>80.98511149172171</c:v>
                </c:pt>
                <c:pt idx="144">
                  <c:v>80.98511149172171</c:v>
                </c:pt>
                <c:pt idx="145">
                  <c:v>80.98511149172171</c:v>
                </c:pt>
                <c:pt idx="146">
                  <c:v>80.98511149172171</c:v>
                </c:pt>
                <c:pt idx="147">
                  <c:v>80.98511149172171</c:v>
                </c:pt>
                <c:pt idx="148">
                  <c:v>80.98511149172171</c:v>
                </c:pt>
                <c:pt idx="149">
                  <c:v>80.98511149172171</c:v>
                </c:pt>
                <c:pt idx="150">
                  <c:v>80.98511149172171</c:v>
                </c:pt>
                <c:pt idx="151">
                  <c:v>80.98511149172171</c:v>
                </c:pt>
                <c:pt idx="152">
                  <c:v>80.98511149172171</c:v>
                </c:pt>
                <c:pt idx="153">
                  <c:v>80.98511149172171</c:v>
                </c:pt>
                <c:pt idx="154">
                  <c:v>80.98511149172171</c:v>
                </c:pt>
                <c:pt idx="155">
                  <c:v>80.98511149172171</c:v>
                </c:pt>
                <c:pt idx="156">
                  <c:v>80.98511149172171</c:v>
                </c:pt>
                <c:pt idx="157">
                  <c:v>80.98511149172171</c:v>
                </c:pt>
                <c:pt idx="158">
                  <c:v>80.98511149172171</c:v>
                </c:pt>
                <c:pt idx="159">
                  <c:v>80.98511149172171</c:v>
                </c:pt>
                <c:pt idx="160">
                  <c:v>80.98511149172171</c:v>
                </c:pt>
                <c:pt idx="161">
                  <c:v>80.98511149172171</c:v>
                </c:pt>
                <c:pt idx="162">
                  <c:v>80.98511149172171</c:v>
                </c:pt>
                <c:pt idx="163">
                  <c:v>80.98511149172171</c:v>
                </c:pt>
                <c:pt idx="164">
                  <c:v>80.98511149172171</c:v>
                </c:pt>
                <c:pt idx="165">
                  <c:v>80.98511149172171</c:v>
                </c:pt>
                <c:pt idx="166">
                  <c:v>80.98511149172171</c:v>
                </c:pt>
                <c:pt idx="167">
                  <c:v>80.98511149172171</c:v>
                </c:pt>
                <c:pt idx="168">
                  <c:v>80.98511149172171</c:v>
                </c:pt>
                <c:pt idx="169">
                  <c:v>80.98511149172171</c:v>
                </c:pt>
                <c:pt idx="170">
                  <c:v>80.98511149172171</c:v>
                </c:pt>
                <c:pt idx="171">
                  <c:v>80.98511149172171</c:v>
                </c:pt>
                <c:pt idx="172">
                  <c:v>80.98511149172171</c:v>
                </c:pt>
                <c:pt idx="173">
                  <c:v>80.98511149172171</c:v>
                </c:pt>
                <c:pt idx="174">
                  <c:v>80.98511149172171</c:v>
                </c:pt>
                <c:pt idx="175">
                  <c:v>80.98511149172171</c:v>
                </c:pt>
                <c:pt idx="176">
                  <c:v>80.98511149172171</c:v>
                </c:pt>
                <c:pt idx="177">
                  <c:v>80.98511149172171</c:v>
                </c:pt>
                <c:pt idx="178">
                  <c:v>80.98511149172171</c:v>
                </c:pt>
                <c:pt idx="179">
                  <c:v>80.98511149172171</c:v>
                </c:pt>
                <c:pt idx="180">
                  <c:v>80.98511149172171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C-419C-97F8-BCE939837A71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Statistik!$AY$9:$AY$192</c:f>
              <c:numCache>
                <c:formatCode>0</c:formatCode>
                <c:ptCount val="184"/>
                <c:pt idx="0">
                  <c:v>44.548221841611614</c:v>
                </c:pt>
                <c:pt idx="1">
                  <c:v>44.548221841611614</c:v>
                </c:pt>
                <c:pt idx="2">
                  <c:v>44.548221841611614</c:v>
                </c:pt>
                <c:pt idx="3">
                  <c:v>44.548221841611614</c:v>
                </c:pt>
                <c:pt idx="4">
                  <c:v>44.548221841611614</c:v>
                </c:pt>
                <c:pt idx="5">
                  <c:v>44.548221841611614</c:v>
                </c:pt>
                <c:pt idx="6">
                  <c:v>44.548221841611614</c:v>
                </c:pt>
                <c:pt idx="7">
                  <c:v>44.548221841611614</c:v>
                </c:pt>
                <c:pt idx="8">
                  <c:v>44.548221841611614</c:v>
                </c:pt>
                <c:pt idx="9">
                  <c:v>44.548221841611614</c:v>
                </c:pt>
                <c:pt idx="10">
                  <c:v>44.548221841611614</c:v>
                </c:pt>
                <c:pt idx="11">
                  <c:v>44.548221841611614</c:v>
                </c:pt>
                <c:pt idx="12">
                  <c:v>44.548221841611614</c:v>
                </c:pt>
                <c:pt idx="13">
                  <c:v>44.548221841611614</c:v>
                </c:pt>
                <c:pt idx="14">
                  <c:v>44.548221841611614</c:v>
                </c:pt>
                <c:pt idx="15">
                  <c:v>44.548221841611614</c:v>
                </c:pt>
                <c:pt idx="16">
                  <c:v>44.548221841611614</c:v>
                </c:pt>
                <c:pt idx="17">
                  <c:v>44.548221841611614</c:v>
                </c:pt>
                <c:pt idx="18">
                  <c:v>44.548221841611614</c:v>
                </c:pt>
                <c:pt idx="19">
                  <c:v>44.548221841611614</c:v>
                </c:pt>
                <c:pt idx="20">
                  <c:v>44.548221841611614</c:v>
                </c:pt>
                <c:pt idx="21">
                  <c:v>44.548221841611614</c:v>
                </c:pt>
                <c:pt idx="22">
                  <c:v>44.548221841611614</c:v>
                </c:pt>
                <c:pt idx="23">
                  <c:v>44.548221841611614</c:v>
                </c:pt>
                <c:pt idx="24">
                  <c:v>44.548221841611614</c:v>
                </c:pt>
                <c:pt idx="25">
                  <c:v>44.548221841611614</c:v>
                </c:pt>
                <c:pt idx="26">
                  <c:v>44.548221841611614</c:v>
                </c:pt>
                <c:pt idx="27">
                  <c:v>44.548221841611614</c:v>
                </c:pt>
                <c:pt idx="28">
                  <c:v>44.548221841611614</c:v>
                </c:pt>
                <c:pt idx="29">
                  <c:v>44.548221841611614</c:v>
                </c:pt>
                <c:pt idx="30">
                  <c:v>44.548221841611614</c:v>
                </c:pt>
                <c:pt idx="31">
                  <c:v>44.548221841611614</c:v>
                </c:pt>
                <c:pt idx="32">
                  <c:v>44.548221841611614</c:v>
                </c:pt>
                <c:pt idx="33">
                  <c:v>44.548221841611614</c:v>
                </c:pt>
                <c:pt idx="34">
                  <c:v>44.548221841611614</c:v>
                </c:pt>
                <c:pt idx="35">
                  <c:v>44.548221841611614</c:v>
                </c:pt>
                <c:pt idx="36">
                  <c:v>44.548221841611614</c:v>
                </c:pt>
                <c:pt idx="37">
                  <c:v>44.548221841611614</c:v>
                </c:pt>
                <c:pt idx="38">
                  <c:v>44.548221841611614</c:v>
                </c:pt>
                <c:pt idx="39">
                  <c:v>44.548221841611614</c:v>
                </c:pt>
                <c:pt idx="40">
                  <c:v>44.548221841611614</c:v>
                </c:pt>
                <c:pt idx="41">
                  <c:v>44.548221841611614</c:v>
                </c:pt>
                <c:pt idx="42">
                  <c:v>44.548221841611614</c:v>
                </c:pt>
                <c:pt idx="43">
                  <c:v>44.548221841611614</c:v>
                </c:pt>
                <c:pt idx="44">
                  <c:v>44.548221841611614</c:v>
                </c:pt>
                <c:pt idx="45">
                  <c:v>44.548221841611614</c:v>
                </c:pt>
                <c:pt idx="46">
                  <c:v>44.548221841611614</c:v>
                </c:pt>
                <c:pt idx="47">
                  <c:v>44.548221841611614</c:v>
                </c:pt>
                <c:pt idx="48">
                  <c:v>44.548221841611614</c:v>
                </c:pt>
                <c:pt idx="49">
                  <c:v>44.548221841611614</c:v>
                </c:pt>
                <c:pt idx="50">
                  <c:v>44.548221841611614</c:v>
                </c:pt>
                <c:pt idx="51">
                  <c:v>44.548221841611614</c:v>
                </c:pt>
                <c:pt idx="52">
                  <c:v>44.548221841611614</c:v>
                </c:pt>
                <c:pt idx="53">
                  <c:v>44.548221841611614</c:v>
                </c:pt>
                <c:pt idx="54">
                  <c:v>44.548221841611614</c:v>
                </c:pt>
                <c:pt idx="55">
                  <c:v>44.548221841611614</c:v>
                </c:pt>
                <c:pt idx="56">
                  <c:v>44.548221841611614</c:v>
                </c:pt>
                <c:pt idx="57">
                  <c:v>44.548221841611614</c:v>
                </c:pt>
                <c:pt idx="58">
                  <c:v>44.548221841611614</c:v>
                </c:pt>
                <c:pt idx="59">
                  <c:v>44.548221841611614</c:v>
                </c:pt>
                <c:pt idx="60">
                  <c:v>44.548221841611614</c:v>
                </c:pt>
                <c:pt idx="61">
                  <c:v>44.548221841611614</c:v>
                </c:pt>
                <c:pt idx="62">
                  <c:v>44.548221841611614</c:v>
                </c:pt>
                <c:pt idx="63">
                  <c:v>44.548221841611614</c:v>
                </c:pt>
                <c:pt idx="64">
                  <c:v>44.548221841611614</c:v>
                </c:pt>
                <c:pt idx="65">
                  <c:v>44.548221841611614</c:v>
                </c:pt>
                <c:pt idx="66">
                  <c:v>44.548221841611614</c:v>
                </c:pt>
                <c:pt idx="67">
                  <c:v>44.548221841611614</c:v>
                </c:pt>
                <c:pt idx="68">
                  <c:v>44.548221841611614</c:v>
                </c:pt>
                <c:pt idx="69">
                  <c:v>44.548221841611614</c:v>
                </c:pt>
                <c:pt idx="70">
                  <c:v>44.548221841611614</c:v>
                </c:pt>
                <c:pt idx="71">
                  <c:v>44.548221841611614</c:v>
                </c:pt>
                <c:pt idx="72">
                  <c:v>44.548221841611614</c:v>
                </c:pt>
                <c:pt idx="73">
                  <c:v>44.548221841611614</c:v>
                </c:pt>
                <c:pt idx="74">
                  <c:v>44.548221841611614</c:v>
                </c:pt>
                <c:pt idx="75">
                  <c:v>44.548221841611614</c:v>
                </c:pt>
                <c:pt idx="76">
                  <c:v>44.548221841611614</c:v>
                </c:pt>
                <c:pt idx="77">
                  <c:v>44.548221841611614</c:v>
                </c:pt>
                <c:pt idx="78">
                  <c:v>44.548221841611614</c:v>
                </c:pt>
                <c:pt idx="79">
                  <c:v>44.548221841611614</c:v>
                </c:pt>
                <c:pt idx="80">
                  <c:v>44.548221841611614</c:v>
                </c:pt>
                <c:pt idx="81">
                  <c:v>44.548221841611614</c:v>
                </c:pt>
                <c:pt idx="82">
                  <c:v>44.548221841611614</c:v>
                </c:pt>
                <c:pt idx="83">
                  <c:v>44.548221841611614</c:v>
                </c:pt>
                <c:pt idx="84">
                  <c:v>44.548221841611614</c:v>
                </c:pt>
                <c:pt idx="85">
                  <c:v>44.548221841611614</c:v>
                </c:pt>
                <c:pt idx="86">
                  <c:v>44.548221841611614</c:v>
                </c:pt>
                <c:pt idx="87">
                  <c:v>44.548221841611614</c:v>
                </c:pt>
                <c:pt idx="88">
                  <c:v>44.548221841611614</c:v>
                </c:pt>
                <c:pt idx="89">
                  <c:v>44.548221841611614</c:v>
                </c:pt>
                <c:pt idx="90">
                  <c:v>44.548221841611614</c:v>
                </c:pt>
                <c:pt idx="91">
                  <c:v>44.548221841611614</c:v>
                </c:pt>
                <c:pt idx="92">
                  <c:v>44.548221841611614</c:v>
                </c:pt>
                <c:pt idx="93">
                  <c:v>44.548221841611614</c:v>
                </c:pt>
                <c:pt idx="94">
                  <c:v>44.548221841611614</c:v>
                </c:pt>
                <c:pt idx="95">
                  <c:v>44.548221841611614</c:v>
                </c:pt>
                <c:pt idx="96">
                  <c:v>44.548221841611614</c:v>
                </c:pt>
                <c:pt idx="97">
                  <c:v>44.548221841611614</c:v>
                </c:pt>
                <c:pt idx="98">
                  <c:v>44.548221841611614</c:v>
                </c:pt>
                <c:pt idx="99">
                  <c:v>44.548221841611614</c:v>
                </c:pt>
                <c:pt idx="100">
                  <c:v>44.548221841611614</c:v>
                </c:pt>
                <c:pt idx="101">
                  <c:v>44.548221841611614</c:v>
                </c:pt>
                <c:pt idx="102">
                  <c:v>44.548221841611614</c:v>
                </c:pt>
                <c:pt idx="103">
                  <c:v>44.548221841611614</c:v>
                </c:pt>
                <c:pt idx="104">
                  <c:v>44.548221841611614</c:v>
                </c:pt>
                <c:pt idx="105">
                  <c:v>44.548221841611614</c:v>
                </c:pt>
                <c:pt idx="106">
                  <c:v>44.548221841611614</c:v>
                </c:pt>
                <c:pt idx="107">
                  <c:v>44.548221841611614</c:v>
                </c:pt>
                <c:pt idx="108">
                  <c:v>44.548221841611614</c:v>
                </c:pt>
                <c:pt idx="109">
                  <c:v>44.548221841611614</c:v>
                </c:pt>
                <c:pt idx="110">
                  <c:v>44.548221841611614</c:v>
                </c:pt>
                <c:pt idx="111">
                  <c:v>44.548221841611614</c:v>
                </c:pt>
                <c:pt idx="112">
                  <c:v>44.548221841611614</c:v>
                </c:pt>
                <c:pt idx="113">
                  <c:v>44.548221841611614</c:v>
                </c:pt>
                <c:pt idx="114">
                  <c:v>44.548221841611614</c:v>
                </c:pt>
                <c:pt idx="115">
                  <c:v>44.548221841611614</c:v>
                </c:pt>
                <c:pt idx="116">
                  <c:v>44.548221841611614</c:v>
                </c:pt>
                <c:pt idx="117">
                  <c:v>44.548221841611614</c:v>
                </c:pt>
                <c:pt idx="118">
                  <c:v>44.548221841611614</c:v>
                </c:pt>
                <c:pt idx="119">
                  <c:v>44.548221841611614</c:v>
                </c:pt>
                <c:pt idx="120">
                  <c:v>44.548221841611614</c:v>
                </c:pt>
                <c:pt idx="121">
                  <c:v>44.548221841611614</c:v>
                </c:pt>
                <c:pt idx="122">
                  <c:v>44.548221841611614</c:v>
                </c:pt>
                <c:pt idx="123">
                  <c:v>44.548221841611614</c:v>
                </c:pt>
                <c:pt idx="124">
                  <c:v>44.548221841611614</c:v>
                </c:pt>
                <c:pt idx="125">
                  <c:v>44.548221841611614</c:v>
                </c:pt>
                <c:pt idx="126">
                  <c:v>44.548221841611614</c:v>
                </c:pt>
                <c:pt idx="127">
                  <c:v>44.548221841611614</c:v>
                </c:pt>
                <c:pt idx="128">
                  <c:v>44.548221841611614</c:v>
                </c:pt>
                <c:pt idx="129">
                  <c:v>44.548221841611614</c:v>
                </c:pt>
                <c:pt idx="130">
                  <c:v>44.548221841611614</c:v>
                </c:pt>
                <c:pt idx="131">
                  <c:v>44.548221841611614</c:v>
                </c:pt>
                <c:pt idx="132">
                  <c:v>44.548221841611614</c:v>
                </c:pt>
                <c:pt idx="133">
                  <c:v>44.548221841611614</c:v>
                </c:pt>
                <c:pt idx="134">
                  <c:v>44.548221841611614</c:v>
                </c:pt>
                <c:pt idx="135">
                  <c:v>44.548221841611614</c:v>
                </c:pt>
                <c:pt idx="136">
                  <c:v>44.548221841611614</c:v>
                </c:pt>
                <c:pt idx="137">
                  <c:v>44.548221841611614</c:v>
                </c:pt>
                <c:pt idx="138">
                  <c:v>44.548221841611614</c:v>
                </c:pt>
                <c:pt idx="139">
                  <c:v>44.548221841611614</c:v>
                </c:pt>
                <c:pt idx="140">
                  <c:v>44.548221841611614</c:v>
                </c:pt>
                <c:pt idx="141">
                  <c:v>44.548221841611614</c:v>
                </c:pt>
                <c:pt idx="142">
                  <c:v>44.548221841611614</c:v>
                </c:pt>
                <c:pt idx="143">
                  <c:v>44.548221841611614</c:v>
                </c:pt>
                <c:pt idx="144">
                  <c:v>44.548221841611614</c:v>
                </c:pt>
                <c:pt idx="145">
                  <c:v>44.548221841611614</c:v>
                </c:pt>
                <c:pt idx="146">
                  <c:v>44.548221841611614</c:v>
                </c:pt>
                <c:pt idx="147">
                  <c:v>44.548221841611614</c:v>
                </c:pt>
                <c:pt idx="148">
                  <c:v>44.548221841611614</c:v>
                </c:pt>
                <c:pt idx="149">
                  <c:v>44.548221841611614</c:v>
                </c:pt>
                <c:pt idx="150">
                  <c:v>44.548221841611614</c:v>
                </c:pt>
                <c:pt idx="151">
                  <c:v>44.548221841611614</c:v>
                </c:pt>
                <c:pt idx="152">
                  <c:v>44.548221841611614</c:v>
                </c:pt>
                <c:pt idx="153">
                  <c:v>44.548221841611614</c:v>
                </c:pt>
                <c:pt idx="154">
                  <c:v>44.548221841611614</c:v>
                </c:pt>
                <c:pt idx="155">
                  <c:v>44.548221841611614</c:v>
                </c:pt>
                <c:pt idx="156">
                  <c:v>44.548221841611614</c:v>
                </c:pt>
                <c:pt idx="157">
                  <c:v>44.548221841611614</c:v>
                </c:pt>
                <c:pt idx="158">
                  <c:v>44.548221841611614</c:v>
                </c:pt>
                <c:pt idx="159">
                  <c:v>44.548221841611614</c:v>
                </c:pt>
                <c:pt idx="160">
                  <c:v>44.548221841611614</c:v>
                </c:pt>
                <c:pt idx="161">
                  <c:v>44.548221841611614</c:v>
                </c:pt>
                <c:pt idx="162">
                  <c:v>44.548221841611614</c:v>
                </c:pt>
                <c:pt idx="163">
                  <c:v>44.548221841611614</c:v>
                </c:pt>
                <c:pt idx="164">
                  <c:v>44.548221841611614</c:v>
                </c:pt>
                <c:pt idx="165">
                  <c:v>44.548221841611614</c:v>
                </c:pt>
                <c:pt idx="166">
                  <c:v>44.548221841611614</c:v>
                </c:pt>
                <c:pt idx="167">
                  <c:v>44.548221841611614</c:v>
                </c:pt>
                <c:pt idx="168">
                  <c:v>44.548221841611614</c:v>
                </c:pt>
                <c:pt idx="169">
                  <c:v>44.548221841611614</c:v>
                </c:pt>
                <c:pt idx="170">
                  <c:v>44.548221841611614</c:v>
                </c:pt>
                <c:pt idx="171">
                  <c:v>44.548221841611614</c:v>
                </c:pt>
                <c:pt idx="172">
                  <c:v>44.548221841611614</c:v>
                </c:pt>
                <c:pt idx="173">
                  <c:v>44.548221841611614</c:v>
                </c:pt>
                <c:pt idx="174">
                  <c:v>44.548221841611614</c:v>
                </c:pt>
                <c:pt idx="175">
                  <c:v>44.548221841611614</c:v>
                </c:pt>
                <c:pt idx="176">
                  <c:v>44.548221841611614</c:v>
                </c:pt>
                <c:pt idx="177">
                  <c:v>44.548221841611614</c:v>
                </c:pt>
                <c:pt idx="178">
                  <c:v>44.548221841611614</c:v>
                </c:pt>
                <c:pt idx="179">
                  <c:v>44.548221841611614</c:v>
                </c:pt>
                <c:pt idx="180">
                  <c:v>44.548221841611614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C-419C-97F8-BCE939837A71}"/>
            </c:ext>
          </c:extLst>
        </c:ser>
        <c:ser>
          <c:idx val="4"/>
          <c:order val="4"/>
          <c:tx>
            <c:strRef>
              <c:f>Statistik!$AZ$8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Statistik!$AZ$9:$AZ$192</c:f>
              <c:numCache>
                <c:formatCode>0</c:formatCode>
                <c:ptCount val="184"/>
                <c:pt idx="0">
                  <c:v>2941.6666666666665</c:v>
                </c:pt>
                <c:pt idx="1">
                  <c:v>2941.6666666666665</c:v>
                </c:pt>
                <c:pt idx="2">
                  <c:v>2941.6666666666665</c:v>
                </c:pt>
                <c:pt idx="3">
                  <c:v>2941.6666666666665</c:v>
                </c:pt>
                <c:pt idx="4">
                  <c:v>2941.6666666666665</c:v>
                </c:pt>
                <c:pt idx="5">
                  <c:v>2941.6666666666665</c:v>
                </c:pt>
                <c:pt idx="6">
                  <c:v>2941.6666666666665</c:v>
                </c:pt>
                <c:pt idx="7">
                  <c:v>2941.6666666666665</c:v>
                </c:pt>
                <c:pt idx="8">
                  <c:v>2941.6666666666665</c:v>
                </c:pt>
                <c:pt idx="9">
                  <c:v>2941.6666666666665</c:v>
                </c:pt>
                <c:pt idx="10">
                  <c:v>2941.6666666666665</c:v>
                </c:pt>
                <c:pt idx="11">
                  <c:v>2941.6666666666665</c:v>
                </c:pt>
                <c:pt idx="12">
                  <c:v>2941.6666666666665</c:v>
                </c:pt>
                <c:pt idx="13">
                  <c:v>2941.6666666666665</c:v>
                </c:pt>
                <c:pt idx="14">
                  <c:v>2941.6666666666665</c:v>
                </c:pt>
                <c:pt idx="15">
                  <c:v>2941.6666666666665</c:v>
                </c:pt>
                <c:pt idx="16">
                  <c:v>2941.6666666666665</c:v>
                </c:pt>
                <c:pt idx="17">
                  <c:v>2941.6666666666665</c:v>
                </c:pt>
                <c:pt idx="18">
                  <c:v>2941.6666666666665</c:v>
                </c:pt>
                <c:pt idx="19">
                  <c:v>2941.6666666666665</c:v>
                </c:pt>
                <c:pt idx="20">
                  <c:v>2941.6666666666665</c:v>
                </c:pt>
                <c:pt idx="21">
                  <c:v>2941.6666666666665</c:v>
                </c:pt>
                <c:pt idx="22">
                  <c:v>2941.6666666666665</c:v>
                </c:pt>
                <c:pt idx="23">
                  <c:v>2941.6666666666665</c:v>
                </c:pt>
                <c:pt idx="24">
                  <c:v>2941.6666666666665</c:v>
                </c:pt>
                <c:pt idx="25">
                  <c:v>2941.6666666666665</c:v>
                </c:pt>
                <c:pt idx="26">
                  <c:v>2941.6666666666665</c:v>
                </c:pt>
                <c:pt idx="27">
                  <c:v>2941.6666666666665</c:v>
                </c:pt>
                <c:pt idx="28">
                  <c:v>2941.6666666666665</c:v>
                </c:pt>
                <c:pt idx="29">
                  <c:v>2941.6666666666665</c:v>
                </c:pt>
                <c:pt idx="30">
                  <c:v>2941.6666666666665</c:v>
                </c:pt>
                <c:pt idx="31">
                  <c:v>2941.6666666666665</c:v>
                </c:pt>
                <c:pt idx="32">
                  <c:v>2941.6666666666665</c:v>
                </c:pt>
                <c:pt idx="33">
                  <c:v>2941.6666666666665</c:v>
                </c:pt>
                <c:pt idx="34">
                  <c:v>2941.6666666666665</c:v>
                </c:pt>
                <c:pt idx="35">
                  <c:v>2941.6666666666665</c:v>
                </c:pt>
                <c:pt idx="36">
                  <c:v>2941.6666666666665</c:v>
                </c:pt>
                <c:pt idx="37">
                  <c:v>2941.6666666666665</c:v>
                </c:pt>
                <c:pt idx="38">
                  <c:v>2941.6666666666665</c:v>
                </c:pt>
                <c:pt idx="39">
                  <c:v>2941.6666666666665</c:v>
                </c:pt>
                <c:pt idx="40">
                  <c:v>2941.6666666666665</c:v>
                </c:pt>
                <c:pt idx="41">
                  <c:v>2941.6666666666665</c:v>
                </c:pt>
                <c:pt idx="42">
                  <c:v>2941.6666666666665</c:v>
                </c:pt>
                <c:pt idx="43">
                  <c:v>2941.6666666666665</c:v>
                </c:pt>
                <c:pt idx="44">
                  <c:v>2941.6666666666665</c:v>
                </c:pt>
                <c:pt idx="45">
                  <c:v>2941.6666666666665</c:v>
                </c:pt>
                <c:pt idx="46">
                  <c:v>2941.6666666666665</c:v>
                </c:pt>
                <c:pt idx="47">
                  <c:v>2941.6666666666665</c:v>
                </c:pt>
                <c:pt idx="48">
                  <c:v>2941.6666666666665</c:v>
                </c:pt>
                <c:pt idx="49">
                  <c:v>2941.6666666666665</c:v>
                </c:pt>
                <c:pt idx="50">
                  <c:v>2941.6666666666665</c:v>
                </c:pt>
                <c:pt idx="51">
                  <c:v>2941.6666666666665</c:v>
                </c:pt>
                <c:pt idx="52">
                  <c:v>2941.6666666666665</c:v>
                </c:pt>
                <c:pt idx="53">
                  <c:v>2941.6666666666665</c:v>
                </c:pt>
                <c:pt idx="54">
                  <c:v>2941.6666666666665</c:v>
                </c:pt>
                <c:pt idx="55">
                  <c:v>2941.6666666666665</c:v>
                </c:pt>
                <c:pt idx="56">
                  <c:v>2941.6666666666665</c:v>
                </c:pt>
                <c:pt idx="57">
                  <c:v>2941.6666666666665</c:v>
                </c:pt>
                <c:pt idx="58">
                  <c:v>2941.6666666666665</c:v>
                </c:pt>
                <c:pt idx="59">
                  <c:v>2941.6666666666665</c:v>
                </c:pt>
                <c:pt idx="60">
                  <c:v>2941.6666666666665</c:v>
                </c:pt>
                <c:pt idx="61">
                  <c:v>2941.6666666666665</c:v>
                </c:pt>
                <c:pt idx="62">
                  <c:v>2941.6666666666665</c:v>
                </c:pt>
                <c:pt idx="63">
                  <c:v>2941.6666666666665</c:v>
                </c:pt>
                <c:pt idx="64">
                  <c:v>2941.6666666666665</c:v>
                </c:pt>
                <c:pt idx="65">
                  <c:v>2941.6666666666665</c:v>
                </c:pt>
                <c:pt idx="66">
                  <c:v>2941.6666666666665</c:v>
                </c:pt>
                <c:pt idx="67">
                  <c:v>2941.6666666666665</c:v>
                </c:pt>
                <c:pt idx="68">
                  <c:v>2941.6666666666665</c:v>
                </c:pt>
                <c:pt idx="69">
                  <c:v>2941.6666666666665</c:v>
                </c:pt>
                <c:pt idx="70">
                  <c:v>2941.6666666666665</c:v>
                </c:pt>
                <c:pt idx="71">
                  <c:v>2941.6666666666665</c:v>
                </c:pt>
                <c:pt idx="72">
                  <c:v>2941.6666666666665</c:v>
                </c:pt>
                <c:pt idx="73">
                  <c:v>2941.6666666666665</c:v>
                </c:pt>
                <c:pt idx="74">
                  <c:v>2941.6666666666665</c:v>
                </c:pt>
                <c:pt idx="75">
                  <c:v>2941.6666666666665</c:v>
                </c:pt>
                <c:pt idx="76">
                  <c:v>2941.6666666666665</c:v>
                </c:pt>
                <c:pt idx="77">
                  <c:v>2941.6666666666665</c:v>
                </c:pt>
                <c:pt idx="78">
                  <c:v>2941.6666666666665</c:v>
                </c:pt>
                <c:pt idx="79">
                  <c:v>2941.6666666666665</c:v>
                </c:pt>
                <c:pt idx="80">
                  <c:v>2941.6666666666665</c:v>
                </c:pt>
                <c:pt idx="81">
                  <c:v>2941.6666666666665</c:v>
                </c:pt>
                <c:pt idx="82">
                  <c:v>2941.6666666666665</c:v>
                </c:pt>
                <c:pt idx="83">
                  <c:v>2941.6666666666665</c:v>
                </c:pt>
                <c:pt idx="84">
                  <c:v>2941.6666666666665</c:v>
                </c:pt>
                <c:pt idx="85">
                  <c:v>2941.6666666666665</c:v>
                </c:pt>
                <c:pt idx="86">
                  <c:v>2941.6666666666665</c:v>
                </c:pt>
                <c:pt idx="87">
                  <c:v>2941.6666666666665</c:v>
                </c:pt>
                <c:pt idx="88">
                  <c:v>2941.6666666666665</c:v>
                </c:pt>
                <c:pt idx="89">
                  <c:v>2941.6666666666665</c:v>
                </c:pt>
                <c:pt idx="90">
                  <c:v>2941.6666666666665</c:v>
                </c:pt>
                <c:pt idx="91">
                  <c:v>2941.6666666666665</c:v>
                </c:pt>
                <c:pt idx="92">
                  <c:v>2941.6666666666665</c:v>
                </c:pt>
                <c:pt idx="93">
                  <c:v>2941.6666666666665</c:v>
                </c:pt>
                <c:pt idx="94">
                  <c:v>2941.6666666666665</c:v>
                </c:pt>
                <c:pt idx="95">
                  <c:v>2941.6666666666665</c:v>
                </c:pt>
                <c:pt idx="96">
                  <c:v>2941.6666666666665</c:v>
                </c:pt>
                <c:pt idx="97">
                  <c:v>2941.6666666666665</c:v>
                </c:pt>
                <c:pt idx="98">
                  <c:v>2941.6666666666665</c:v>
                </c:pt>
                <c:pt idx="99">
                  <c:v>2941.6666666666665</c:v>
                </c:pt>
                <c:pt idx="100">
                  <c:v>2941.6666666666665</c:v>
                </c:pt>
                <c:pt idx="101">
                  <c:v>2941.6666666666665</c:v>
                </c:pt>
                <c:pt idx="102">
                  <c:v>2941.6666666666665</c:v>
                </c:pt>
                <c:pt idx="103">
                  <c:v>2941.6666666666665</c:v>
                </c:pt>
                <c:pt idx="104">
                  <c:v>2941.6666666666665</c:v>
                </c:pt>
                <c:pt idx="105">
                  <c:v>2941.6666666666665</c:v>
                </c:pt>
                <c:pt idx="106">
                  <c:v>2941.6666666666665</c:v>
                </c:pt>
                <c:pt idx="107">
                  <c:v>2941.6666666666665</c:v>
                </c:pt>
                <c:pt idx="108">
                  <c:v>2941.6666666666665</c:v>
                </c:pt>
                <c:pt idx="109">
                  <c:v>2941.6666666666665</c:v>
                </c:pt>
                <c:pt idx="110">
                  <c:v>2941.6666666666665</c:v>
                </c:pt>
                <c:pt idx="111">
                  <c:v>2941.6666666666665</c:v>
                </c:pt>
                <c:pt idx="112">
                  <c:v>2941.6666666666665</c:v>
                </c:pt>
                <c:pt idx="113">
                  <c:v>2941.6666666666665</c:v>
                </c:pt>
                <c:pt idx="114">
                  <c:v>2941.6666666666665</c:v>
                </c:pt>
                <c:pt idx="115">
                  <c:v>2941.6666666666665</c:v>
                </c:pt>
                <c:pt idx="116">
                  <c:v>2941.6666666666665</c:v>
                </c:pt>
                <c:pt idx="117">
                  <c:v>2941.6666666666665</c:v>
                </c:pt>
                <c:pt idx="118">
                  <c:v>2941.6666666666665</c:v>
                </c:pt>
                <c:pt idx="119">
                  <c:v>2941.6666666666665</c:v>
                </c:pt>
                <c:pt idx="120">
                  <c:v>2941.6666666666665</c:v>
                </c:pt>
                <c:pt idx="121">
                  <c:v>2941.6666666666665</c:v>
                </c:pt>
                <c:pt idx="122">
                  <c:v>2941.6666666666665</c:v>
                </c:pt>
                <c:pt idx="123">
                  <c:v>2941.6666666666665</c:v>
                </c:pt>
                <c:pt idx="124">
                  <c:v>2941.6666666666665</c:v>
                </c:pt>
                <c:pt idx="125">
                  <c:v>2941.6666666666665</c:v>
                </c:pt>
                <c:pt idx="126">
                  <c:v>2941.6666666666665</c:v>
                </c:pt>
                <c:pt idx="127">
                  <c:v>2941.6666666666665</c:v>
                </c:pt>
                <c:pt idx="128">
                  <c:v>2941.6666666666665</c:v>
                </c:pt>
                <c:pt idx="129">
                  <c:v>2941.6666666666665</c:v>
                </c:pt>
                <c:pt idx="130">
                  <c:v>2941.6666666666665</c:v>
                </c:pt>
                <c:pt idx="131">
                  <c:v>2941.6666666666665</c:v>
                </c:pt>
                <c:pt idx="132">
                  <c:v>2941.6666666666665</c:v>
                </c:pt>
                <c:pt idx="133">
                  <c:v>2941.6666666666665</c:v>
                </c:pt>
                <c:pt idx="134">
                  <c:v>2941.6666666666665</c:v>
                </c:pt>
                <c:pt idx="135">
                  <c:v>2941.6666666666665</c:v>
                </c:pt>
                <c:pt idx="136">
                  <c:v>2941.6666666666665</c:v>
                </c:pt>
                <c:pt idx="137">
                  <c:v>2941.6666666666665</c:v>
                </c:pt>
                <c:pt idx="138">
                  <c:v>2941.6666666666665</c:v>
                </c:pt>
                <c:pt idx="139">
                  <c:v>2941.6666666666665</c:v>
                </c:pt>
                <c:pt idx="140">
                  <c:v>2941.6666666666665</c:v>
                </c:pt>
                <c:pt idx="141">
                  <c:v>2941.6666666666665</c:v>
                </c:pt>
                <c:pt idx="142">
                  <c:v>2941.6666666666665</c:v>
                </c:pt>
                <c:pt idx="143">
                  <c:v>2941.6666666666665</c:v>
                </c:pt>
                <c:pt idx="144">
                  <c:v>2941.6666666666665</c:v>
                </c:pt>
                <c:pt idx="145">
                  <c:v>2941.6666666666665</c:v>
                </c:pt>
                <c:pt idx="146">
                  <c:v>2941.6666666666665</c:v>
                </c:pt>
                <c:pt idx="147">
                  <c:v>2941.6666666666665</c:v>
                </c:pt>
                <c:pt idx="148">
                  <c:v>2941.6666666666665</c:v>
                </c:pt>
                <c:pt idx="149">
                  <c:v>2941.6666666666665</c:v>
                </c:pt>
                <c:pt idx="150">
                  <c:v>2941.6666666666665</c:v>
                </c:pt>
                <c:pt idx="151">
                  <c:v>2941.6666666666665</c:v>
                </c:pt>
                <c:pt idx="152">
                  <c:v>2941.6666666666665</c:v>
                </c:pt>
                <c:pt idx="153">
                  <c:v>2941.6666666666665</c:v>
                </c:pt>
                <c:pt idx="154">
                  <c:v>2941.6666666666665</c:v>
                </c:pt>
                <c:pt idx="155">
                  <c:v>2941.6666666666665</c:v>
                </c:pt>
                <c:pt idx="156">
                  <c:v>2941.6666666666665</c:v>
                </c:pt>
                <c:pt idx="157">
                  <c:v>2941.6666666666665</c:v>
                </c:pt>
                <c:pt idx="158">
                  <c:v>2941.6666666666665</c:v>
                </c:pt>
                <c:pt idx="159">
                  <c:v>2941.6666666666665</c:v>
                </c:pt>
                <c:pt idx="160">
                  <c:v>2941.6666666666665</c:v>
                </c:pt>
                <c:pt idx="161">
                  <c:v>2941.6666666666665</c:v>
                </c:pt>
                <c:pt idx="162">
                  <c:v>2941.6666666666665</c:v>
                </c:pt>
                <c:pt idx="163">
                  <c:v>2941.6666666666665</c:v>
                </c:pt>
                <c:pt idx="164">
                  <c:v>2941.6666666666665</c:v>
                </c:pt>
                <c:pt idx="165">
                  <c:v>2941.6666666666665</c:v>
                </c:pt>
                <c:pt idx="166">
                  <c:v>2941.6666666666665</c:v>
                </c:pt>
                <c:pt idx="167">
                  <c:v>2941.6666666666665</c:v>
                </c:pt>
                <c:pt idx="168">
                  <c:v>2941.6666666666665</c:v>
                </c:pt>
                <c:pt idx="169">
                  <c:v>2941.6666666666665</c:v>
                </c:pt>
                <c:pt idx="170">
                  <c:v>2941.6666666666665</c:v>
                </c:pt>
                <c:pt idx="171">
                  <c:v>2941.6666666666665</c:v>
                </c:pt>
                <c:pt idx="172">
                  <c:v>2941.6666666666665</c:v>
                </c:pt>
                <c:pt idx="173">
                  <c:v>2941.6666666666665</c:v>
                </c:pt>
                <c:pt idx="174">
                  <c:v>2941.6666666666665</c:v>
                </c:pt>
                <c:pt idx="175">
                  <c:v>2941.6666666666665</c:v>
                </c:pt>
                <c:pt idx="176">
                  <c:v>2941.6666666666665</c:v>
                </c:pt>
                <c:pt idx="177">
                  <c:v>2941.6666666666665</c:v>
                </c:pt>
                <c:pt idx="178">
                  <c:v>2941.6666666666665</c:v>
                </c:pt>
                <c:pt idx="179">
                  <c:v>2941.6666666666665</c:v>
                </c:pt>
                <c:pt idx="180">
                  <c:v>2941.6666666666665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C-419C-97F8-BCE93983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19488"/>
        <c:axId val="243521024"/>
      </c:lineChart>
      <c:dateAx>
        <c:axId val="243519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3521024"/>
        <c:crosses val="autoZero"/>
        <c:auto val="1"/>
        <c:lblOffset val="100"/>
        <c:baseTimeUnit val="days"/>
      </c:dateAx>
      <c:valAx>
        <c:axId val="243521024"/>
        <c:scaling>
          <c:orientation val="minMax"/>
          <c:max val="2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3519488"/>
        <c:crosses val="autoZero"/>
        <c:crossBetween val="between"/>
        <c:majorUnit val="5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Tot-N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522751575245017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Statistik!$O$8</c:f>
              <c:strCache>
                <c:ptCount val="1"/>
                <c:pt idx="0">
                  <c:v> Tot-N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Statistik!$O$9:$O$192</c:f>
              <c:numCache>
                <c:formatCode>0</c:formatCode>
                <c:ptCount val="184"/>
                <c:pt idx="1">
                  <c:v>4400</c:v>
                </c:pt>
                <c:pt idx="2">
                  <c:v>3200</c:v>
                </c:pt>
                <c:pt idx="3">
                  <c:v>3900</c:v>
                </c:pt>
                <c:pt idx="4">
                  <c:v>2900</c:v>
                </c:pt>
                <c:pt idx="5">
                  <c:v>2600</c:v>
                </c:pt>
                <c:pt idx="6">
                  <c:v>2400</c:v>
                </c:pt>
                <c:pt idx="7">
                  <c:v>1900</c:v>
                </c:pt>
                <c:pt idx="8">
                  <c:v>5000</c:v>
                </c:pt>
                <c:pt idx="9">
                  <c:v>5200</c:v>
                </c:pt>
                <c:pt idx="10">
                  <c:v>2900</c:v>
                </c:pt>
                <c:pt idx="11">
                  <c:v>7900</c:v>
                </c:pt>
                <c:pt idx="12">
                  <c:v>6200</c:v>
                </c:pt>
                <c:pt idx="13">
                  <c:v>5300</c:v>
                </c:pt>
                <c:pt idx="14">
                  <c:v>5000</c:v>
                </c:pt>
                <c:pt idx="15">
                  <c:v>4100</c:v>
                </c:pt>
                <c:pt idx="16">
                  <c:v>3500</c:v>
                </c:pt>
                <c:pt idx="17">
                  <c:v>2500</c:v>
                </c:pt>
                <c:pt idx="18">
                  <c:v>2200</c:v>
                </c:pt>
                <c:pt idx="19">
                  <c:v>2200</c:v>
                </c:pt>
                <c:pt idx="20">
                  <c:v>2900</c:v>
                </c:pt>
                <c:pt idx="21">
                  <c:v>2400</c:v>
                </c:pt>
                <c:pt idx="22">
                  <c:v>3900</c:v>
                </c:pt>
                <c:pt idx="23">
                  <c:v>2800</c:v>
                </c:pt>
                <c:pt idx="24">
                  <c:v>6000</c:v>
                </c:pt>
                <c:pt idx="25">
                  <c:v>3800</c:v>
                </c:pt>
                <c:pt idx="26">
                  <c:v>3500</c:v>
                </c:pt>
                <c:pt idx="27">
                  <c:v>3800</c:v>
                </c:pt>
                <c:pt idx="28">
                  <c:v>2600</c:v>
                </c:pt>
                <c:pt idx="29">
                  <c:v>2100</c:v>
                </c:pt>
                <c:pt idx="30">
                  <c:v>2200</c:v>
                </c:pt>
                <c:pt idx="31">
                  <c:v>1700</c:v>
                </c:pt>
                <c:pt idx="32">
                  <c:v>1100</c:v>
                </c:pt>
                <c:pt idx="33">
                  <c:v>1500</c:v>
                </c:pt>
                <c:pt idx="34">
                  <c:v>3200</c:v>
                </c:pt>
                <c:pt idx="35">
                  <c:v>4500</c:v>
                </c:pt>
                <c:pt idx="36">
                  <c:v>7900</c:v>
                </c:pt>
                <c:pt idx="37">
                  <c:v>5100</c:v>
                </c:pt>
                <c:pt idx="38">
                  <c:v>4300</c:v>
                </c:pt>
                <c:pt idx="39">
                  <c:v>4300</c:v>
                </c:pt>
                <c:pt idx="40">
                  <c:v>2900</c:v>
                </c:pt>
                <c:pt idx="41">
                  <c:v>1700</c:v>
                </c:pt>
                <c:pt idx="42">
                  <c:v>1800</c:v>
                </c:pt>
                <c:pt idx="43">
                  <c:v>1400</c:v>
                </c:pt>
                <c:pt idx="44">
                  <c:v>1600</c:v>
                </c:pt>
                <c:pt idx="45">
                  <c:v>1600</c:v>
                </c:pt>
                <c:pt idx="46">
                  <c:v>6700</c:v>
                </c:pt>
                <c:pt idx="47">
                  <c:v>9200</c:v>
                </c:pt>
                <c:pt idx="48">
                  <c:v>8500</c:v>
                </c:pt>
                <c:pt idx="49">
                  <c:v>5300</c:v>
                </c:pt>
                <c:pt idx="50">
                  <c:v>6000</c:v>
                </c:pt>
                <c:pt idx="51">
                  <c:v>4000</c:v>
                </c:pt>
                <c:pt idx="52">
                  <c:v>3400</c:v>
                </c:pt>
                <c:pt idx="53">
                  <c:v>2500</c:v>
                </c:pt>
                <c:pt idx="54">
                  <c:v>2000</c:v>
                </c:pt>
                <c:pt idx="55">
                  <c:v>1500</c:v>
                </c:pt>
                <c:pt idx="56">
                  <c:v>1400</c:v>
                </c:pt>
                <c:pt idx="57">
                  <c:v>1400</c:v>
                </c:pt>
                <c:pt idx="58">
                  <c:v>4700</c:v>
                </c:pt>
                <c:pt idx="59">
                  <c:v>3700</c:v>
                </c:pt>
                <c:pt idx="60">
                  <c:v>6700</c:v>
                </c:pt>
                <c:pt idx="61">
                  <c:v>5000</c:v>
                </c:pt>
                <c:pt idx="62">
                  <c:v>5000</c:v>
                </c:pt>
                <c:pt idx="63">
                  <c:v>4000</c:v>
                </c:pt>
                <c:pt idx="64">
                  <c:v>3400</c:v>
                </c:pt>
                <c:pt idx="65">
                  <c:v>2200</c:v>
                </c:pt>
                <c:pt idx="66">
                  <c:v>2400</c:v>
                </c:pt>
                <c:pt idx="67">
                  <c:v>2000</c:v>
                </c:pt>
                <c:pt idx="68">
                  <c:v>1400</c:v>
                </c:pt>
                <c:pt idx="69">
                  <c:v>1600</c:v>
                </c:pt>
                <c:pt idx="70">
                  <c:v>1500</c:v>
                </c:pt>
                <c:pt idx="71">
                  <c:v>5500</c:v>
                </c:pt>
                <c:pt idx="72">
                  <c:v>6500</c:v>
                </c:pt>
                <c:pt idx="73">
                  <c:v>3800</c:v>
                </c:pt>
                <c:pt idx="74">
                  <c:v>4400</c:v>
                </c:pt>
                <c:pt idx="75">
                  <c:v>3700</c:v>
                </c:pt>
                <c:pt idx="76">
                  <c:v>2600</c:v>
                </c:pt>
                <c:pt idx="77">
                  <c:v>2500</c:v>
                </c:pt>
                <c:pt idx="78">
                  <c:v>2000</c:v>
                </c:pt>
                <c:pt idx="79">
                  <c:v>3600</c:v>
                </c:pt>
                <c:pt idx="80">
                  <c:v>1400</c:v>
                </c:pt>
                <c:pt idx="81">
                  <c:v>1400</c:v>
                </c:pt>
                <c:pt idx="82">
                  <c:v>3000</c:v>
                </c:pt>
                <c:pt idx="83">
                  <c:v>4800</c:v>
                </c:pt>
                <c:pt idx="84">
                  <c:v>6000</c:v>
                </c:pt>
                <c:pt idx="85">
                  <c:v>3800</c:v>
                </c:pt>
                <c:pt idx="86">
                  <c:v>4200</c:v>
                </c:pt>
                <c:pt idx="87">
                  <c:v>4500</c:v>
                </c:pt>
                <c:pt idx="88">
                  <c:v>3100</c:v>
                </c:pt>
                <c:pt idx="89">
                  <c:v>1800</c:v>
                </c:pt>
                <c:pt idx="90">
                  <c:v>2000</c:v>
                </c:pt>
                <c:pt idx="91">
                  <c:v>1600</c:v>
                </c:pt>
                <c:pt idx="92">
                  <c:v>1200</c:v>
                </c:pt>
                <c:pt idx="93">
                  <c:v>6300</c:v>
                </c:pt>
                <c:pt idx="94">
                  <c:v>4500</c:v>
                </c:pt>
                <c:pt idx="95">
                  <c:v>3600</c:v>
                </c:pt>
                <c:pt idx="96">
                  <c:v>4600</c:v>
                </c:pt>
                <c:pt idx="97">
                  <c:v>10000</c:v>
                </c:pt>
                <c:pt idx="98">
                  <c:v>4400</c:v>
                </c:pt>
                <c:pt idx="99">
                  <c:v>3900</c:v>
                </c:pt>
                <c:pt idx="100">
                  <c:v>3500</c:v>
                </c:pt>
                <c:pt idx="101">
                  <c:v>2000</c:v>
                </c:pt>
                <c:pt idx="102">
                  <c:v>2000</c:v>
                </c:pt>
                <c:pt idx="103">
                  <c:v>1300</c:v>
                </c:pt>
                <c:pt idx="104">
                  <c:v>1300</c:v>
                </c:pt>
                <c:pt idx="105">
                  <c:v>1500</c:v>
                </c:pt>
                <c:pt idx="106">
                  <c:v>3000</c:v>
                </c:pt>
                <c:pt idx="107">
                  <c:v>4400</c:v>
                </c:pt>
                <c:pt idx="108">
                  <c:v>12000</c:v>
                </c:pt>
                <c:pt idx="109">
                  <c:v>7200</c:v>
                </c:pt>
                <c:pt idx="110">
                  <c:v>6400</c:v>
                </c:pt>
                <c:pt idx="111">
                  <c:v>7100</c:v>
                </c:pt>
                <c:pt idx="112">
                  <c:v>3100</c:v>
                </c:pt>
                <c:pt idx="113">
                  <c:v>2000</c:v>
                </c:pt>
                <c:pt idx="114">
                  <c:v>2100</c:v>
                </c:pt>
                <c:pt idx="115">
                  <c:v>1000</c:v>
                </c:pt>
                <c:pt idx="116">
                  <c:v>1100</c:v>
                </c:pt>
                <c:pt idx="117">
                  <c:v>1700</c:v>
                </c:pt>
                <c:pt idx="118">
                  <c:v>2500</c:v>
                </c:pt>
                <c:pt idx="119">
                  <c:v>7500</c:v>
                </c:pt>
                <c:pt idx="120">
                  <c:v>12000</c:v>
                </c:pt>
                <c:pt idx="121">
                  <c:v>9000</c:v>
                </c:pt>
                <c:pt idx="122">
                  <c:v>6600</c:v>
                </c:pt>
                <c:pt idx="123">
                  <c:v>4500</c:v>
                </c:pt>
                <c:pt idx="124">
                  <c:v>2600</c:v>
                </c:pt>
                <c:pt idx="125">
                  <c:v>2000</c:v>
                </c:pt>
                <c:pt idx="126">
                  <c:v>1900</c:v>
                </c:pt>
                <c:pt idx="127">
                  <c:v>1600</c:v>
                </c:pt>
                <c:pt idx="128">
                  <c:v>1300</c:v>
                </c:pt>
                <c:pt idx="129">
                  <c:v>1600</c:v>
                </c:pt>
                <c:pt idx="130">
                  <c:v>3600</c:v>
                </c:pt>
                <c:pt idx="131">
                  <c:v>4500</c:v>
                </c:pt>
                <c:pt idx="132">
                  <c:v>4000</c:v>
                </c:pt>
                <c:pt idx="133">
                  <c:v>6800</c:v>
                </c:pt>
                <c:pt idx="134">
                  <c:v>5600</c:v>
                </c:pt>
                <c:pt idx="135">
                  <c:v>4300</c:v>
                </c:pt>
                <c:pt idx="136">
                  <c:v>2600</c:v>
                </c:pt>
                <c:pt idx="137">
                  <c:v>2100</c:v>
                </c:pt>
                <c:pt idx="138">
                  <c:v>1900</c:v>
                </c:pt>
                <c:pt idx="139">
                  <c:v>1700</c:v>
                </c:pt>
                <c:pt idx="140">
                  <c:v>2000</c:v>
                </c:pt>
                <c:pt idx="141">
                  <c:v>1800</c:v>
                </c:pt>
                <c:pt idx="142">
                  <c:v>4500</c:v>
                </c:pt>
                <c:pt idx="143">
                  <c:v>6800</c:v>
                </c:pt>
                <c:pt idx="144">
                  <c:v>4300</c:v>
                </c:pt>
                <c:pt idx="145">
                  <c:v>4600</c:v>
                </c:pt>
                <c:pt idx="146">
                  <c:v>4500</c:v>
                </c:pt>
                <c:pt idx="147">
                  <c:v>3900</c:v>
                </c:pt>
                <c:pt idx="148">
                  <c:v>3400</c:v>
                </c:pt>
                <c:pt idx="149">
                  <c:v>1900</c:v>
                </c:pt>
                <c:pt idx="150">
                  <c:v>1900</c:v>
                </c:pt>
                <c:pt idx="151">
                  <c:v>1200</c:v>
                </c:pt>
                <c:pt idx="152">
                  <c:v>1400</c:v>
                </c:pt>
                <c:pt idx="153">
                  <c:v>1400</c:v>
                </c:pt>
                <c:pt idx="154">
                  <c:v>2900</c:v>
                </c:pt>
                <c:pt idx="155">
                  <c:v>3600</c:v>
                </c:pt>
                <c:pt idx="156">
                  <c:v>4700</c:v>
                </c:pt>
                <c:pt idx="157">
                  <c:v>6100</c:v>
                </c:pt>
                <c:pt idx="158">
                  <c:v>4800</c:v>
                </c:pt>
                <c:pt idx="159">
                  <c:v>5600</c:v>
                </c:pt>
                <c:pt idx="160">
                  <c:v>3400</c:v>
                </c:pt>
                <c:pt idx="161">
                  <c:v>2600</c:v>
                </c:pt>
                <c:pt idx="162">
                  <c:v>1700</c:v>
                </c:pt>
                <c:pt idx="163">
                  <c:v>1400</c:v>
                </c:pt>
                <c:pt idx="164">
                  <c:v>4000</c:v>
                </c:pt>
                <c:pt idx="165">
                  <c:v>2000</c:v>
                </c:pt>
                <c:pt idx="166">
                  <c:v>3800</c:v>
                </c:pt>
                <c:pt idx="167">
                  <c:v>4600</c:v>
                </c:pt>
                <c:pt idx="168">
                  <c:v>4700</c:v>
                </c:pt>
                <c:pt idx="169">
                  <c:v>4500</c:v>
                </c:pt>
                <c:pt idx="170">
                  <c:v>4000</c:v>
                </c:pt>
                <c:pt idx="171">
                  <c:v>3200</c:v>
                </c:pt>
                <c:pt idx="172">
                  <c:v>3900</c:v>
                </c:pt>
                <c:pt idx="173">
                  <c:v>2600</c:v>
                </c:pt>
                <c:pt idx="174">
                  <c:v>1800</c:v>
                </c:pt>
                <c:pt idx="175">
                  <c:v>1400</c:v>
                </c:pt>
                <c:pt idx="176">
                  <c:v>1100</c:v>
                </c:pt>
                <c:pt idx="177">
                  <c:v>1400</c:v>
                </c:pt>
                <c:pt idx="178">
                  <c:v>1900</c:v>
                </c:pt>
                <c:pt idx="179">
                  <c:v>2100</c:v>
                </c:pt>
                <c:pt idx="180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D-462C-A9ED-8CE040ACD5C1}"/>
            </c:ext>
          </c:extLst>
        </c:ser>
        <c:ser>
          <c:idx val="1"/>
          <c:order val="1"/>
          <c:tx>
            <c:strRef>
              <c:f>Statistik!$BF$8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Statistik!$BF$9:$BF$192</c:f>
              <c:numCache>
                <c:formatCode>0</c:formatCode>
                <c:ptCount val="184"/>
                <c:pt idx="0">
                  <c:v>3577.2222222222222</c:v>
                </c:pt>
                <c:pt idx="1">
                  <c:v>3577.2222222222222</c:v>
                </c:pt>
                <c:pt idx="2">
                  <c:v>3577.2222222222222</c:v>
                </c:pt>
                <c:pt idx="3">
                  <c:v>3577.2222222222222</c:v>
                </c:pt>
                <c:pt idx="4">
                  <c:v>3577.2222222222222</c:v>
                </c:pt>
                <c:pt idx="5">
                  <c:v>3577.2222222222222</c:v>
                </c:pt>
                <c:pt idx="6">
                  <c:v>3577.2222222222222</c:v>
                </c:pt>
                <c:pt idx="7">
                  <c:v>3577.2222222222222</c:v>
                </c:pt>
                <c:pt idx="8">
                  <c:v>3577.2222222222222</c:v>
                </c:pt>
                <c:pt idx="9">
                  <c:v>3577.2222222222222</c:v>
                </c:pt>
                <c:pt idx="10">
                  <c:v>3577.2222222222222</c:v>
                </c:pt>
                <c:pt idx="11">
                  <c:v>3577.2222222222222</c:v>
                </c:pt>
                <c:pt idx="12">
                  <c:v>3577.2222222222222</c:v>
                </c:pt>
                <c:pt idx="13">
                  <c:v>3577.2222222222222</c:v>
                </c:pt>
                <c:pt idx="14">
                  <c:v>3577.2222222222222</c:v>
                </c:pt>
                <c:pt idx="15">
                  <c:v>3577.2222222222222</c:v>
                </c:pt>
                <c:pt idx="16">
                  <c:v>3577.2222222222222</c:v>
                </c:pt>
                <c:pt idx="17">
                  <c:v>3577.2222222222222</c:v>
                </c:pt>
                <c:pt idx="18">
                  <c:v>3577.2222222222222</c:v>
                </c:pt>
                <c:pt idx="19">
                  <c:v>3577.2222222222222</c:v>
                </c:pt>
                <c:pt idx="20">
                  <c:v>3577.2222222222222</c:v>
                </c:pt>
                <c:pt idx="21">
                  <c:v>3577.2222222222222</c:v>
                </c:pt>
                <c:pt idx="22">
                  <c:v>3577.2222222222222</c:v>
                </c:pt>
                <c:pt idx="23">
                  <c:v>3577.2222222222222</c:v>
                </c:pt>
                <c:pt idx="24">
                  <c:v>3577.2222222222222</c:v>
                </c:pt>
                <c:pt idx="25">
                  <c:v>3577.2222222222222</c:v>
                </c:pt>
                <c:pt idx="26">
                  <c:v>3577.2222222222222</c:v>
                </c:pt>
                <c:pt idx="27">
                  <c:v>3577.2222222222222</c:v>
                </c:pt>
                <c:pt idx="28">
                  <c:v>3577.2222222222222</c:v>
                </c:pt>
                <c:pt idx="29">
                  <c:v>3577.2222222222222</c:v>
                </c:pt>
                <c:pt idx="30">
                  <c:v>3577.2222222222222</c:v>
                </c:pt>
                <c:pt idx="31">
                  <c:v>3577.2222222222222</c:v>
                </c:pt>
                <c:pt idx="32">
                  <c:v>3577.2222222222222</c:v>
                </c:pt>
                <c:pt idx="33">
                  <c:v>3577.2222222222222</c:v>
                </c:pt>
                <c:pt idx="34">
                  <c:v>3577.2222222222222</c:v>
                </c:pt>
                <c:pt idx="35">
                  <c:v>3577.2222222222222</c:v>
                </c:pt>
                <c:pt idx="36">
                  <c:v>3577.2222222222222</c:v>
                </c:pt>
                <c:pt idx="37">
                  <c:v>3577.2222222222222</c:v>
                </c:pt>
                <c:pt idx="38">
                  <c:v>3577.2222222222222</c:v>
                </c:pt>
                <c:pt idx="39">
                  <c:v>3577.2222222222222</c:v>
                </c:pt>
                <c:pt idx="40">
                  <c:v>3577.2222222222222</c:v>
                </c:pt>
                <c:pt idx="41">
                  <c:v>3577.2222222222222</c:v>
                </c:pt>
                <c:pt idx="42">
                  <c:v>3577.2222222222222</c:v>
                </c:pt>
                <c:pt idx="43">
                  <c:v>3577.2222222222222</c:v>
                </c:pt>
                <c:pt idx="44">
                  <c:v>3577.2222222222222</c:v>
                </c:pt>
                <c:pt idx="45">
                  <c:v>3577.2222222222222</c:v>
                </c:pt>
                <c:pt idx="46">
                  <c:v>3577.2222222222222</c:v>
                </c:pt>
                <c:pt idx="47">
                  <c:v>3577.2222222222222</c:v>
                </c:pt>
                <c:pt idx="48">
                  <c:v>3577.2222222222222</c:v>
                </c:pt>
                <c:pt idx="49">
                  <c:v>3577.2222222222222</c:v>
                </c:pt>
                <c:pt idx="50">
                  <c:v>3577.2222222222222</c:v>
                </c:pt>
                <c:pt idx="51">
                  <c:v>3577.2222222222222</c:v>
                </c:pt>
                <c:pt idx="52">
                  <c:v>3577.2222222222222</c:v>
                </c:pt>
                <c:pt idx="53">
                  <c:v>3577.2222222222222</c:v>
                </c:pt>
                <c:pt idx="54">
                  <c:v>3577.2222222222222</c:v>
                </c:pt>
                <c:pt idx="55">
                  <c:v>3577.2222222222222</c:v>
                </c:pt>
                <c:pt idx="56">
                  <c:v>3577.2222222222222</c:v>
                </c:pt>
                <c:pt idx="57">
                  <c:v>3577.2222222222222</c:v>
                </c:pt>
                <c:pt idx="58">
                  <c:v>3577.2222222222222</c:v>
                </c:pt>
                <c:pt idx="59">
                  <c:v>3577.2222222222222</c:v>
                </c:pt>
                <c:pt idx="60">
                  <c:v>3577.2222222222222</c:v>
                </c:pt>
                <c:pt idx="61">
                  <c:v>3577.2222222222222</c:v>
                </c:pt>
                <c:pt idx="62">
                  <c:v>3577.2222222222222</c:v>
                </c:pt>
                <c:pt idx="63">
                  <c:v>3577.2222222222222</c:v>
                </c:pt>
                <c:pt idx="64">
                  <c:v>3577.2222222222222</c:v>
                </c:pt>
                <c:pt idx="65">
                  <c:v>3577.2222222222222</c:v>
                </c:pt>
                <c:pt idx="66">
                  <c:v>3577.2222222222222</c:v>
                </c:pt>
                <c:pt idx="67">
                  <c:v>3577.2222222222222</c:v>
                </c:pt>
                <c:pt idx="68">
                  <c:v>3577.2222222222222</c:v>
                </c:pt>
                <c:pt idx="69">
                  <c:v>3577.2222222222222</c:v>
                </c:pt>
                <c:pt idx="70">
                  <c:v>3577.2222222222222</c:v>
                </c:pt>
                <c:pt idx="71">
                  <c:v>3577.2222222222222</c:v>
                </c:pt>
                <c:pt idx="72">
                  <c:v>3577.2222222222222</c:v>
                </c:pt>
                <c:pt idx="73">
                  <c:v>3577.2222222222222</c:v>
                </c:pt>
                <c:pt idx="74">
                  <c:v>3577.2222222222222</c:v>
                </c:pt>
                <c:pt idx="75">
                  <c:v>3577.2222222222222</c:v>
                </c:pt>
                <c:pt idx="76">
                  <c:v>3577.2222222222222</c:v>
                </c:pt>
                <c:pt idx="77">
                  <c:v>3577.2222222222222</c:v>
                </c:pt>
                <c:pt idx="78">
                  <c:v>3577.2222222222222</c:v>
                </c:pt>
                <c:pt idx="79">
                  <c:v>3577.2222222222222</c:v>
                </c:pt>
                <c:pt idx="80">
                  <c:v>3577.2222222222222</c:v>
                </c:pt>
                <c:pt idx="81">
                  <c:v>3577.2222222222222</c:v>
                </c:pt>
                <c:pt idx="82">
                  <c:v>3577.2222222222222</c:v>
                </c:pt>
                <c:pt idx="83">
                  <c:v>3577.2222222222222</c:v>
                </c:pt>
                <c:pt idx="84">
                  <c:v>3577.2222222222222</c:v>
                </c:pt>
                <c:pt idx="85">
                  <c:v>3577.2222222222222</c:v>
                </c:pt>
                <c:pt idx="86">
                  <c:v>3577.2222222222222</c:v>
                </c:pt>
                <c:pt idx="87">
                  <c:v>3577.2222222222222</c:v>
                </c:pt>
                <c:pt idx="88">
                  <c:v>3577.2222222222222</c:v>
                </c:pt>
                <c:pt idx="89">
                  <c:v>3577.2222222222222</c:v>
                </c:pt>
                <c:pt idx="90">
                  <c:v>3577.2222222222222</c:v>
                </c:pt>
                <c:pt idx="91">
                  <c:v>3577.2222222222222</c:v>
                </c:pt>
                <c:pt idx="92">
                  <c:v>3577.2222222222222</c:v>
                </c:pt>
                <c:pt idx="93">
                  <c:v>3577.2222222222222</c:v>
                </c:pt>
                <c:pt idx="94">
                  <c:v>3577.2222222222222</c:v>
                </c:pt>
                <c:pt idx="95">
                  <c:v>3577.2222222222222</c:v>
                </c:pt>
                <c:pt idx="96">
                  <c:v>3577.2222222222222</c:v>
                </c:pt>
                <c:pt idx="97">
                  <c:v>3577.2222222222222</c:v>
                </c:pt>
                <c:pt idx="98">
                  <c:v>3577.2222222222222</c:v>
                </c:pt>
                <c:pt idx="99">
                  <c:v>3577.2222222222222</c:v>
                </c:pt>
                <c:pt idx="100">
                  <c:v>3577.2222222222222</c:v>
                </c:pt>
                <c:pt idx="101">
                  <c:v>3577.2222222222222</c:v>
                </c:pt>
                <c:pt idx="102">
                  <c:v>3577.2222222222222</c:v>
                </c:pt>
                <c:pt idx="103">
                  <c:v>3577.2222222222222</c:v>
                </c:pt>
                <c:pt idx="104">
                  <c:v>3577.2222222222222</c:v>
                </c:pt>
                <c:pt idx="105">
                  <c:v>3577.2222222222222</c:v>
                </c:pt>
                <c:pt idx="106">
                  <c:v>3577.2222222222222</c:v>
                </c:pt>
                <c:pt idx="107">
                  <c:v>3577.2222222222222</c:v>
                </c:pt>
                <c:pt idx="108">
                  <c:v>3577.2222222222222</c:v>
                </c:pt>
                <c:pt idx="109">
                  <c:v>3577.2222222222222</c:v>
                </c:pt>
                <c:pt idx="110">
                  <c:v>3577.2222222222222</c:v>
                </c:pt>
                <c:pt idx="111">
                  <c:v>3577.2222222222222</c:v>
                </c:pt>
                <c:pt idx="112">
                  <c:v>3577.2222222222222</c:v>
                </c:pt>
                <c:pt idx="113">
                  <c:v>3577.2222222222222</c:v>
                </c:pt>
                <c:pt idx="114">
                  <c:v>3577.2222222222222</c:v>
                </c:pt>
                <c:pt idx="115">
                  <c:v>3577.2222222222222</c:v>
                </c:pt>
                <c:pt idx="116">
                  <c:v>3577.2222222222222</c:v>
                </c:pt>
                <c:pt idx="117">
                  <c:v>3577.2222222222222</c:v>
                </c:pt>
                <c:pt idx="118">
                  <c:v>3577.2222222222222</c:v>
                </c:pt>
                <c:pt idx="119">
                  <c:v>3577.2222222222222</c:v>
                </c:pt>
                <c:pt idx="120">
                  <c:v>3577.2222222222222</c:v>
                </c:pt>
                <c:pt idx="121">
                  <c:v>3577.2222222222222</c:v>
                </c:pt>
                <c:pt idx="122">
                  <c:v>3577.2222222222222</c:v>
                </c:pt>
                <c:pt idx="123">
                  <c:v>3577.2222222222222</c:v>
                </c:pt>
                <c:pt idx="124">
                  <c:v>3577.2222222222222</c:v>
                </c:pt>
                <c:pt idx="125">
                  <c:v>3577.2222222222222</c:v>
                </c:pt>
                <c:pt idx="126">
                  <c:v>3577.2222222222222</c:v>
                </c:pt>
                <c:pt idx="127">
                  <c:v>3577.2222222222222</c:v>
                </c:pt>
                <c:pt idx="128">
                  <c:v>3577.2222222222222</c:v>
                </c:pt>
                <c:pt idx="129">
                  <c:v>3577.2222222222222</c:v>
                </c:pt>
                <c:pt idx="130">
                  <c:v>3577.2222222222222</c:v>
                </c:pt>
                <c:pt idx="131">
                  <c:v>3577.2222222222222</c:v>
                </c:pt>
                <c:pt idx="132">
                  <c:v>3577.2222222222222</c:v>
                </c:pt>
                <c:pt idx="133">
                  <c:v>3577.2222222222222</c:v>
                </c:pt>
                <c:pt idx="134">
                  <c:v>3577.2222222222222</c:v>
                </c:pt>
                <c:pt idx="135">
                  <c:v>3577.2222222222222</c:v>
                </c:pt>
                <c:pt idx="136">
                  <c:v>3577.2222222222222</c:v>
                </c:pt>
                <c:pt idx="137">
                  <c:v>3577.2222222222222</c:v>
                </c:pt>
                <c:pt idx="138">
                  <c:v>3577.2222222222222</c:v>
                </c:pt>
                <c:pt idx="139">
                  <c:v>3577.2222222222222</c:v>
                </c:pt>
                <c:pt idx="140">
                  <c:v>3577.2222222222222</c:v>
                </c:pt>
                <c:pt idx="141">
                  <c:v>3577.2222222222222</c:v>
                </c:pt>
                <c:pt idx="142">
                  <c:v>3577.2222222222222</c:v>
                </c:pt>
                <c:pt idx="143">
                  <c:v>3577.2222222222222</c:v>
                </c:pt>
                <c:pt idx="144">
                  <c:v>3577.2222222222222</c:v>
                </c:pt>
                <c:pt idx="145">
                  <c:v>3577.2222222222222</c:v>
                </c:pt>
                <c:pt idx="146">
                  <c:v>3577.2222222222222</c:v>
                </c:pt>
                <c:pt idx="147">
                  <c:v>3577.2222222222222</c:v>
                </c:pt>
                <c:pt idx="148">
                  <c:v>3577.2222222222222</c:v>
                </c:pt>
                <c:pt idx="149">
                  <c:v>3577.2222222222222</c:v>
                </c:pt>
                <c:pt idx="150">
                  <c:v>3577.2222222222222</c:v>
                </c:pt>
                <c:pt idx="151">
                  <c:v>3577.2222222222222</c:v>
                </c:pt>
                <c:pt idx="152">
                  <c:v>3577.2222222222222</c:v>
                </c:pt>
                <c:pt idx="153">
                  <c:v>3577.2222222222222</c:v>
                </c:pt>
                <c:pt idx="154">
                  <c:v>3577.2222222222222</c:v>
                </c:pt>
                <c:pt idx="155">
                  <c:v>3577.2222222222222</c:v>
                </c:pt>
                <c:pt idx="156">
                  <c:v>3577.2222222222222</c:v>
                </c:pt>
                <c:pt idx="157">
                  <c:v>3577.2222222222222</c:v>
                </c:pt>
                <c:pt idx="158">
                  <c:v>3577.2222222222222</c:v>
                </c:pt>
                <c:pt idx="159">
                  <c:v>3577.2222222222222</c:v>
                </c:pt>
                <c:pt idx="160">
                  <c:v>3577.2222222222222</c:v>
                </c:pt>
                <c:pt idx="161">
                  <c:v>3577.2222222222222</c:v>
                </c:pt>
                <c:pt idx="162">
                  <c:v>3577.2222222222222</c:v>
                </c:pt>
                <c:pt idx="163">
                  <c:v>3577.2222222222222</c:v>
                </c:pt>
                <c:pt idx="164">
                  <c:v>3577.2222222222222</c:v>
                </c:pt>
                <c:pt idx="165">
                  <c:v>3577.2222222222222</c:v>
                </c:pt>
                <c:pt idx="166">
                  <c:v>3577.2222222222222</c:v>
                </c:pt>
                <c:pt idx="167">
                  <c:v>3577.2222222222222</c:v>
                </c:pt>
                <c:pt idx="168">
                  <c:v>3577.2222222222222</c:v>
                </c:pt>
                <c:pt idx="169">
                  <c:v>3577.2222222222222</c:v>
                </c:pt>
                <c:pt idx="170">
                  <c:v>3577.2222222222222</c:v>
                </c:pt>
                <c:pt idx="171">
                  <c:v>3577.2222222222222</c:v>
                </c:pt>
                <c:pt idx="172">
                  <c:v>3577.2222222222222</c:v>
                </c:pt>
                <c:pt idx="173">
                  <c:v>3577.2222222222222</c:v>
                </c:pt>
                <c:pt idx="174">
                  <c:v>3577.2222222222222</c:v>
                </c:pt>
                <c:pt idx="175">
                  <c:v>3577.2222222222222</c:v>
                </c:pt>
                <c:pt idx="176">
                  <c:v>3577.2222222222222</c:v>
                </c:pt>
                <c:pt idx="177">
                  <c:v>3577.2222222222222</c:v>
                </c:pt>
                <c:pt idx="178">
                  <c:v>3577.2222222222222</c:v>
                </c:pt>
                <c:pt idx="179">
                  <c:v>3577.2222222222222</c:v>
                </c:pt>
                <c:pt idx="180">
                  <c:v>3577.2222222222222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D-462C-A9ED-8CE040ACD5C1}"/>
            </c:ext>
          </c:extLst>
        </c:ser>
        <c:ser>
          <c:idx val="2"/>
          <c:order val="2"/>
          <c:tx>
            <c:strRef>
              <c:f>Statistik!$BG$8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Statistik!$BG$9:$BG$192</c:f>
              <c:numCache>
                <c:formatCode>0</c:formatCode>
                <c:ptCount val="184"/>
                <c:pt idx="0">
                  <c:v>5636.1265941907786</c:v>
                </c:pt>
                <c:pt idx="1">
                  <c:v>5636.1265941907786</c:v>
                </c:pt>
                <c:pt idx="2">
                  <c:v>5636.1265941907786</c:v>
                </c:pt>
                <c:pt idx="3">
                  <c:v>5636.1265941907786</c:v>
                </c:pt>
                <c:pt idx="4">
                  <c:v>5636.1265941907786</c:v>
                </c:pt>
                <c:pt idx="5">
                  <c:v>5636.1265941907786</c:v>
                </c:pt>
                <c:pt idx="6">
                  <c:v>5636.1265941907786</c:v>
                </c:pt>
                <c:pt idx="7">
                  <c:v>5636.1265941907786</c:v>
                </c:pt>
                <c:pt idx="8">
                  <c:v>5636.1265941907786</c:v>
                </c:pt>
                <c:pt idx="9">
                  <c:v>5636.1265941907786</c:v>
                </c:pt>
                <c:pt idx="10">
                  <c:v>5636.1265941907786</c:v>
                </c:pt>
                <c:pt idx="11">
                  <c:v>5636.1265941907786</c:v>
                </c:pt>
                <c:pt idx="12">
                  <c:v>5636.1265941907786</c:v>
                </c:pt>
                <c:pt idx="13">
                  <c:v>5636.1265941907786</c:v>
                </c:pt>
                <c:pt idx="14">
                  <c:v>5636.1265941907786</c:v>
                </c:pt>
                <c:pt idx="15">
                  <c:v>5636.1265941907786</c:v>
                </c:pt>
                <c:pt idx="16">
                  <c:v>5636.1265941907786</c:v>
                </c:pt>
                <c:pt idx="17">
                  <c:v>5636.1265941907786</c:v>
                </c:pt>
                <c:pt idx="18">
                  <c:v>5636.1265941907786</c:v>
                </c:pt>
                <c:pt idx="19">
                  <c:v>5636.1265941907786</c:v>
                </c:pt>
                <c:pt idx="20">
                  <c:v>5636.1265941907786</c:v>
                </c:pt>
                <c:pt idx="21">
                  <c:v>5636.1265941907786</c:v>
                </c:pt>
                <c:pt idx="22">
                  <c:v>5636.1265941907786</c:v>
                </c:pt>
                <c:pt idx="23">
                  <c:v>5636.1265941907786</c:v>
                </c:pt>
                <c:pt idx="24">
                  <c:v>5636.1265941907786</c:v>
                </c:pt>
                <c:pt idx="25">
                  <c:v>5636.1265941907786</c:v>
                </c:pt>
                <c:pt idx="26">
                  <c:v>5636.1265941907786</c:v>
                </c:pt>
                <c:pt idx="27">
                  <c:v>5636.1265941907786</c:v>
                </c:pt>
                <c:pt idx="28">
                  <c:v>5636.1265941907786</c:v>
                </c:pt>
                <c:pt idx="29">
                  <c:v>5636.1265941907786</c:v>
                </c:pt>
                <c:pt idx="30">
                  <c:v>5636.1265941907786</c:v>
                </c:pt>
                <c:pt idx="31">
                  <c:v>5636.1265941907786</c:v>
                </c:pt>
                <c:pt idx="32">
                  <c:v>5636.1265941907786</c:v>
                </c:pt>
                <c:pt idx="33">
                  <c:v>5636.1265941907786</c:v>
                </c:pt>
                <c:pt idx="34">
                  <c:v>5636.1265941907786</c:v>
                </c:pt>
                <c:pt idx="35">
                  <c:v>5636.1265941907786</c:v>
                </c:pt>
                <c:pt idx="36">
                  <c:v>5636.1265941907786</c:v>
                </c:pt>
                <c:pt idx="37">
                  <c:v>5636.1265941907786</c:v>
                </c:pt>
                <c:pt idx="38">
                  <c:v>5636.1265941907786</c:v>
                </c:pt>
                <c:pt idx="39">
                  <c:v>5636.1265941907786</c:v>
                </c:pt>
                <c:pt idx="40">
                  <c:v>5636.1265941907786</c:v>
                </c:pt>
                <c:pt idx="41">
                  <c:v>5636.1265941907786</c:v>
                </c:pt>
                <c:pt idx="42">
                  <c:v>5636.1265941907786</c:v>
                </c:pt>
                <c:pt idx="43">
                  <c:v>5636.1265941907786</c:v>
                </c:pt>
                <c:pt idx="44">
                  <c:v>5636.1265941907786</c:v>
                </c:pt>
                <c:pt idx="45">
                  <c:v>5636.1265941907786</c:v>
                </c:pt>
                <c:pt idx="46">
                  <c:v>5636.1265941907786</c:v>
                </c:pt>
                <c:pt idx="47">
                  <c:v>5636.1265941907786</c:v>
                </c:pt>
                <c:pt idx="48">
                  <c:v>5636.1265941907786</c:v>
                </c:pt>
                <c:pt idx="49">
                  <c:v>5636.1265941907786</c:v>
                </c:pt>
                <c:pt idx="50">
                  <c:v>5636.1265941907786</c:v>
                </c:pt>
                <c:pt idx="51">
                  <c:v>5636.1265941907786</c:v>
                </c:pt>
                <c:pt idx="52">
                  <c:v>5636.1265941907786</c:v>
                </c:pt>
                <c:pt idx="53">
                  <c:v>5636.1265941907786</c:v>
                </c:pt>
                <c:pt idx="54">
                  <c:v>5636.1265941907786</c:v>
                </c:pt>
                <c:pt idx="55">
                  <c:v>5636.1265941907786</c:v>
                </c:pt>
                <c:pt idx="56">
                  <c:v>5636.1265941907786</c:v>
                </c:pt>
                <c:pt idx="57">
                  <c:v>5636.1265941907786</c:v>
                </c:pt>
                <c:pt idx="58">
                  <c:v>5636.1265941907786</c:v>
                </c:pt>
                <c:pt idx="59">
                  <c:v>5636.1265941907786</c:v>
                </c:pt>
                <c:pt idx="60">
                  <c:v>5636.1265941907786</c:v>
                </c:pt>
                <c:pt idx="61">
                  <c:v>5636.1265941907786</c:v>
                </c:pt>
                <c:pt idx="62">
                  <c:v>5636.1265941907786</c:v>
                </c:pt>
                <c:pt idx="63">
                  <c:v>5636.1265941907786</c:v>
                </c:pt>
                <c:pt idx="64">
                  <c:v>5636.1265941907786</c:v>
                </c:pt>
                <c:pt idx="65">
                  <c:v>5636.1265941907786</c:v>
                </c:pt>
                <c:pt idx="66">
                  <c:v>5636.1265941907786</c:v>
                </c:pt>
                <c:pt idx="67">
                  <c:v>5636.1265941907786</c:v>
                </c:pt>
                <c:pt idx="68">
                  <c:v>5636.1265941907786</c:v>
                </c:pt>
                <c:pt idx="69">
                  <c:v>5636.1265941907786</c:v>
                </c:pt>
                <c:pt idx="70">
                  <c:v>5636.1265941907786</c:v>
                </c:pt>
                <c:pt idx="71">
                  <c:v>5636.1265941907786</c:v>
                </c:pt>
                <c:pt idx="72">
                  <c:v>5636.1265941907786</c:v>
                </c:pt>
                <c:pt idx="73">
                  <c:v>5636.1265941907786</c:v>
                </c:pt>
                <c:pt idx="74">
                  <c:v>5636.1265941907786</c:v>
                </c:pt>
                <c:pt idx="75">
                  <c:v>5636.1265941907786</c:v>
                </c:pt>
                <c:pt idx="76">
                  <c:v>5636.1265941907786</c:v>
                </c:pt>
                <c:pt idx="77">
                  <c:v>5636.1265941907786</c:v>
                </c:pt>
                <c:pt idx="78">
                  <c:v>5636.1265941907786</c:v>
                </c:pt>
                <c:pt idx="79">
                  <c:v>5636.1265941907786</c:v>
                </c:pt>
                <c:pt idx="80">
                  <c:v>5636.1265941907786</c:v>
                </c:pt>
                <c:pt idx="81">
                  <c:v>5636.1265941907786</c:v>
                </c:pt>
                <c:pt idx="82">
                  <c:v>5636.1265941907786</c:v>
                </c:pt>
                <c:pt idx="83">
                  <c:v>5636.1265941907786</c:v>
                </c:pt>
                <c:pt idx="84">
                  <c:v>5636.1265941907786</c:v>
                </c:pt>
                <c:pt idx="85">
                  <c:v>5636.1265941907786</c:v>
                </c:pt>
                <c:pt idx="86">
                  <c:v>5636.1265941907786</c:v>
                </c:pt>
                <c:pt idx="87">
                  <c:v>5636.1265941907786</c:v>
                </c:pt>
                <c:pt idx="88">
                  <c:v>5636.1265941907786</c:v>
                </c:pt>
                <c:pt idx="89">
                  <c:v>5636.1265941907786</c:v>
                </c:pt>
                <c:pt idx="90">
                  <c:v>5636.1265941907786</c:v>
                </c:pt>
                <c:pt idx="91">
                  <c:v>5636.1265941907786</c:v>
                </c:pt>
                <c:pt idx="92">
                  <c:v>5636.1265941907786</c:v>
                </c:pt>
                <c:pt idx="93">
                  <c:v>5636.1265941907786</c:v>
                </c:pt>
                <c:pt idx="94">
                  <c:v>5636.1265941907786</c:v>
                </c:pt>
                <c:pt idx="95">
                  <c:v>5636.1265941907786</c:v>
                </c:pt>
                <c:pt idx="96">
                  <c:v>5636.1265941907786</c:v>
                </c:pt>
                <c:pt idx="97">
                  <c:v>5636.1265941907786</c:v>
                </c:pt>
                <c:pt idx="98">
                  <c:v>5636.1265941907786</c:v>
                </c:pt>
                <c:pt idx="99">
                  <c:v>5636.1265941907786</c:v>
                </c:pt>
                <c:pt idx="100">
                  <c:v>5636.1265941907786</c:v>
                </c:pt>
                <c:pt idx="101">
                  <c:v>5636.1265941907786</c:v>
                </c:pt>
                <c:pt idx="102">
                  <c:v>5636.1265941907786</c:v>
                </c:pt>
                <c:pt idx="103">
                  <c:v>5636.1265941907786</c:v>
                </c:pt>
                <c:pt idx="104">
                  <c:v>5636.1265941907786</c:v>
                </c:pt>
                <c:pt idx="105">
                  <c:v>5636.1265941907786</c:v>
                </c:pt>
                <c:pt idx="106">
                  <c:v>5636.1265941907786</c:v>
                </c:pt>
                <c:pt idx="107">
                  <c:v>5636.1265941907786</c:v>
                </c:pt>
                <c:pt idx="108">
                  <c:v>5636.1265941907786</c:v>
                </c:pt>
                <c:pt idx="109">
                  <c:v>5636.1265941907786</c:v>
                </c:pt>
                <c:pt idx="110">
                  <c:v>5636.1265941907786</c:v>
                </c:pt>
                <c:pt idx="111">
                  <c:v>5636.1265941907786</c:v>
                </c:pt>
                <c:pt idx="112">
                  <c:v>5636.1265941907786</c:v>
                </c:pt>
                <c:pt idx="113">
                  <c:v>5636.1265941907786</c:v>
                </c:pt>
                <c:pt idx="114">
                  <c:v>5636.1265941907786</c:v>
                </c:pt>
                <c:pt idx="115">
                  <c:v>5636.1265941907786</c:v>
                </c:pt>
                <c:pt idx="116">
                  <c:v>5636.1265941907786</c:v>
                </c:pt>
                <c:pt idx="117">
                  <c:v>5636.1265941907786</c:v>
                </c:pt>
                <c:pt idx="118">
                  <c:v>5636.1265941907786</c:v>
                </c:pt>
                <c:pt idx="119">
                  <c:v>5636.1265941907786</c:v>
                </c:pt>
                <c:pt idx="120">
                  <c:v>5636.1265941907786</c:v>
                </c:pt>
                <c:pt idx="121">
                  <c:v>5636.1265941907786</c:v>
                </c:pt>
                <c:pt idx="122">
                  <c:v>5636.1265941907786</c:v>
                </c:pt>
                <c:pt idx="123">
                  <c:v>5636.1265941907786</c:v>
                </c:pt>
                <c:pt idx="124">
                  <c:v>5636.1265941907786</c:v>
                </c:pt>
                <c:pt idx="125">
                  <c:v>5636.1265941907786</c:v>
                </c:pt>
                <c:pt idx="126">
                  <c:v>5636.1265941907786</c:v>
                </c:pt>
                <c:pt idx="127">
                  <c:v>5636.1265941907786</c:v>
                </c:pt>
                <c:pt idx="128">
                  <c:v>5636.1265941907786</c:v>
                </c:pt>
                <c:pt idx="129">
                  <c:v>5636.1265941907786</c:v>
                </c:pt>
                <c:pt idx="130">
                  <c:v>5636.1265941907786</c:v>
                </c:pt>
                <c:pt idx="131">
                  <c:v>5636.1265941907786</c:v>
                </c:pt>
                <c:pt idx="132">
                  <c:v>5636.1265941907786</c:v>
                </c:pt>
                <c:pt idx="133">
                  <c:v>5636.1265941907786</c:v>
                </c:pt>
                <c:pt idx="134">
                  <c:v>5636.1265941907786</c:v>
                </c:pt>
                <c:pt idx="135">
                  <c:v>5636.1265941907786</c:v>
                </c:pt>
                <c:pt idx="136">
                  <c:v>5636.1265941907786</c:v>
                </c:pt>
                <c:pt idx="137">
                  <c:v>5636.1265941907786</c:v>
                </c:pt>
                <c:pt idx="138">
                  <c:v>5636.1265941907786</c:v>
                </c:pt>
                <c:pt idx="139">
                  <c:v>5636.1265941907786</c:v>
                </c:pt>
                <c:pt idx="140">
                  <c:v>5636.1265941907786</c:v>
                </c:pt>
                <c:pt idx="141">
                  <c:v>5636.1265941907786</c:v>
                </c:pt>
                <c:pt idx="142">
                  <c:v>5636.1265941907786</c:v>
                </c:pt>
                <c:pt idx="143">
                  <c:v>5636.1265941907786</c:v>
                </c:pt>
                <c:pt idx="144">
                  <c:v>5636.1265941907786</c:v>
                </c:pt>
                <c:pt idx="145">
                  <c:v>5636.1265941907786</c:v>
                </c:pt>
                <c:pt idx="146">
                  <c:v>5636.1265941907786</c:v>
                </c:pt>
                <c:pt idx="147">
                  <c:v>5636.1265941907786</c:v>
                </c:pt>
                <c:pt idx="148">
                  <c:v>5636.1265941907786</c:v>
                </c:pt>
                <c:pt idx="149">
                  <c:v>5636.1265941907786</c:v>
                </c:pt>
                <c:pt idx="150">
                  <c:v>5636.1265941907786</c:v>
                </c:pt>
                <c:pt idx="151">
                  <c:v>5636.1265941907786</c:v>
                </c:pt>
                <c:pt idx="152">
                  <c:v>5636.1265941907786</c:v>
                </c:pt>
                <c:pt idx="153">
                  <c:v>5636.1265941907786</c:v>
                </c:pt>
                <c:pt idx="154">
                  <c:v>5636.1265941907786</c:v>
                </c:pt>
                <c:pt idx="155">
                  <c:v>5636.1265941907786</c:v>
                </c:pt>
                <c:pt idx="156">
                  <c:v>5636.1265941907786</c:v>
                </c:pt>
                <c:pt idx="157">
                  <c:v>5636.1265941907786</c:v>
                </c:pt>
                <c:pt idx="158">
                  <c:v>5636.1265941907786</c:v>
                </c:pt>
                <c:pt idx="159">
                  <c:v>5636.1265941907786</c:v>
                </c:pt>
                <c:pt idx="160">
                  <c:v>5636.1265941907786</c:v>
                </c:pt>
                <c:pt idx="161">
                  <c:v>5636.1265941907786</c:v>
                </c:pt>
                <c:pt idx="162">
                  <c:v>5636.1265941907786</c:v>
                </c:pt>
                <c:pt idx="163">
                  <c:v>5636.1265941907786</c:v>
                </c:pt>
                <c:pt idx="164">
                  <c:v>5636.1265941907786</c:v>
                </c:pt>
                <c:pt idx="165">
                  <c:v>5636.1265941907786</c:v>
                </c:pt>
                <c:pt idx="166">
                  <c:v>5636.1265941907786</c:v>
                </c:pt>
                <c:pt idx="167">
                  <c:v>5636.1265941907786</c:v>
                </c:pt>
                <c:pt idx="168">
                  <c:v>5636.1265941907786</c:v>
                </c:pt>
                <c:pt idx="169">
                  <c:v>5636.1265941907786</c:v>
                </c:pt>
                <c:pt idx="170">
                  <c:v>5636.1265941907786</c:v>
                </c:pt>
                <c:pt idx="171">
                  <c:v>5636.1265941907786</c:v>
                </c:pt>
                <c:pt idx="172">
                  <c:v>5636.1265941907786</c:v>
                </c:pt>
                <c:pt idx="173">
                  <c:v>5636.1265941907786</c:v>
                </c:pt>
                <c:pt idx="174">
                  <c:v>5636.1265941907786</c:v>
                </c:pt>
                <c:pt idx="175">
                  <c:v>5636.1265941907786</c:v>
                </c:pt>
                <c:pt idx="176">
                  <c:v>5636.1265941907786</c:v>
                </c:pt>
                <c:pt idx="177">
                  <c:v>5636.1265941907786</c:v>
                </c:pt>
                <c:pt idx="178">
                  <c:v>5636.1265941907786</c:v>
                </c:pt>
                <c:pt idx="179">
                  <c:v>5636.1265941907786</c:v>
                </c:pt>
                <c:pt idx="180">
                  <c:v>5636.1265941907786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D-462C-A9ED-8CE040ACD5C1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Statistik!$BH$9:$BH$192</c:f>
              <c:numCache>
                <c:formatCode>0</c:formatCode>
                <c:ptCount val="184"/>
                <c:pt idx="0">
                  <c:v>1518.3178502536657</c:v>
                </c:pt>
                <c:pt idx="1">
                  <c:v>1518.3178502536657</c:v>
                </c:pt>
                <c:pt idx="2">
                  <c:v>1518.3178502536657</c:v>
                </c:pt>
                <c:pt idx="3">
                  <c:v>1518.3178502536657</c:v>
                </c:pt>
                <c:pt idx="4">
                  <c:v>1518.3178502536657</c:v>
                </c:pt>
                <c:pt idx="5">
                  <c:v>1518.3178502536657</c:v>
                </c:pt>
                <c:pt idx="6">
                  <c:v>1518.3178502536657</c:v>
                </c:pt>
                <c:pt idx="7">
                  <c:v>1518.3178502536657</c:v>
                </c:pt>
                <c:pt idx="8">
                  <c:v>1518.3178502536657</c:v>
                </c:pt>
                <c:pt idx="9">
                  <c:v>1518.3178502536657</c:v>
                </c:pt>
                <c:pt idx="10">
                  <c:v>1518.3178502536657</c:v>
                </c:pt>
                <c:pt idx="11">
                  <c:v>1518.3178502536657</c:v>
                </c:pt>
                <c:pt idx="12">
                  <c:v>1518.3178502536657</c:v>
                </c:pt>
                <c:pt idx="13">
                  <c:v>1518.3178502536657</c:v>
                </c:pt>
                <c:pt idx="14">
                  <c:v>1518.3178502536657</c:v>
                </c:pt>
                <c:pt idx="15">
                  <c:v>1518.3178502536657</c:v>
                </c:pt>
                <c:pt idx="16">
                  <c:v>1518.3178502536657</c:v>
                </c:pt>
                <c:pt idx="17">
                  <c:v>1518.3178502536657</c:v>
                </c:pt>
                <c:pt idx="18">
                  <c:v>1518.3178502536657</c:v>
                </c:pt>
                <c:pt idx="19">
                  <c:v>1518.3178502536657</c:v>
                </c:pt>
                <c:pt idx="20">
                  <c:v>1518.3178502536657</c:v>
                </c:pt>
                <c:pt idx="21">
                  <c:v>1518.3178502536657</c:v>
                </c:pt>
                <c:pt idx="22">
                  <c:v>1518.3178502536657</c:v>
                </c:pt>
                <c:pt idx="23">
                  <c:v>1518.3178502536657</c:v>
                </c:pt>
                <c:pt idx="24">
                  <c:v>1518.3178502536657</c:v>
                </c:pt>
                <c:pt idx="25">
                  <c:v>1518.3178502536657</c:v>
                </c:pt>
                <c:pt idx="26">
                  <c:v>1518.3178502536657</c:v>
                </c:pt>
                <c:pt idx="27">
                  <c:v>1518.3178502536657</c:v>
                </c:pt>
                <c:pt idx="28">
                  <c:v>1518.3178502536657</c:v>
                </c:pt>
                <c:pt idx="29">
                  <c:v>1518.3178502536657</c:v>
                </c:pt>
                <c:pt idx="30">
                  <c:v>1518.3178502536657</c:v>
                </c:pt>
                <c:pt idx="31">
                  <c:v>1518.3178502536657</c:v>
                </c:pt>
                <c:pt idx="32">
                  <c:v>1518.3178502536657</c:v>
                </c:pt>
                <c:pt idx="33">
                  <c:v>1518.3178502536657</c:v>
                </c:pt>
                <c:pt idx="34">
                  <c:v>1518.3178502536657</c:v>
                </c:pt>
                <c:pt idx="35">
                  <c:v>1518.3178502536657</c:v>
                </c:pt>
                <c:pt idx="36">
                  <c:v>1518.3178502536657</c:v>
                </c:pt>
                <c:pt idx="37">
                  <c:v>1518.3178502536657</c:v>
                </c:pt>
                <c:pt idx="38">
                  <c:v>1518.3178502536657</c:v>
                </c:pt>
                <c:pt idx="39">
                  <c:v>1518.3178502536657</c:v>
                </c:pt>
                <c:pt idx="40">
                  <c:v>1518.3178502536657</c:v>
                </c:pt>
                <c:pt idx="41">
                  <c:v>1518.3178502536657</c:v>
                </c:pt>
                <c:pt idx="42">
                  <c:v>1518.3178502536657</c:v>
                </c:pt>
                <c:pt idx="43">
                  <c:v>1518.3178502536657</c:v>
                </c:pt>
                <c:pt idx="44">
                  <c:v>1518.3178502536657</c:v>
                </c:pt>
                <c:pt idx="45">
                  <c:v>1518.3178502536657</c:v>
                </c:pt>
                <c:pt idx="46">
                  <c:v>1518.3178502536657</c:v>
                </c:pt>
                <c:pt idx="47">
                  <c:v>1518.3178502536657</c:v>
                </c:pt>
                <c:pt idx="48">
                  <c:v>1518.3178502536657</c:v>
                </c:pt>
                <c:pt idx="49">
                  <c:v>1518.3178502536657</c:v>
                </c:pt>
                <c:pt idx="50">
                  <c:v>1518.3178502536657</c:v>
                </c:pt>
                <c:pt idx="51">
                  <c:v>1518.3178502536657</c:v>
                </c:pt>
                <c:pt idx="52">
                  <c:v>1518.3178502536657</c:v>
                </c:pt>
                <c:pt idx="53">
                  <c:v>1518.3178502536657</c:v>
                </c:pt>
                <c:pt idx="54">
                  <c:v>1518.3178502536657</c:v>
                </c:pt>
                <c:pt idx="55">
                  <c:v>1518.3178502536657</c:v>
                </c:pt>
                <c:pt idx="56">
                  <c:v>1518.3178502536657</c:v>
                </c:pt>
                <c:pt idx="57">
                  <c:v>1518.3178502536657</c:v>
                </c:pt>
                <c:pt idx="58">
                  <c:v>1518.3178502536657</c:v>
                </c:pt>
                <c:pt idx="59">
                  <c:v>1518.3178502536657</c:v>
                </c:pt>
                <c:pt idx="60">
                  <c:v>1518.3178502536657</c:v>
                </c:pt>
                <c:pt idx="61">
                  <c:v>1518.3178502536657</c:v>
                </c:pt>
                <c:pt idx="62">
                  <c:v>1518.3178502536657</c:v>
                </c:pt>
                <c:pt idx="63">
                  <c:v>1518.3178502536657</c:v>
                </c:pt>
                <c:pt idx="64">
                  <c:v>1518.3178502536657</c:v>
                </c:pt>
                <c:pt idx="65">
                  <c:v>1518.3178502536657</c:v>
                </c:pt>
                <c:pt idx="66">
                  <c:v>1518.3178502536657</c:v>
                </c:pt>
                <c:pt idx="67">
                  <c:v>1518.3178502536657</c:v>
                </c:pt>
                <c:pt idx="68">
                  <c:v>1518.3178502536657</c:v>
                </c:pt>
                <c:pt idx="69">
                  <c:v>1518.3178502536657</c:v>
                </c:pt>
                <c:pt idx="70">
                  <c:v>1518.3178502536657</c:v>
                </c:pt>
                <c:pt idx="71">
                  <c:v>1518.3178502536657</c:v>
                </c:pt>
                <c:pt idx="72">
                  <c:v>1518.3178502536657</c:v>
                </c:pt>
                <c:pt idx="73">
                  <c:v>1518.3178502536657</c:v>
                </c:pt>
                <c:pt idx="74">
                  <c:v>1518.3178502536657</c:v>
                </c:pt>
                <c:pt idx="75">
                  <c:v>1518.3178502536657</c:v>
                </c:pt>
                <c:pt idx="76">
                  <c:v>1518.3178502536657</c:v>
                </c:pt>
                <c:pt idx="77">
                  <c:v>1518.3178502536657</c:v>
                </c:pt>
                <c:pt idx="78">
                  <c:v>1518.3178502536657</c:v>
                </c:pt>
                <c:pt idx="79">
                  <c:v>1518.3178502536657</c:v>
                </c:pt>
                <c:pt idx="80">
                  <c:v>1518.3178502536657</c:v>
                </c:pt>
                <c:pt idx="81">
                  <c:v>1518.3178502536657</c:v>
                </c:pt>
                <c:pt idx="82">
                  <c:v>1518.3178502536657</c:v>
                </c:pt>
                <c:pt idx="83">
                  <c:v>1518.3178502536657</c:v>
                </c:pt>
                <c:pt idx="84">
                  <c:v>1518.3178502536657</c:v>
                </c:pt>
                <c:pt idx="85">
                  <c:v>1518.3178502536657</c:v>
                </c:pt>
                <c:pt idx="86">
                  <c:v>1518.3178502536657</c:v>
                </c:pt>
                <c:pt idx="87">
                  <c:v>1518.3178502536657</c:v>
                </c:pt>
                <c:pt idx="88">
                  <c:v>1518.3178502536657</c:v>
                </c:pt>
                <c:pt idx="89">
                  <c:v>1518.3178502536657</c:v>
                </c:pt>
                <c:pt idx="90">
                  <c:v>1518.3178502536657</c:v>
                </c:pt>
                <c:pt idx="91">
                  <c:v>1518.3178502536657</c:v>
                </c:pt>
                <c:pt idx="92">
                  <c:v>1518.3178502536657</c:v>
                </c:pt>
                <c:pt idx="93">
                  <c:v>1518.3178502536657</c:v>
                </c:pt>
                <c:pt idx="94">
                  <c:v>1518.3178502536657</c:v>
                </c:pt>
                <c:pt idx="95">
                  <c:v>1518.3178502536657</c:v>
                </c:pt>
                <c:pt idx="96">
                  <c:v>1518.3178502536657</c:v>
                </c:pt>
                <c:pt idx="97">
                  <c:v>1518.3178502536657</c:v>
                </c:pt>
                <c:pt idx="98">
                  <c:v>1518.3178502536657</c:v>
                </c:pt>
                <c:pt idx="99">
                  <c:v>1518.3178502536657</c:v>
                </c:pt>
                <c:pt idx="100">
                  <c:v>1518.3178502536657</c:v>
                </c:pt>
                <c:pt idx="101">
                  <c:v>1518.3178502536657</c:v>
                </c:pt>
                <c:pt idx="102">
                  <c:v>1518.3178502536657</c:v>
                </c:pt>
                <c:pt idx="103">
                  <c:v>1518.3178502536657</c:v>
                </c:pt>
                <c:pt idx="104">
                  <c:v>1518.3178502536657</c:v>
                </c:pt>
                <c:pt idx="105">
                  <c:v>1518.3178502536657</c:v>
                </c:pt>
                <c:pt idx="106">
                  <c:v>1518.3178502536657</c:v>
                </c:pt>
                <c:pt idx="107">
                  <c:v>1518.3178502536657</c:v>
                </c:pt>
                <c:pt idx="108">
                  <c:v>1518.3178502536657</c:v>
                </c:pt>
                <c:pt idx="109">
                  <c:v>1518.3178502536657</c:v>
                </c:pt>
                <c:pt idx="110">
                  <c:v>1518.3178502536657</c:v>
                </c:pt>
                <c:pt idx="111">
                  <c:v>1518.3178502536657</c:v>
                </c:pt>
                <c:pt idx="112">
                  <c:v>1518.3178502536657</c:v>
                </c:pt>
                <c:pt idx="113">
                  <c:v>1518.3178502536657</c:v>
                </c:pt>
                <c:pt idx="114">
                  <c:v>1518.3178502536657</c:v>
                </c:pt>
                <c:pt idx="115">
                  <c:v>1518.3178502536657</c:v>
                </c:pt>
                <c:pt idx="116">
                  <c:v>1518.3178502536657</c:v>
                </c:pt>
                <c:pt idx="117">
                  <c:v>1518.3178502536657</c:v>
                </c:pt>
                <c:pt idx="118">
                  <c:v>1518.3178502536657</c:v>
                </c:pt>
                <c:pt idx="119">
                  <c:v>1518.3178502536657</c:v>
                </c:pt>
                <c:pt idx="120">
                  <c:v>1518.3178502536657</c:v>
                </c:pt>
                <c:pt idx="121">
                  <c:v>1518.3178502536657</c:v>
                </c:pt>
                <c:pt idx="122">
                  <c:v>1518.3178502536657</c:v>
                </c:pt>
                <c:pt idx="123">
                  <c:v>1518.3178502536657</c:v>
                </c:pt>
                <c:pt idx="124">
                  <c:v>1518.3178502536657</c:v>
                </c:pt>
                <c:pt idx="125">
                  <c:v>1518.3178502536657</c:v>
                </c:pt>
                <c:pt idx="126">
                  <c:v>1518.3178502536657</c:v>
                </c:pt>
                <c:pt idx="127">
                  <c:v>1518.3178502536657</c:v>
                </c:pt>
                <c:pt idx="128">
                  <c:v>1518.3178502536657</c:v>
                </c:pt>
                <c:pt idx="129">
                  <c:v>1518.3178502536657</c:v>
                </c:pt>
                <c:pt idx="130">
                  <c:v>1518.3178502536657</c:v>
                </c:pt>
                <c:pt idx="131">
                  <c:v>1518.3178502536657</c:v>
                </c:pt>
                <c:pt idx="132">
                  <c:v>1518.3178502536657</c:v>
                </c:pt>
                <c:pt idx="133">
                  <c:v>1518.3178502536657</c:v>
                </c:pt>
                <c:pt idx="134">
                  <c:v>1518.3178502536657</c:v>
                </c:pt>
                <c:pt idx="135">
                  <c:v>1518.3178502536657</c:v>
                </c:pt>
                <c:pt idx="136">
                  <c:v>1518.3178502536657</c:v>
                </c:pt>
                <c:pt idx="137">
                  <c:v>1518.3178502536657</c:v>
                </c:pt>
                <c:pt idx="138">
                  <c:v>1518.3178502536657</c:v>
                </c:pt>
                <c:pt idx="139">
                  <c:v>1518.3178502536657</c:v>
                </c:pt>
                <c:pt idx="140">
                  <c:v>1518.3178502536657</c:v>
                </c:pt>
                <c:pt idx="141">
                  <c:v>1518.3178502536657</c:v>
                </c:pt>
                <c:pt idx="142">
                  <c:v>1518.3178502536657</c:v>
                </c:pt>
                <c:pt idx="143">
                  <c:v>1518.3178502536657</c:v>
                </c:pt>
                <c:pt idx="144">
                  <c:v>1518.3178502536657</c:v>
                </c:pt>
                <c:pt idx="145">
                  <c:v>1518.3178502536657</c:v>
                </c:pt>
                <c:pt idx="146">
                  <c:v>1518.3178502536657</c:v>
                </c:pt>
                <c:pt idx="147">
                  <c:v>1518.3178502536657</c:v>
                </c:pt>
                <c:pt idx="148">
                  <c:v>1518.3178502536657</c:v>
                </c:pt>
                <c:pt idx="149">
                  <c:v>1518.3178502536657</c:v>
                </c:pt>
                <c:pt idx="150">
                  <c:v>1518.3178502536657</c:v>
                </c:pt>
                <c:pt idx="151">
                  <c:v>1518.3178502536657</c:v>
                </c:pt>
                <c:pt idx="152">
                  <c:v>1518.3178502536657</c:v>
                </c:pt>
                <c:pt idx="153">
                  <c:v>1518.3178502536657</c:v>
                </c:pt>
                <c:pt idx="154">
                  <c:v>1518.3178502536657</c:v>
                </c:pt>
                <c:pt idx="155">
                  <c:v>1518.3178502536657</c:v>
                </c:pt>
                <c:pt idx="156">
                  <c:v>1518.3178502536657</c:v>
                </c:pt>
                <c:pt idx="157">
                  <c:v>1518.3178502536657</c:v>
                </c:pt>
                <c:pt idx="158">
                  <c:v>1518.3178502536657</c:v>
                </c:pt>
                <c:pt idx="159">
                  <c:v>1518.3178502536657</c:v>
                </c:pt>
                <c:pt idx="160">
                  <c:v>1518.3178502536657</c:v>
                </c:pt>
                <c:pt idx="161">
                  <c:v>1518.3178502536657</c:v>
                </c:pt>
                <c:pt idx="162">
                  <c:v>1518.3178502536657</c:v>
                </c:pt>
                <c:pt idx="163">
                  <c:v>1518.3178502536657</c:v>
                </c:pt>
                <c:pt idx="164">
                  <c:v>1518.3178502536657</c:v>
                </c:pt>
                <c:pt idx="165">
                  <c:v>1518.3178502536657</c:v>
                </c:pt>
                <c:pt idx="166">
                  <c:v>1518.3178502536657</c:v>
                </c:pt>
                <c:pt idx="167">
                  <c:v>1518.3178502536657</c:v>
                </c:pt>
                <c:pt idx="168">
                  <c:v>1518.3178502536657</c:v>
                </c:pt>
                <c:pt idx="169">
                  <c:v>1518.3178502536657</c:v>
                </c:pt>
                <c:pt idx="170">
                  <c:v>1518.3178502536657</c:v>
                </c:pt>
                <c:pt idx="171">
                  <c:v>1518.3178502536657</c:v>
                </c:pt>
                <c:pt idx="172">
                  <c:v>1518.3178502536657</c:v>
                </c:pt>
                <c:pt idx="173">
                  <c:v>1518.3178502536657</c:v>
                </c:pt>
                <c:pt idx="174">
                  <c:v>1518.3178502536657</c:v>
                </c:pt>
                <c:pt idx="175">
                  <c:v>1518.3178502536657</c:v>
                </c:pt>
                <c:pt idx="176">
                  <c:v>1518.3178502536657</c:v>
                </c:pt>
                <c:pt idx="177">
                  <c:v>1518.3178502536657</c:v>
                </c:pt>
                <c:pt idx="178">
                  <c:v>1518.3178502536657</c:v>
                </c:pt>
                <c:pt idx="179">
                  <c:v>1518.3178502536657</c:v>
                </c:pt>
                <c:pt idx="180">
                  <c:v>1518.3178502536657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DD-462C-A9ED-8CE040ACD5C1}"/>
            </c:ext>
          </c:extLst>
        </c:ser>
        <c:ser>
          <c:idx val="4"/>
          <c:order val="4"/>
          <c:tx>
            <c:strRef>
              <c:f>Statistik!$BI$8</c:f>
              <c:strCache>
                <c:ptCount val="1"/>
                <c:pt idx="0">
                  <c:v>Klass 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Statistik!$BI$9:$BI$192</c:f>
              <c:numCache>
                <c:formatCode>General</c:formatCode>
                <c:ptCount val="18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  <c:pt idx="58">
                  <c:v>5000</c:v>
                </c:pt>
                <c:pt idx="59">
                  <c:v>5000</c:v>
                </c:pt>
                <c:pt idx="60">
                  <c:v>5000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5000</c:v>
                </c:pt>
                <c:pt idx="65">
                  <c:v>5000</c:v>
                </c:pt>
                <c:pt idx="66">
                  <c:v>5000</c:v>
                </c:pt>
                <c:pt idx="67">
                  <c:v>5000</c:v>
                </c:pt>
                <c:pt idx="68">
                  <c:v>5000</c:v>
                </c:pt>
                <c:pt idx="69">
                  <c:v>5000</c:v>
                </c:pt>
                <c:pt idx="70">
                  <c:v>5000</c:v>
                </c:pt>
                <c:pt idx="71">
                  <c:v>5000</c:v>
                </c:pt>
                <c:pt idx="72">
                  <c:v>5000</c:v>
                </c:pt>
                <c:pt idx="73">
                  <c:v>5000</c:v>
                </c:pt>
                <c:pt idx="74">
                  <c:v>5000</c:v>
                </c:pt>
                <c:pt idx="75">
                  <c:v>5000</c:v>
                </c:pt>
                <c:pt idx="76">
                  <c:v>5000</c:v>
                </c:pt>
                <c:pt idx="77">
                  <c:v>5000</c:v>
                </c:pt>
                <c:pt idx="78">
                  <c:v>5000</c:v>
                </c:pt>
                <c:pt idx="79">
                  <c:v>5000</c:v>
                </c:pt>
                <c:pt idx="80">
                  <c:v>5000</c:v>
                </c:pt>
                <c:pt idx="81">
                  <c:v>5000</c:v>
                </c:pt>
                <c:pt idx="82">
                  <c:v>5000</c:v>
                </c:pt>
                <c:pt idx="83">
                  <c:v>5000</c:v>
                </c:pt>
                <c:pt idx="84">
                  <c:v>5000</c:v>
                </c:pt>
                <c:pt idx="85">
                  <c:v>5000</c:v>
                </c:pt>
                <c:pt idx="86">
                  <c:v>5000</c:v>
                </c:pt>
                <c:pt idx="87">
                  <c:v>5000</c:v>
                </c:pt>
                <c:pt idx="88">
                  <c:v>5000</c:v>
                </c:pt>
                <c:pt idx="89">
                  <c:v>5000</c:v>
                </c:pt>
                <c:pt idx="90">
                  <c:v>5000</c:v>
                </c:pt>
                <c:pt idx="91">
                  <c:v>5000</c:v>
                </c:pt>
                <c:pt idx="92">
                  <c:v>5000</c:v>
                </c:pt>
                <c:pt idx="93">
                  <c:v>5000</c:v>
                </c:pt>
                <c:pt idx="94">
                  <c:v>5000</c:v>
                </c:pt>
                <c:pt idx="95">
                  <c:v>5000</c:v>
                </c:pt>
                <c:pt idx="96">
                  <c:v>5000</c:v>
                </c:pt>
                <c:pt idx="97">
                  <c:v>5000</c:v>
                </c:pt>
                <c:pt idx="98">
                  <c:v>5000</c:v>
                </c:pt>
                <c:pt idx="99">
                  <c:v>5000</c:v>
                </c:pt>
                <c:pt idx="100">
                  <c:v>5000</c:v>
                </c:pt>
                <c:pt idx="101">
                  <c:v>5000</c:v>
                </c:pt>
                <c:pt idx="102">
                  <c:v>5000</c:v>
                </c:pt>
                <c:pt idx="103">
                  <c:v>5000</c:v>
                </c:pt>
                <c:pt idx="104">
                  <c:v>5000</c:v>
                </c:pt>
                <c:pt idx="105">
                  <c:v>5000</c:v>
                </c:pt>
                <c:pt idx="106">
                  <c:v>5000</c:v>
                </c:pt>
                <c:pt idx="107">
                  <c:v>5000</c:v>
                </c:pt>
                <c:pt idx="108">
                  <c:v>5000</c:v>
                </c:pt>
                <c:pt idx="109">
                  <c:v>5000</c:v>
                </c:pt>
                <c:pt idx="110">
                  <c:v>5000</c:v>
                </c:pt>
                <c:pt idx="111">
                  <c:v>5000</c:v>
                </c:pt>
                <c:pt idx="112">
                  <c:v>5000</c:v>
                </c:pt>
                <c:pt idx="113">
                  <c:v>5000</c:v>
                </c:pt>
                <c:pt idx="114">
                  <c:v>5000</c:v>
                </c:pt>
                <c:pt idx="115">
                  <c:v>5000</c:v>
                </c:pt>
                <c:pt idx="116">
                  <c:v>5000</c:v>
                </c:pt>
                <c:pt idx="117">
                  <c:v>5000</c:v>
                </c:pt>
                <c:pt idx="118">
                  <c:v>5000</c:v>
                </c:pt>
                <c:pt idx="119">
                  <c:v>5000</c:v>
                </c:pt>
                <c:pt idx="120">
                  <c:v>5000</c:v>
                </c:pt>
                <c:pt idx="121">
                  <c:v>5000</c:v>
                </c:pt>
                <c:pt idx="122">
                  <c:v>5000</c:v>
                </c:pt>
                <c:pt idx="123">
                  <c:v>5000</c:v>
                </c:pt>
                <c:pt idx="124">
                  <c:v>5000</c:v>
                </c:pt>
                <c:pt idx="125">
                  <c:v>5000</c:v>
                </c:pt>
                <c:pt idx="126">
                  <c:v>5000</c:v>
                </c:pt>
                <c:pt idx="127">
                  <c:v>5000</c:v>
                </c:pt>
                <c:pt idx="128">
                  <c:v>5000</c:v>
                </c:pt>
                <c:pt idx="129">
                  <c:v>5000</c:v>
                </c:pt>
                <c:pt idx="130">
                  <c:v>5000</c:v>
                </c:pt>
                <c:pt idx="131">
                  <c:v>5000</c:v>
                </c:pt>
                <c:pt idx="132">
                  <c:v>5000</c:v>
                </c:pt>
                <c:pt idx="133">
                  <c:v>5000</c:v>
                </c:pt>
                <c:pt idx="134">
                  <c:v>5000</c:v>
                </c:pt>
                <c:pt idx="135">
                  <c:v>5000</c:v>
                </c:pt>
                <c:pt idx="136">
                  <c:v>5000</c:v>
                </c:pt>
                <c:pt idx="137">
                  <c:v>5000</c:v>
                </c:pt>
                <c:pt idx="138">
                  <c:v>5000</c:v>
                </c:pt>
                <c:pt idx="139">
                  <c:v>5000</c:v>
                </c:pt>
                <c:pt idx="140">
                  <c:v>5000</c:v>
                </c:pt>
                <c:pt idx="141">
                  <c:v>5000</c:v>
                </c:pt>
                <c:pt idx="142">
                  <c:v>5000</c:v>
                </c:pt>
                <c:pt idx="143">
                  <c:v>5000</c:v>
                </c:pt>
                <c:pt idx="144">
                  <c:v>5000</c:v>
                </c:pt>
                <c:pt idx="145">
                  <c:v>5000</c:v>
                </c:pt>
                <c:pt idx="146">
                  <c:v>5000</c:v>
                </c:pt>
                <c:pt idx="147">
                  <c:v>5000</c:v>
                </c:pt>
                <c:pt idx="148">
                  <c:v>5000</c:v>
                </c:pt>
                <c:pt idx="149">
                  <c:v>5000</c:v>
                </c:pt>
                <c:pt idx="150">
                  <c:v>5000</c:v>
                </c:pt>
                <c:pt idx="151">
                  <c:v>5000</c:v>
                </c:pt>
                <c:pt idx="152">
                  <c:v>5000</c:v>
                </c:pt>
                <c:pt idx="153">
                  <c:v>5000</c:v>
                </c:pt>
                <c:pt idx="154">
                  <c:v>5000</c:v>
                </c:pt>
                <c:pt idx="155">
                  <c:v>5000</c:v>
                </c:pt>
                <c:pt idx="156">
                  <c:v>5000</c:v>
                </c:pt>
                <c:pt idx="157">
                  <c:v>5000</c:v>
                </c:pt>
                <c:pt idx="158">
                  <c:v>5000</c:v>
                </c:pt>
                <c:pt idx="159">
                  <c:v>5000</c:v>
                </c:pt>
                <c:pt idx="160">
                  <c:v>5000</c:v>
                </c:pt>
                <c:pt idx="161">
                  <c:v>5000</c:v>
                </c:pt>
                <c:pt idx="162">
                  <c:v>5000</c:v>
                </c:pt>
                <c:pt idx="163">
                  <c:v>5000</c:v>
                </c:pt>
                <c:pt idx="164">
                  <c:v>5000</c:v>
                </c:pt>
                <c:pt idx="165">
                  <c:v>5000</c:v>
                </c:pt>
                <c:pt idx="166">
                  <c:v>5000</c:v>
                </c:pt>
                <c:pt idx="167">
                  <c:v>5000</c:v>
                </c:pt>
                <c:pt idx="168">
                  <c:v>5000</c:v>
                </c:pt>
                <c:pt idx="169">
                  <c:v>5000</c:v>
                </c:pt>
                <c:pt idx="170">
                  <c:v>5000</c:v>
                </c:pt>
                <c:pt idx="171">
                  <c:v>5000</c:v>
                </c:pt>
                <c:pt idx="172">
                  <c:v>5000</c:v>
                </c:pt>
                <c:pt idx="173">
                  <c:v>5000</c:v>
                </c:pt>
                <c:pt idx="174">
                  <c:v>5000</c:v>
                </c:pt>
                <c:pt idx="175">
                  <c:v>5000</c:v>
                </c:pt>
                <c:pt idx="176">
                  <c:v>5000</c:v>
                </c:pt>
                <c:pt idx="177">
                  <c:v>5000</c:v>
                </c:pt>
                <c:pt idx="178">
                  <c:v>5000</c:v>
                </c:pt>
                <c:pt idx="179">
                  <c:v>5000</c:v>
                </c:pt>
                <c:pt idx="180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DD-462C-A9ED-8CE040AC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69504"/>
        <c:axId val="98083584"/>
      </c:lineChart>
      <c:dateAx>
        <c:axId val="98069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98083584"/>
        <c:crosses val="autoZero"/>
        <c:auto val="0"/>
        <c:lblOffset val="100"/>
        <c:baseTimeUnit val="months"/>
        <c:majorUnit val="1"/>
        <c:majorTimeUnit val="years"/>
      </c:dateAx>
      <c:valAx>
        <c:axId val="98083584"/>
        <c:scaling>
          <c:orientation val="minMax"/>
          <c:max val="140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98069504"/>
        <c:crosses val="autoZero"/>
        <c:crossBetween val="between"/>
        <c:majorUnit val="200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Syrehalt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232192422647681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Statistik!$E$8</c:f>
              <c:strCache>
                <c:ptCount val="1"/>
                <c:pt idx="0">
                  <c:v> Syreh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Statistik!$E$9:$E$192</c:f>
              <c:numCache>
                <c:formatCode>0.0</c:formatCode>
                <c:ptCount val="184"/>
                <c:pt idx="1">
                  <c:v>13.2</c:v>
                </c:pt>
                <c:pt idx="2">
                  <c:v>9.3000000000000007</c:v>
                </c:pt>
                <c:pt idx="3">
                  <c:v>13.3</c:v>
                </c:pt>
                <c:pt idx="4">
                  <c:v>7.6</c:v>
                </c:pt>
                <c:pt idx="5">
                  <c:v>10.199999999999999</c:v>
                </c:pt>
                <c:pt idx="6">
                  <c:v>7.6</c:v>
                </c:pt>
                <c:pt idx="7">
                  <c:v>6.07</c:v>
                </c:pt>
                <c:pt idx="8">
                  <c:v>8.3000000000000007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11.1</c:v>
                </c:pt>
                <c:pt idx="12">
                  <c:v>13.9</c:v>
                </c:pt>
                <c:pt idx="13">
                  <c:v>13.7</c:v>
                </c:pt>
                <c:pt idx="14">
                  <c:v>14.1</c:v>
                </c:pt>
                <c:pt idx="15">
                  <c:v>13.1</c:v>
                </c:pt>
                <c:pt idx="16">
                  <c:v>10.6</c:v>
                </c:pt>
                <c:pt idx="17">
                  <c:v>9.1199999999999992</c:v>
                </c:pt>
                <c:pt idx="18">
                  <c:v>7.8</c:v>
                </c:pt>
                <c:pt idx="19">
                  <c:v>6.8</c:v>
                </c:pt>
                <c:pt idx="20">
                  <c:v>9.6999999999999993</c:v>
                </c:pt>
                <c:pt idx="21">
                  <c:v>9</c:v>
                </c:pt>
                <c:pt idx="22">
                  <c:v>10.6</c:v>
                </c:pt>
                <c:pt idx="23">
                  <c:v>11.8</c:v>
                </c:pt>
                <c:pt idx="24">
                  <c:v>14.8</c:v>
                </c:pt>
                <c:pt idx="25">
                  <c:v>13</c:v>
                </c:pt>
                <c:pt idx="26">
                  <c:v>14.4</c:v>
                </c:pt>
                <c:pt idx="27">
                  <c:v>13.9</c:v>
                </c:pt>
                <c:pt idx="28">
                  <c:v>11</c:v>
                </c:pt>
                <c:pt idx="29">
                  <c:v>9.6999999999999993</c:v>
                </c:pt>
                <c:pt idx="30">
                  <c:v>8.1999999999999993</c:v>
                </c:pt>
                <c:pt idx="31">
                  <c:v>7.6</c:v>
                </c:pt>
                <c:pt idx="32">
                  <c:v>9.3000000000000007</c:v>
                </c:pt>
                <c:pt idx="33">
                  <c:v>8.1999999999999993</c:v>
                </c:pt>
                <c:pt idx="34">
                  <c:v>9.9</c:v>
                </c:pt>
                <c:pt idx="35">
                  <c:v>11.1</c:v>
                </c:pt>
                <c:pt idx="36">
                  <c:v>13.2</c:v>
                </c:pt>
                <c:pt idx="37">
                  <c:v>13.9</c:v>
                </c:pt>
                <c:pt idx="38">
                  <c:v>12.9</c:v>
                </c:pt>
                <c:pt idx="39">
                  <c:v>13.3</c:v>
                </c:pt>
                <c:pt idx="40">
                  <c:v>11.7</c:v>
                </c:pt>
                <c:pt idx="41">
                  <c:v>8.8000000000000007</c:v>
                </c:pt>
                <c:pt idx="42">
                  <c:v>7.3</c:v>
                </c:pt>
                <c:pt idx="43">
                  <c:v>7.8</c:v>
                </c:pt>
                <c:pt idx="44">
                  <c:v>7.5</c:v>
                </c:pt>
                <c:pt idx="45">
                  <c:v>7.3</c:v>
                </c:pt>
                <c:pt idx="46">
                  <c:v>10.5</c:v>
                </c:pt>
                <c:pt idx="47">
                  <c:v>11.4</c:v>
                </c:pt>
                <c:pt idx="48">
                  <c:v>12.1</c:v>
                </c:pt>
                <c:pt idx="49">
                  <c:v>13.5</c:v>
                </c:pt>
                <c:pt idx="50">
                  <c:v>13</c:v>
                </c:pt>
                <c:pt idx="51">
                  <c:v>12.6</c:v>
                </c:pt>
                <c:pt idx="52">
                  <c:v>11.4</c:v>
                </c:pt>
                <c:pt idx="53">
                  <c:v>9.4</c:v>
                </c:pt>
                <c:pt idx="54">
                  <c:v>7.2</c:v>
                </c:pt>
                <c:pt idx="55">
                  <c:v>6</c:v>
                </c:pt>
                <c:pt idx="56">
                  <c:v>6.4</c:v>
                </c:pt>
                <c:pt idx="57">
                  <c:v>7.4</c:v>
                </c:pt>
                <c:pt idx="58">
                  <c:v>8.6</c:v>
                </c:pt>
                <c:pt idx="59">
                  <c:v>9.9</c:v>
                </c:pt>
                <c:pt idx="60">
                  <c:v>12.1</c:v>
                </c:pt>
                <c:pt idx="61">
                  <c:v>14.1</c:v>
                </c:pt>
                <c:pt idx="62">
                  <c:v>14</c:v>
                </c:pt>
                <c:pt idx="63">
                  <c:v>12.6</c:v>
                </c:pt>
                <c:pt idx="64">
                  <c:v>11.2</c:v>
                </c:pt>
                <c:pt idx="65">
                  <c:v>10.3</c:v>
                </c:pt>
                <c:pt idx="66">
                  <c:v>8.3000000000000007</c:v>
                </c:pt>
                <c:pt idx="67">
                  <c:v>8.1</c:v>
                </c:pt>
                <c:pt idx="68">
                  <c:v>7.9</c:v>
                </c:pt>
                <c:pt idx="69">
                  <c:v>8.4600000000000009</c:v>
                </c:pt>
                <c:pt idx="70">
                  <c:v>11.5</c:v>
                </c:pt>
                <c:pt idx="71">
                  <c:v>10.7</c:v>
                </c:pt>
                <c:pt idx="72">
                  <c:v>12.9</c:v>
                </c:pt>
                <c:pt idx="73">
                  <c:v>14.6</c:v>
                </c:pt>
                <c:pt idx="74">
                  <c:v>13.5</c:v>
                </c:pt>
                <c:pt idx="75">
                  <c:v>12.6</c:v>
                </c:pt>
                <c:pt idx="76">
                  <c:v>11.6</c:v>
                </c:pt>
                <c:pt idx="77">
                  <c:v>9.8000000000000007</c:v>
                </c:pt>
                <c:pt idx="78">
                  <c:v>8.4</c:v>
                </c:pt>
                <c:pt idx="79">
                  <c:v>7.8</c:v>
                </c:pt>
                <c:pt idx="80">
                  <c:v>8.5</c:v>
                </c:pt>
                <c:pt idx="81">
                  <c:v>7.9</c:v>
                </c:pt>
                <c:pt idx="82">
                  <c:v>10.3</c:v>
                </c:pt>
                <c:pt idx="83">
                  <c:v>12.1</c:v>
                </c:pt>
                <c:pt idx="84">
                  <c:v>12.6</c:v>
                </c:pt>
                <c:pt idx="85">
                  <c:v>13.9</c:v>
                </c:pt>
                <c:pt idx="86">
                  <c:v>13.5</c:v>
                </c:pt>
                <c:pt idx="87">
                  <c:v>13</c:v>
                </c:pt>
                <c:pt idx="88">
                  <c:v>10.9</c:v>
                </c:pt>
                <c:pt idx="89">
                  <c:v>9.4</c:v>
                </c:pt>
                <c:pt idx="90">
                  <c:v>7.3</c:v>
                </c:pt>
                <c:pt idx="91">
                  <c:v>8.1</c:v>
                </c:pt>
                <c:pt idx="92">
                  <c:v>7.2</c:v>
                </c:pt>
                <c:pt idx="93">
                  <c:v>8.3000000000000007</c:v>
                </c:pt>
                <c:pt idx="94">
                  <c:v>9.1</c:v>
                </c:pt>
                <c:pt idx="95">
                  <c:v>12.2</c:v>
                </c:pt>
                <c:pt idx="96">
                  <c:v>12.5</c:v>
                </c:pt>
                <c:pt idx="97">
                  <c:v>13.2</c:v>
                </c:pt>
                <c:pt idx="98">
                  <c:v>12.7</c:v>
                </c:pt>
                <c:pt idx="99">
                  <c:v>12.5</c:v>
                </c:pt>
                <c:pt idx="100">
                  <c:v>13.2</c:v>
                </c:pt>
                <c:pt idx="101">
                  <c:v>8.1999999999999993</c:v>
                </c:pt>
                <c:pt idx="102">
                  <c:v>7.9</c:v>
                </c:pt>
                <c:pt idx="103">
                  <c:v>7.2</c:v>
                </c:pt>
                <c:pt idx="104">
                  <c:v>6.7</c:v>
                </c:pt>
                <c:pt idx="105">
                  <c:v>7.6</c:v>
                </c:pt>
                <c:pt idx="106">
                  <c:v>10.5</c:v>
                </c:pt>
                <c:pt idx="107">
                  <c:v>9.6</c:v>
                </c:pt>
                <c:pt idx="108">
                  <c:v>11.4</c:v>
                </c:pt>
                <c:pt idx="109">
                  <c:v>13.3</c:v>
                </c:pt>
                <c:pt idx="110">
                  <c:v>12.7</c:v>
                </c:pt>
                <c:pt idx="111">
                  <c:v>13.8</c:v>
                </c:pt>
                <c:pt idx="112">
                  <c:v>14</c:v>
                </c:pt>
                <c:pt idx="113">
                  <c:v>9.6</c:v>
                </c:pt>
                <c:pt idx="114">
                  <c:v>7.7</c:v>
                </c:pt>
                <c:pt idx="115">
                  <c:v>7.1</c:v>
                </c:pt>
                <c:pt idx="116">
                  <c:v>7.4</c:v>
                </c:pt>
                <c:pt idx="117">
                  <c:v>8.4</c:v>
                </c:pt>
                <c:pt idx="118">
                  <c:v>9.6999999999999993</c:v>
                </c:pt>
                <c:pt idx="119">
                  <c:v>10.8</c:v>
                </c:pt>
                <c:pt idx="120">
                  <c:v>12.1</c:v>
                </c:pt>
                <c:pt idx="121">
                  <c:v>12.3</c:v>
                </c:pt>
                <c:pt idx="122">
                  <c:v>12.1</c:v>
                </c:pt>
                <c:pt idx="123">
                  <c:v>12.7</c:v>
                </c:pt>
                <c:pt idx="124">
                  <c:v>10.5</c:v>
                </c:pt>
                <c:pt idx="125">
                  <c:v>9.6</c:v>
                </c:pt>
                <c:pt idx="126">
                  <c:v>7.5</c:v>
                </c:pt>
                <c:pt idx="127">
                  <c:v>8.5</c:v>
                </c:pt>
                <c:pt idx="128">
                  <c:v>5</c:v>
                </c:pt>
                <c:pt idx="129">
                  <c:v>7.6</c:v>
                </c:pt>
                <c:pt idx="130">
                  <c:v>8.1</c:v>
                </c:pt>
                <c:pt idx="131">
                  <c:v>9.4</c:v>
                </c:pt>
                <c:pt idx="132">
                  <c:v>11.8</c:v>
                </c:pt>
                <c:pt idx="133">
                  <c:v>13.4</c:v>
                </c:pt>
                <c:pt idx="134">
                  <c:v>13</c:v>
                </c:pt>
                <c:pt idx="135">
                  <c:v>12</c:v>
                </c:pt>
                <c:pt idx="136">
                  <c:v>11.9</c:v>
                </c:pt>
                <c:pt idx="137">
                  <c:v>8.6999999999999993</c:v>
                </c:pt>
                <c:pt idx="138">
                  <c:v>6.9</c:v>
                </c:pt>
                <c:pt idx="139">
                  <c:v>7.4</c:v>
                </c:pt>
                <c:pt idx="140">
                  <c:v>7.7</c:v>
                </c:pt>
                <c:pt idx="141">
                  <c:v>7.2</c:v>
                </c:pt>
                <c:pt idx="142">
                  <c:v>8.8000000000000007</c:v>
                </c:pt>
                <c:pt idx="143">
                  <c:v>12.7</c:v>
                </c:pt>
                <c:pt idx="144">
                  <c:v>13.3</c:v>
                </c:pt>
                <c:pt idx="145">
                  <c:v>13.6</c:v>
                </c:pt>
                <c:pt idx="146">
                  <c:v>13.2</c:v>
                </c:pt>
                <c:pt idx="147">
                  <c:v>12.3</c:v>
                </c:pt>
                <c:pt idx="148">
                  <c:v>12.4</c:v>
                </c:pt>
                <c:pt idx="149">
                  <c:v>9.1999999999999993</c:v>
                </c:pt>
                <c:pt idx="150">
                  <c:v>7.7</c:v>
                </c:pt>
                <c:pt idx="151">
                  <c:v>7.4</c:v>
                </c:pt>
                <c:pt idx="152">
                  <c:v>5.6</c:v>
                </c:pt>
                <c:pt idx="153">
                  <c:v>9.1</c:v>
                </c:pt>
                <c:pt idx="154">
                  <c:v>8.4</c:v>
                </c:pt>
                <c:pt idx="155">
                  <c:v>8.5</c:v>
                </c:pt>
                <c:pt idx="156">
                  <c:v>13.3</c:v>
                </c:pt>
                <c:pt idx="157">
                  <c:v>12.6</c:v>
                </c:pt>
                <c:pt idx="158">
                  <c:v>13.2</c:v>
                </c:pt>
                <c:pt idx="159">
                  <c:v>12.9</c:v>
                </c:pt>
                <c:pt idx="160">
                  <c:v>11.7</c:v>
                </c:pt>
                <c:pt idx="161">
                  <c:v>9.8000000000000007</c:v>
                </c:pt>
                <c:pt idx="162">
                  <c:v>6.9</c:v>
                </c:pt>
                <c:pt idx="163">
                  <c:v>7.9</c:v>
                </c:pt>
                <c:pt idx="164">
                  <c:v>6.7</c:v>
                </c:pt>
                <c:pt idx="165">
                  <c:v>7.7</c:v>
                </c:pt>
                <c:pt idx="166">
                  <c:v>8.8000000000000007</c:v>
                </c:pt>
                <c:pt idx="167">
                  <c:v>10.9</c:v>
                </c:pt>
                <c:pt idx="168">
                  <c:v>12.1</c:v>
                </c:pt>
                <c:pt idx="169">
                  <c:v>13.9</c:v>
                </c:pt>
                <c:pt idx="170">
                  <c:v>12.7</c:v>
                </c:pt>
                <c:pt idx="171">
                  <c:v>11.3</c:v>
                </c:pt>
                <c:pt idx="172">
                  <c:v>11.1</c:v>
                </c:pt>
                <c:pt idx="173">
                  <c:v>8.6</c:v>
                </c:pt>
                <c:pt idx="174">
                  <c:v>8.6</c:v>
                </c:pt>
                <c:pt idx="175">
                  <c:v>8.35</c:v>
                </c:pt>
                <c:pt idx="176">
                  <c:v>8.1</c:v>
                </c:pt>
                <c:pt idx="177">
                  <c:v>8.89</c:v>
                </c:pt>
                <c:pt idx="178">
                  <c:v>9.19</c:v>
                </c:pt>
                <c:pt idx="179">
                  <c:v>11.26</c:v>
                </c:pt>
                <c:pt idx="180">
                  <c:v>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7-4A58-B255-F878373A0457}"/>
            </c:ext>
          </c:extLst>
        </c:ser>
        <c:ser>
          <c:idx val="1"/>
          <c:order val="1"/>
          <c:tx>
            <c:strRef>
              <c:f>Statistik!$AA$8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Statistik!$AA$9:$AA$192</c:f>
              <c:numCache>
                <c:formatCode>0.0</c:formatCode>
                <c:ptCount val="184"/>
                <c:pt idx="0">
                  <c:v>10.332000000000001</c:v>
                </c:pt>
                <c:pt idx="1">
                  <c:v>10.332000000000001</c:v>
                </c:pt>
                <c:pt idx="2">
                  <c:v>10.332000000000001</c:v>
                </c:pt>
                <c:pt idx="3">
                  <c:v>10.332000000000001</c:v>
                </c:pt>
                <c:pt idx="4">
                  <c:v>10.332000000000001</c:v>
                </c:pt>
                <c:pt idx="5">
                  <c:v>10.332000000000001</c:v>
                </c:pt>
                <c:pt idx="6">
                  <c:v>10.332000000000001</c:v>
                </c:pt>
                <c:pt idx="7">
                  <c:v>10.332000000000001</c:v>
                </c:pt>
                <c:pt idx="8">
                  <c:v>10.332000000000001</c:v>
                </c:pt>
                <c:pt idx="9">
                  <c:v>10.332000000000001</c:v>
                </c:pt>
                <c:pt idx="10">
                  <c:v>10.332000000000001</c:v>
                </c:pt>
                <c:pt idx="11">
                  <c:v>10.332000000000001</c:v>
                </c:pt>
                <c:pt idx="12">
                  <c:v>10.332000000000001</c:v>
                </c:pt>
                <c:pt idx="13">
                  <c:v>10.332000000000001</c:v>
                </c:pt>
                <c:pt idx="14">
                  <c:v>10.332000000000001</c:v>
                </c:pt>
                <c:pt idx="15">
                  <c:v>10.332000000000001</c:v>
                </c:pt>
                <c:pt idx="16">
                  <c:v>10.332000000000001</c:v>
                </c:pt>
                <c:pt idx="17">
                  <c:v>10.332000000000001</c:v>
                </c:pt>
                <c:pt idx="18">
                  <c:v>10.332000000000001</c:v>
                </c:pt>
                <c:pt idx="19">
                  <c:v>10.332000000000001</c:v>
                </c:pt>
                <c:pt idx="20">
                  <c:v>10.332000000000001</c:v>
                </c:pt>
                <c:pt idx="21">
                  <c:v>10.332000000000001</c:v>
                </c:pt>
                <c:pt idx="22">
                  <c:v>10.332000000000001</c:v>
                </c:pt>
                <c:pt idx="23">
                  <c:v>10.332000000000001</c:v>
                </c:pt>
                <c:pt idx="24">
                  <c:v>10.332000000000001</c:v>
                </c:pt>
                <c:pt idx="25">
                  <c:v>10.332000000000001</c:v>
                </c:pt>
                <c:pt idx="26">
                  <c:v>10.332000000000001</c:v>
                </c:pt>
                <c:pt idx="27">
                  <c:v>10.332000000000001</c:v>
                </c:pt>
                <c:pt idx="28">
                  <c:v>10.332000000000001</c:v>
                </c:pt>
                <c:pt idx="29">
                  <c:v>10.332000000000001</c:v>
                </c:pt>
                <c:pt idx="30">
                  <c:v>10.332000000000001</c:v>
                </c:pt>
                <c:pt idx="31">
                  <c:v>10.332000000000001</c:v>
                </c:pt>
                <c:pt idx="32">
                  <c:v>10.332000000000001</c:v>
                </c:pt>
                <c:pt idx="33">
                  <c:v>10.332000000000001</c:v>
                </c:pt>
                <c:pt idx="34">
                  <c:v>10.332000000000001</c:v>
                </c:pt>
                <c:pt idx="35">
                  <c:v>10.332000000000001</c:v>
                </c:pt>
                <c:pt idx="36">
                  <c:v>10.332000000000001</c:v>
                </c:pt>
                <c:pt idx="37">
                  <c:v>10.332000000000001</c:v>
                </c:pt>
                <c:pt idx="38">
                  <c:v>10.332000000000001</c:v>
                </c:pt>
                <c:pt idx="39">
                  <c:v>10.332000000000001</c:v>
                </c:pt>
                <c:pt idx="40">
                  <c:v>10.332000000000001</c:v>
                </c:pt>
                <c:pt idx="41">
                  <c:v>10.332000000000001</c:v>
                </c:pt>
                <c:pt idx="42">
                  <c:v>10.332000000000001</c:v>
                </c:pt>
                <c:pt idx="43">
                  <c:v>10.332000000000001</c:v>
                </c:pt>
                <c:pt idx="44">
                  <c:v>10.332000000000001</c:v>
                </c:pt>
                <c:pt idx="45">
                  <c:v>10.332000000000001</c:v>
                </c:pt>
                <c:pt idx="46">
                  <c:v>10.332000000000001</c:v>
                </c:pt>
                <c:pt idx="47">
                  <c:v>10.332000000000001</c:v>
                </c:pt>
                <c:pt idx="48">
                  <c:v>10.332000000000001</c:v>
                </c:pt>
                <c:pt idx="49">
                  <c:v>10.332000000000001</c:v>
                </c:pt>
                <c:pt idx="50">
                  <c:v>10.332000000000001</c:v>
                </c:pt>
                <c:pt idx="51">
                  <c:v>10.332000000000001</c:v>
                </c:pt>
                <c:pt idx="52">
                  <c:v>10.332000000000001</c:v>
                </c:pt>
                <c:pt idx="53">
                  <c:v>10.332000000000001</c:v>
                </c:pt>
                <c:pt idx="54">
                  <c:v>10.332000000000001</c:v>
                </c:pt>
                <c:pt idx="55">
                  <c:v>10.332000000000001</c:v>
                </c:pt>
                <c:pt idx="56">
                  <c:v>10.332000000000001</c:v>
                </c:pt>
                <c:pt idx="57">
                  <c:v>10.332000000000001</c:v>
                </c:pt>
                <c:pt idx="58">
                  <c:v>10.332000000000001</c:v>
                </c:pt>
                <c:pt idx="59">
                  <c:v>10.332000000000001</c:v>
                </c:pt>
                <c:pt idx="60">
                  <c:v>10.332000000000001</c:v>
                </c:pt>
                <c:pt idx="61">
                  <c:v>10.332000000000001</c:v>
                </c:pt>
                <c:pt idx="62">
                  <c:v>10.332000000000001</c:v>
                </c:pt>
                <c:pt idx="63">
                  <c:v>10.332000000000001</c:v>
                </c:pt>
                <c:pt idx="64">
                  <c:v>10.332000000000001</c:v>
                </c:pt>
                <c:pt idx="65">
                  <c:v>10.332000000000001</c:v>
                </c:pt>
                <c:pt idx="66">
                  <c:v>10.332000000000001</c:v>
                </c:pt>
                <c:pt idx="67">
                  <c:v>10.332000000000001</c:v>
                </c:pt>
                <c:pt idx="68">
                  <c:v>10.332000000000001</c:v>
                </c:pt>
                <c:pt idx="69">
                  <c:v>10.332000000000001</c:v>
                </c:pt>
                <c:pt idx="70">
                  <c:v>10.332000000000001</c:v>
                </c:pt>
                <c:pt idx="71">
                  <c:v>10.332000000000001</c:v>
                </c:pt>
                <c:pt idx="72">
                  <c:v>10.332000000000001</c:v>
                </c:pt>
                <c:pt idx="73">
                  <c:v>10.332000000000001</c:v>
                </c:pt>
                <c:pt idx="74">
                  <c:v>10.332000000000001</c:v>
                </c:pt>
                <c:pt idx="75">
                  <c:v>10.332000000000001</c:v>
                </c:pt>
                <c:pt idx="76">
                  <c:v>10.332000000000001</c:v>
                </c:pt>
                <c:pt idx="77">
                  <c:v>10.332000000000001</c:v>
                </c:pt>
                <c:pt idx="78">
                  <c:v>10.332000000000001</c:v>
                </c:pt>
                <c:pt idx="79">
                  <c:v>10.332000000000001</c:v>
                </c:pt>
                <c:pt idx="80">
                  <c:v>10.332000000000001</c:v>
                </c:pt>
                <c:pt idx="81">
                  <c:v>10.332000000000001</c:v>
                </c:pt>
                <c:pt idx="82">
                  <c:v>10.332000000000001</c:v>
                </c:pt>
                <c:pt idx="83">
                  <c:v>10.332000000000001</c:v>
                </c:pt>
                <c:pt idx="84">
                  <c:v>10.332000000000001</c:v>
                </c:pt>
                <c:pt idx="85">
                  <c:v>10.332000000000001</c:v>
                </c:pt>
                <c:pt idx="86">
                  <c:v>10.332000000000001</c:v>
                </c:pt>
                <c:pt idx="87">
                  <c:v>10.332000000000001</c:v>
                </c:pt>
                <c:pt idx="88">
                  <c:v>10.332000000000001</c:v>
                </c:pt>
                <c:pt idx="89">
                  <c:v>10.332000000000001</c:v>
                </c:pt>
                <c:pt idx="90">
                  <c:v>10.332000000000001</c:v>
                </c:pt>
                <c:pt idx="91">
                  <c:v>10.332000000000001</c:v>
                </c:pt>
                <c:pt idx="92">
                  <c:v>10.332000000000001</c:v>
                </c:pt>
                <c:pt idx="93">
                  <c:v>10.332000000000001</c:v>
                </c:pt>
                <c:pt idx="94">
                  <c:v>10.332000000000001</c:v>
                </c:pt>
                <c:pt idx="95">
                  <c:v>10.332000000000001</c:v>
                </c:pt>
                <c:pt idx="96">
                  <c:v>10.332000000000001</c:v>
                </c:pt>
                <c:pt idx="97">
                  <c:v>10.332000000000001</c:v>
                </c:pt>
                <c:pt idx="98">
                  <c:v>10.332000000000001</c:v>
                </c:pt>
                <c:pt idx="99">
                  <c:v>10.332000000000001</c:v>
                </c:pt>
                <c:pt idx="100">
                  <c:v>10.332000000000001</c:v>
                </c:pt>
                <c:pt idx="101">
                  <c:v>10.332000000000001</c:v>
                </c:pt>
                <c:pt idx="102">
                  <c:v>10.332000000000001</c:v>
                </c:pt>
                <c:pt idx="103">
                  <c:v>10.332000000000001</c:v>
                </c:pt>
                <c:pt idx="104">
                  <c:v>10.332000000000001</c:v>
                </c:pt>
                <c:pt idx="105">
                  <c:v>10.332000000000001</c:v>
                </c:pt>
                <c:pt idx="106">
                  <c:v>10.332000000000001</c:v>
                </c:pt>
                <c:pt idx="107">
                  <c:v>10.332000000000001</c:v>
                </c:pt>
                <c:pt idx="108">
                  <c:v>10.332000000000001</c:v>
                </c:pt>
                <c:pt idx="109">
                  <c:v>10.332000000000001</c:v>
                </c:pt>
                <c:pt idx="110">
                  <c:v>10.332000000000001</c:v>
                </c:pt>
                <c:pt idx="111">
                  <c:v>10.332000000000001</c:v>
                </c:pt>
                <c:pt idx="112">
                  <c:v>10.332000000000001</c:v>
                </c:pt>
                <c:pt idx="113">
                  <c:v>10.332000000000001</c:v>
                </c:pt>
                <c:pt idx="114">
                  <c:v>10.332000000000001</c:v>
                </c:pt>
                <c:pt idx="115">
                  <c:v>10.332000000000001</c:v>
                </c:pt>
                <c:pt idx="116">
                  <c:v>10.332000000000001</c:v>
                </c:pt>
                <c:pt idx="117">
                  <c:v>10.332000000000001</c:v>
                </c:pt>
                <c:pt idx="118">
                  <c:v>10.332000000000001</c:v>
                </c:pt>
                <c:pt idx="119">
                  <c:v>10.332000000000001</c:v>
                </c:pt>
                <c:pt idx="120">
                  <c:v>10.332000000000001</c:v>
                </c:pt>
                <c:pt idx="121">
                  <c:v>10.332000000000001</c:v>
                </c:pt>
                <c:pt idx="122">
                  <c:v>10.332000000000001</c:v>
                </c:pt>
                <c:pt idx="123">
                  <c:v>10.332000000000001</c:v>
                </c:pt>
                <c:pt idx="124">
                  <c:v>10.332000000000001</c:v>
                </c:pt>
                <c:pt idx="125">
                  <c:v>10.332000000000001</c:v>
                </c:pt>
                <c:pt idx="126">
                  <c:v>10.332000000000001</c:v>
                </c:pt>
                <c:pt idx="127">
                  <c:v>10.332000000000001</c:v>
                </c:pt>
                <c:pt idx="128">
                  <c:v>10.332000000000001</c:v>
                </c:pt>
                <c:pt idx="129">
                  <c:v>10.332000000000001</c:v>
                </c:pt>
                <c:pt idx="130">
                  <c:v>10.332000000000001</c:v>
                </c:pt>
                <c:pt idx="131">
                  <c:v>10.332000000000001</c:v>
                </c:pt>
                <c:pt idx="132">
                  <c:v>10.332000000000001</c:v>
                </c:pt>
                <c:pt idx="133">
                  <c:v>10.332000000000001</c:v>
                </c:pt>
                <c:pt idx="134">
                  <c:v>10.332000000000001</c:v>
                </c:pt>
                <c:pt idx="135">
                  <c:v>10.332000000000001</c:v>
                </c:pt>
                <c:pt idx="136">
                  <c:v>10.332000000000001</c:v>
                </c:pt>
                <c:pt idx="137">
                  <c:v>10.332000000000001</c:v>
                </c:pt>
                <c:pt idx="138">
                  <c:v>10.332000000000001</c:v>
                </c:pt>
                <c:pt idx="139">
                  <c:v>10.332000000000001</c:v>
                </c:pt>
                <c:pt idx="140">
                  <c:v>10.332000000000001</c:v>
                </c:pt>
                <c:pt idx="141">
                  <c:v>10.332000000000001</c:v>
                </c:pt>
                <c:pt idx="142">
                  <c:v>10.332000000000001</c:v>
                </c:pt>
                <c:pt idx="143">
                  <c:v>10.332000000000001</c:v>
                </c:pt>
                <c:pt idx="144">
                  <c:v>10.332000000000001</c:v>
                </c:pt>
                <c:pt idx="145">
                  <c:v>10.332000000000001</c:v>
                </c:pt>
                <c:pt idx="146">
                  <c:v>10.332000000000001</c:v>
                </c:pt>
                <c:pt idx="147">
                  <c:v>10.332000000000001</c:v>
                </c:pt>
                <c:pt idx="148">
                  <c:v>10.332000000000001</c:v>
                </c:pt>
                <c:pt idx="149">
                  <c:v>10.332000000000001</c:v>
                </c:pt>
                <c:pt idx="150">
                  <c:v>10.332000000000001</c:v>
                </c:pt>
                <c:pt idx="151">
                  <c:v>10.332000000000001</c:v>
                </c:pt>
                <c:pt idx="152">
                  <c:v>10.332000000000001</c:v>
                </c:pt>
                <c:pt idx="153">
                  <c:v>10.332000000000001</c:v>
                </c:pt>
                <c:pt idx="154">
                  <c:v>10.332000000000001</c:v>
                </c:pt>
                <c:pt idx="155">
                  <c:v>10.332000000000001</c:v>
                </c:pt>
                <c:pt idx="156">
                  <c:v>10.332000000000001</c:v>
                </c:pt>
                <c:pt idx="157">
                  <c:v>10.332000000000001</c:v>
                </c:pt>
                <c:pt idx="158">
                  <c:v>10.332000000000001</c:v>
                </c:pt>
                <c:pt idx="159">
                  <c:v>10.332000000000001</c:v>
                </c:pt>
                <c:pt idx="160">
                  <c:v>10.332000000000001</c:v>
                </c:pt>
                <c:pt idx="161">
                  <c:v>10.332000000000001</c:v>
                </c:pt>
                <c:pt idx="162">
                  <c:v>10.332000000000001</c:v>
                </c:pt>
                <c:pt idx="163">
                  <c:v>10.332000000000001</c:v>
                </c:pt>
                <c:pt idx="164">
                  <c:v>10.332000000000001</c:v>
                </c:pt>
                <c:pt idx="165">
                  <c:v>10.332000000000001</c:v>
                </c:pt>
                <c:pt idx="166">
                  <c:v>10.332000000000001</c:v>
                </c:pt>
                <c:pt idx="167">
                  <c:v>10.332000000000001</c:v>
                </c:pt>
                <c:pt idx="168">
                  <c:v>10.332000000000001</c:v>
                </c:pt>
                <c:pt idx="169">
                  <c:v>10.332000000000001</c:v>
                </c:pt>
                <c:pt idx="170">
                  <c:v>10.332000000000001</c:v>
                </c:pt>
                <c:pt idx="171">
                  <c:v>10.332000000000001</c:v>
                </c:pt>
                <c:pt idx="172">
                  <c:v>10.332000000000001</c:v>
                </c:pt>
                <c:pt idx="173">
                  <c:v>10.332000000000001</c:v>
                </c:pt>
                <c:pt idx="174">
                  <c:v>10.332000000000001</c:v>
                </c:pt>
                <c:pt idx="175">
                  <c:v>10.332000000000001</c:v>
                </c:pt>
                <c:pt idx="176">
                  <c:v>10.332000000000001</c:v>
                </c:pt>
                <c:pt idx="177">
                  <c:v>10.332000000000001</c:v>
                </c:pt>
                <c:pt idx="178">
                  <c:v>10.332000000000001</c:v>
                </c:pt>
                <c:pt idx="179">
                  <c:v>10.332000000000001</c:v>
                </c:pt>
                <c:pt idx="180">
                  <c:v>10.332000000000001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7-4A58-B255-F878373A0457}"/>
            </c:ext>
          </c:extLst>
        </c:ser>
        <c:ser>
          <c:idx val="2"/>
          <c:order val="2"/>
          <c:tx>
            <c:strRef>
              <c:f>Statistik!$AB$8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Statistik!$AB$9:$AB$192</c:f>
              <c:numCache>
                <c:formatCode>0.0</c:formatCode>
                <c:ptCount val="184"/>
                <c:pt idx="0">
                  <c:v>12.739174193481931</c:v>
                </c:pt>
                <c:pt idx="1">
                  <c:v>12.739174193481931</c:v>
                </c:pt>
                <c:pt idx="2">
                  <c:v>12.739174193481931</c:v>
                </c:pt>
                <c:pt idx="3">
                  <c:v>12.739174193481931</c:v>
                </c:pt>
                <c:pt idx="4">
                  <c:v>12.739174193481931</c:v>
                </c:pt>
                <c:pt idx="5">
                  <c:v>12.739174193481931</c:v>
                </c:pt>
                <c:pt idx="6">
                  <c:v>12.739174193481931</c:v>
                </c:pt>
                <c:pt idx="7">
                  <c:v>12.739174193481931</c:v>
                </c:pt>
                <c:pt idx="8">
                  <c:v>12.739174193481931</c:v>
                </c:pt>
                <c:pt idx="9">
                  <c:v>12.739174193481931</c:v>
                </c:pt>
                <c:pt idx="10">
                  <c:v>12.739174193481931</c:v>
                </c:pt>
                <c:pt idx="11">
                  <c:v>12.739174193481931</c:v>
                </c:pt>
                <c:pt idx="12">
                  <c:v>12.739174193481931</c:v>
                </c:pt>
                <c:pt idx="13">
                  <c:v>12.739174193481931</c:v>
                </c:pt>
                <c:pt idx="14">
                  <c:v>12.739174193481931</c:v>
                </c:pt>
                <c:pt idx="15">
                  <c:v>12.739174193481931</c:v>
                </c:pt>
                <c:pt idx="16">
                  <c:v>12.739174193481931</c:v>
                </c:pt>
                <c:pt idx="17">
                  <c:v>12.739174193481931</c:v>
                </c:pt>
                <c:pt idx="18">
                  <c:v>12.739174193481931</c:v>
                </c:pt>
                <c:pt idx="19">
                  <c:v>12.739174193481931</c:v>
                </c:pt>
                <c:pt idx="20">
                  <c:v>12.739174193481931</c:v>
                </c:pt>
                <c:pt idx="21">
                  <c:v>12.739174193481931</c:v>
                </c:pt>
                <c:pt idx="22">
                  <c:v>12.739174193481931</c:v>
                </c:pt>
                <c:pt idx="23">
                  <c:v>12.739174193481931</c:v>
                </c:pt>
                <c:pt idx="24">
                  <c:v>12.739174193481931</c:v>
                </c:pt>
                <c:pt idx="25">
                  <c:v>12.739174193481931</c:v>
                </c:pt>
                <c:pt idx="26">
                  <c:v>12.739174193481931</c:v>
                </c:pt>
                <c:pt idx="27">
                  <c:v>12.739174193481931</c:v>
                </c:pt>
                <c:pt idx="28">
                  <c:v>12.739174193481931</c:v>
                </c:pt>
                <c:pt idx="29">
                  <c:v>12.739174193481931</c:v>
                </c:pt>
                <c:pt idx="30">
                  <c:v>12.739174193481931</c:v>
                </c:pt>
                <c:pt idx="31">
                  <c:v>12.739174193481931</c:v>
                </c:pt>
                <c:pt idx="32">
                  <c:v>12.739174193481931</c:v>
                </c:pt>
                <c:pt idx="33">
                  <c:v>12.739174193481931</c:v>
                </c:pt>
                <c:pt idx="34">
                  <c:v>12.739174193481931</c:v>
                </c:pt>
                <c:pt idx="35">
                  <c:v>12.739174193481931</c:v>
                </c:pt>
                <c:pt idx="36">
                  <c:v>12.739174193481931</c:v>
                </c:pt>
                <c:pt idx="37">
                  <c:v>12.739174193481931</c:v>
                </c:pt>
                <c:pt idx="38">
                  <c:v>12.739174193481931</c:v>
                </c:pt>
                <c:pt idx="39">
                  <c:v>12.739174193481931</c:v>
                </c:pt>
                <c:pt idx="40">
                  <c:v>12.739174193481931</c:v>
                </c:pt>
                <c:pt idx="41">
                  <c:v>12.739174193481931</c:v>
                </c:pt>
                <c:pt idx="42">
                  <c:v>12.739174193481931</c:v>
                </c:pt>
                <c:pt idx="43">
                  <c:v>12.739174193481931</c:v>
                </c:pt>
                <c:pt idx="44">
                  <c:v>12.739174193481931</c:v>
                </c:pt>
                <c:pt idx="45">
                  <c:v>12.739174193481931</c:v>
                </c:pt>
                <c:pt idx="46">
                  <c:v>12.739174193481931</c:v>
                </c:pt>
                <c:pt idx="47">
                  <c:v>12.739174193481931</c:v>
                </c:pt>
                <c:pt idx="48">
                  <c:v>12.739174193481931</c:v>
                </c:pt>
                <c:pt idx="49">
                  <c:v>12.739174193481931</c:v>
                </c:pt>
                <c:pt idx="50">
                  <c:v>12.739174193481931</c:v>
                </c:pt>
                <c:pt idx="51">
                  <c:v>12.739174193481931</c:v>
                </c:pt>
                <c:pt idx="52">
                  <c:v>12.739174193481931</c:v>
                </c:pt>
                <c:pt idx="53">
                  <c:v>12.739174193481931</c:v>
                </c:pt>
                <c:pt idx="54">
                  <c:v>12.739174193481931</c:v>
                </c:pt>
                <c:pt idx="55">
                  <c:v>12.739174193481931</c:v>
                </c:pt>
                <c:pt idx="56">
                  <c:v>12.739174193481931</c:v>
                </c:pt>
                <c:pt idx="57">
                  <c:v>12.739174193481931</c:v>
                </c:pt>
                <c:pt idx="58">
                  <c:v>12.739174193481931</c:v>
                </c:pt>
                <c:pt idx="59">
                  <c:v>12.739174193481931</c:v>
                </c:pt>
                <c:pt idx="60">
                  <c:v>12.739174193481931</c:v>
                </c:pt>
                <c:pt idx="61">
                  <c:v>12.739174193481931</c:v>
                </c:pt>
                <c:pt idx="62">
                  <c:v>12.739174193481931</c:v>
                </c:pt>
                <c:pt idx="63">
                  <c:v>12.739174193481931</c:v>
                </c:pt>
                <c:pt idx="64">
                  <c:v>12.739174193481931</c:v>
                </c:pt>
                <c:pt idx="65">
                  <c:v>12.739174193481931</c:v>
                </c:pt>
                <c:pt idx="66">
                  <c:v>12.739174193481931</c:v>
                </c:pt>
                <c:pt idx="67">
                  <c:v>12.739174193481931</c:v>
                </c:pt>
                <c:pt idx="68">
                  <c:v>12.739174193481931</c:v>
                </c:pt>
                <c:pt idx="69">
                  <c:v>12.739174193481931</c:v>
                </c:pt>
                <c:pt idx="70">
                  <c:v>12.739174193481931</c:v>
                </c:pt>
                <c:pt idx="71">
                  <c:v>12.739174193481931</c:v>
                </c:pt>
                <c:pt idx="72">
                  <c:v>12.739174193481931</c:v>
                </c:pt>
                <c:pt idx="73">
                  <c:v>12.739174193481931</c:v>
                </c:pt>
                <c:pt idx="74">
                  <c:v>12.739174193481931</c:v>
                </c:pt>
                <c:pt idx="75">
                  <c:v>12.739174193481931</c:v>
                </c:pt>
                <c:pt idx="76">
                  <c:v>12.739174193481931</c:v>
                </c:pt>
                <c:pt idx="77">
                  <c:v>12.739174193481931</c:v>
                </c:pt>
                <c:pt idx="78">
                  <c:v>12.739174193481931</c:v>
                </c:pt>
                <c:pt idx="79">
                  <c:v>12.739174193481931</c:v>
                </c:pt>
                <c:pt idx="80">
                  <c:v>12.739174193481931</c:v>
                </c:pt>
                <c:pt idx="81">
                  <c:v>12.739174193481931</c:v>
                </c:pt>
                <c:pt idx="82">
                  <c:v>12.739174193481931</c:v>
                </c:pt>
                <c:pt idx="83">
                  <c:v>12.739174193481931</c:v>
                </c:pt>
                <c:pt idx="84">
                  <c:v>12.739174193481931</c:v>
                </c:pt>
                <c:pt idx="85">
                  <c:v>12.739174193481931</c:v>
                </c:pt>
                <c:pt idx="86">
                  <c:v>12.739174193481931</c:v>
                </c:pt>
                <c:pt idx="87">
                  <c:v>12.739174193481931</c:v>
                </c:pt>
                <c:pt idx="88">
                  <c:v>12.739174193481931</c:v>
                </c:pt>
                <c:pt idx="89">
                  <c:v>12.739174193481931</c:v>
                </c:pt>
                <c:pt idx="90">
                  <c:v>12.739174193481931</c:v>
                </c:pt>
                <c:pt idx="91">
                  <c:v>12.739174193481931</c:v>
                </c:pt>
                <c:pt idx="92">
                  <c:v>12.739174193481931</c:v>
                </c:pt>
                <c:pt idx="93">
                  <c:v>12.739174193481931</c:v>
                </c:pt>
                <c:pt idx="94">
                  <c:v>12.739174193481931</c:v>
                </c:pt>
                <c:pt idx="95">
                  <c:v>12.739174193481931</c:v>
                </c:pt>
                <c:pt idx="96">
                  <c:v>12.739174193481931</c:v>
                </c:pt>
                <c:pt idx="97">
                  <c:v>12.739174193481931</c:v>
                </c:pt>
                <c:pt idx="98">
                  <c:v>12.739174193481931</c:v>
                </c:pt>
                <c:pt idx="99">
                  <c:v>12.739174193481931</c:v>
                </c:pt>
                <c:pt idx="100">
                  <c:v>12.739174193481931</c:v>
                </c:pt>
                <c:pt idx="101">
                  <c:v>12.739174193481931</c:v>
                </c:pt>
                <c:pt idx="102">
                  <c:v>12.739174193481931</c:v>
                </c:pt>
                <c:pt idx="103">
                  <c:v>12.739174193481931</c:v>
                </c:pt>
                <c:pt idx="104">
                  <c:v>12.739174193481931</c:v>
                </c:pt>
                <c:pt idx="105">
                  <c:v>12.739174193481931</c:v>
                </c:pt>
                <c:pt idx="106">
                  <c:v>12.739174193481931</c:v>
                </c:pt>
                <c:pt idx="107">
                  <c:v>12.739174193481931</c:v>
                </c:pt>
                <c:pt idx="108">
                  <c:v>12.739174193481931</c:v>
                </c:pt>
                <c:pt idx="109">
                  <c:v>12.739174193481931</c:v>
                </c:pt>
                <c:pt idx="110">
                  <c:v>12.739174193481931</c:v>
                </c:pt>
                <c:pt idx="111">
                  <c:v>12.739174193481931</c:v>
                </c:pt>
                <c:pt idx="112">
                  <c:v>12.739174193481931</c:v>
                </c:pt>
                <c:pt idx="113">
                  <c:v>12.739174193481931</c:v>
                </c:pt>
                <c:pt idx="114">
                  <c:v>12.739174193481931</c:v>
                </c:pt>
                <c:pt idx="115">
                  <c:v>12.739174193481931</c:v>
                </c:pt>
                <c:pt idx="116">
                  <c:v>12.739174193481931</c:v>
                </c:pt>
                <c:pt idx="117">
                  <c:v>12.739174193481931</c:v>
                </c:pt>
                <c:pt idx="118">
                  <c:v>12.739174193481931</c:v>
                </c:pt>
                <c:pt idx="119">
                  <c:v>12.739174193481931</c:v>
                </c:pt>
                <c:pt idx="120">
                  <c:v>12.739174193481931</c:v>
                </c:pt>
                <c:pt idx="121">
                  <c:v>12.739174193481931</c:v>
                </c:pt>
                <c:pt idx="122">
                  <c:v>12.739174193481931</c:v>
                </c:pt>
                <c:pt idx="123">
                  <c:v>12.739174193481931</c:v>
                </c:pt>
                <c:pt idx="124">
                  <c:v>12.739174193481931</c:v>
                </c:pt>
                <c:pt idx="125">
                  <c:v>12.739174193481931</c:v>
                </c:pt>
                <c:pt idx="126">
                  <c:v>12.739174193481931</c:v>
                </c:pt>
                <c:pt idx="127">
                  <c:v>12.739174193481931</c:v>
                </c:pt>
                <c:pt idx="128">
                  <c:v>12.739174193481931</c:v>
                </c:pt>
                <c:pt idx="129">
                  <c:v>12.739174193481931</c:v>
                </c:pt>
                <c:pt idx="130">
                  <c:v>12.739174193481931</c:v>
                </c:pt>
                <c:pt idx="131">
                  <c:v>12.739174193481931</c:v>
                </c:pt>
                <c:pt idx="132">
                  <c:v>12.739174193481931</c:v>
                </c:pt>
                <c:pt idx="133">
                  <c:v>12.739174193481931</c:v>
                </c:pt>
                <c:pt idx="134">
                  <c:v>12.739174193481931</c:v>
                </c:pt>
                <c:pt idx="135">
                  <c:v>12.739174193481931</c:v>
                </c:pt>
                <c:pt idx="136">
                  <c:v>12.739174193481931</c:v>
                </c:pt>
                <c:pt idx="137">
                  <c:v>12.739174193481931</c:v>
                </c:pt>
                <c:pt idx="138">
                  <c:v>12.739174193481931</c:v>
                </c:pt>
                <c:pt idx="139">
                  <c:v>12.739174193481931</c:v>
                </c:pt>
                <c:pt idx="140">
                  <c:v>12.739174193481931</c:v>
                </c:pt>
                <c:pt idx="141">
                  <c:v>12.739174193481931</c:v>
                </c:pt>
                <c:pt idx="142">
                  <c:v>12.739174193481931</c:v>
                </c:pt>
                <c:pt idx="143">
                  <c:v>12.739174193481931</c:v>
                </c:pt>
                <c:pt idx="144">
                  <c:v>12.739174193481931</c:v>
                </c:pt>
                <c:pt idx="145">
                  <c:v>12.739174193481931</c:v>
                </c:pt>
                <c:pt idx="146">
                  <c:v>12.739174193481931</c:v>
                </c:pt>
                <c:pt idx="147">
                  <c:v>12.739174193481931</c:v>
                </c:pt>
                <c:pt idx="148">
                  <c:v>12.739174193481931</c:v>
                </c:pt>
                <c:pt idx="149">
                  <c:v>12.739174193481931</c:v>
                </c:pt>
                <c:pt idx="150">
                  <c:v>12.739174193481931</c:v>
                </c:pt>
                <c:pt idx="151">
                  <c:v>12.739174193481931</c:v>
                </c:pt>
                <c:pt idx="152">
                  <c:v>12.739174193481931</c:v>
                </c:pt>
                <c:pt idx="153">
                  <c:v>12.739174193481931</c:v>
                </c:pt>
                <c:pt idx="154">
                  <c:v>12.739174193481931</c:v>
                </c:pt>
                <c:pt idx="155">
                  <c:v>12.739174193481931</c:v>
                </c:pt>
                <c:pt idx="156">
                  <c:v>12.739174193481931</c:v>
                </c:pt>
                <c:pt idx="157">
                  <c:v>12.739174193481931</c:v>
                </c:pt>
                <c:pt idx="158">
                  <c:v>12.739174193481931</c:v>
                </c:pt>
                <c:pt idx="159">
                  <c:v>12.739174193481931</c:v>
                </c:pt>
                <c:pt idx="160">
                  <c:v>12.739174193481931</c:v>
                </c:pt>
                <c:pt idx="161">
                  <c:v>12.739174193481931</c:v>
                </c:pt>
                <c:pt idx="162">
                  <c:v>12.739174193481931</c:v>
                </c:pt>
                <c:pt idx="163">
                  <c:v>12.739174193481931</c:v>
                </c:pt>
                <c:pt idx="164">
                  <c:v>12.739174193481931</c:v>
                </c:pt>
                <c:pt idx="165">
                  <c:v>12.739174193481931</c:v>
                </c:pt>
                <c:pt idx="166">
                  <c:v>12.739174193481931</c:v>
                </c:pt>
                <c:pt idx="167">
                  <c:v>12.739174193481931</c:v>
                </c:pt>
                <c:pt idx="168">
                  <c:v>12.739174193481931</c:v>
                </c:pt>
                <c:pt idx="169">
                  <c:v>12.739174193481931</c:v>
                </c:pt>
                <c:pt idx="170">
                  <c:v>12.739174193481931</c:v>
                </c:pt>
                <c:pt idx="171">
                  <c:v>12.739174193481931</c:v>
                </c:pt>
                <c:pt idx="172">
                  <c:v>12.739174193481931</c:v>
                </c:pt>
                <c:pt idx="173">
                  <c:v>12.739174193481931</c:v>
                </c:pt>
                <c:pt idx="174">
                  <c:v>12.739174193481931</c:v>
                </c:pt>
                <c:pt idx="175">
                  <c:v>12.739174193481931</c:v>
                </c:pt>
                <c:pt idx="176">
                  <c:v>12.739174193481931</c:v>
                </c:pt>
                <c:pt idx="177">
                  <c:v>12.739174193481931</c:v>
                </c:pt>
                <c:pt idx="178">
                  <c:v>12.739174193481931</c:v>
                </c:pt>
                <c:pt idx="179">
                  <c:v>12.739174193481931</c:v>
                </c:pt>
                <c:pt idx="180">
                  <c:v>12.739174193481931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7-4A58-B255-F878373A0457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Statistik!$AC$9:$AC$192</c:f>
              <c:numCache>
                <c:formatCode>0.0</c:formatCode>
                <c:ptCount val="184"/>
                <c:pt idx="0">
                  <c:v>7.9248258065180703</c:v>
                </c:pt>
                <c:pt idx="1">
                  <c:v>7.9248258065180703</c:v>
                </c:pt>
                <c:pt idx="2">
                  <c:v>7.9248258065180703</c:v>
                </c:pt>
                <c:pt idx="3">
                  <c:v>7.9248258065180703</c:v>
                </c:pt>
                <c:pt idx="4">
                  <c:v>7.9248258065180703</c:v>
                </c:pt>
                <c:pt idx="5">
                  <c:v>7.9248258065180703</c:v>
                </c:pt>
                <c:pt idx="6">
                  <c:v>7.9248258065180703</c:v>
                </c:pt>
                <c:pt idx="7">
                  <c:v>7.9248258065180703</c:v>
                </c:pt>
                <c:pt idx="8">
                  <c:v>7.9248258065180703</c:v>
                </c:pt>
                <c:pt idx="9">
                  <c:v>7.9248258065180703</c:v>
                </c:pt>
                <c:pt idx="10">
                  <c:v>7.9248258065180703</c:v>
                </c:pt>
                <c:pt idx="11">
                  <c:v>7.9248258065180703</c:v>
                </c:pt>
                <c:pt idx="12">
                  <c:v>7.9248258065180703</c:v>
                </c:pt>
                <c:pt idx="13">
                  <c:v>7.9248258065180703</c:v>
                </c:pt>
                <c:pt idx="14">
                  <c:v>7.9248258065180703</c:v>
                </c:pt>
                <c:pt idx="15">
                  <c:v>7.9248258065180703</c:v>
                </c:pt>
                <c:pt idx="16">
                  <c:v>7.9248258065180703</c:v>
                </c:pt>
                <c:pt idx="17">
                  <c:v>7.9248258065180703</c:v>
                </c:pt>
                <c:pt idx="18">
                  <c:v>7.9248258065180703</c:v>
                </c:pt>
                <c:pt idx="19">
                  <c:v>7.9248258065180703</c:v>
                </c:pt>
                <c:pt idx="20">
                  <c:v>7.9248258065180703</c:v>
                </c:pt>
                <c:pt idx="21">
                  <c:v>7.9248258065180703</c:v>
                </c:pt>
                <c:pt idx="22">
                  <c:v>7.9248258065180703</c:v>
                </c:pt>
                <c:pt idx="23">
                  <c:v>7.9248258065180703</c:v>
                </c:pt>
                <c:pt idx="24">
                  <c:v>7.9248258065180703</c:v>
                </c:pt>
                <c:pt idx="25">
                  <c:v>7.9248258065180703</c:v>
                </c:pt>
                <c:pt idx="26">
                  <c:v>7.9248258065180703</c:v>
                </c:pt>
                <c:pt idx="27">
                  <c:v>7.9248258065180703</c:v>
                </c:pt>
                <c:pt idx="28">
                  <c:v>7.9248258065180703</c:v>
                </c:pt>
                <c:pt idx="29">
                  <c:v>7.9248258065180703</c:v>
                </c:pt>
                <c:pt idx="30">
                  <c:v>7.9248258065180703</c:v>
                </c:pt>
                <c:pt idx="31">
                  <c:v>7.9248258065180703</c:v>
                </c:pt>
                <c:pt idx="32">
                  <c:v>7.9248258065180703</c:v>
                </c:pt>
                <c:pt idx="33">
                  <c:v>7.9248258065180703</c:v>
                </c:pt>
                <c:pt idx="34">
                  <c:v>7.9248258065180703</c:v>
                </c:pt>
                <c:pt idx="35">
                  <c:v>7.9248258065180703</c:v>
                </c:pt>
                <c:pt idx="36">
                  <c:v>7.9248258065180703</c:v>
                </c:pt>
                <c:pt idx="37">
                  <c:v>7.9248258065180703</c:v>
                </c:pt>
                <c:pt idx="38">
                  <c:v>7.9248258065180703</c:v>
                </c:pt>
                <c:pt idx="39">
                  <c:v>7.9248258065180703</c:v>
                </c:pt>
                <c:pt idx="40">
                  <c:v>7.9248258065180703</c:v>
                </c:pt>
                <c:pt idx="41">
                  <c:v>7.9248258065180703</c:v>
                </c:pt>
                <c:pt idx="42">
                  <c:v>7.9248258065180703</c:v>
                </c:pt>
                <c:pt idx="43">
                  <c:v>7.9248258065180703</c:v>
                </c:pt>
                <c:pt idx="44">
                  <c:v>7.9248258065180703</c:v>
                </c:pt>
                <c:pt idx="45">
                  <c:v>7.9248258065180703</c:v>
                </c:pt>
                <c:pt idx="46">
                  <c:v>7.9248258065180703</c:v>
                </c:pt>
                <c:pt idx="47">
                  <c:v>7.9248258065180703</c:v>
                </c:pt>
                <c:pt idx="48">
                  <c:v>7.9248258065180703</c:v>
                </c:pt>
                <c:pt idx="49">
                  <c:v>7.9248258065180703</c:v>
                </c:pt>
                <c:pt idx="50">
                  <c:v>7.9248258065180703</c:v>
                </c:pt>
                <c:pt idx="51">
                  <c:v>7.9248258065180703</c:v>
                </c:pt>
                <c:pt idx="52">
                  <c:v>7.9248258065180703</c:v>
                </c:pt>
                <c:pt idx="53">
                  <c:v>7.9248258065180703</c:v>
                </c:pt>
                <c:pt idx="54">
                  <c:v>7.9248258065180703</c:v>
                </c:pt>
                <c:pt idx="55">
                  <c:v>7.9248258065180703</c:v>
                </c:pt>
                <c:pt idx="56">
                  <c:v>7.9248258065180703</c:v>
                </c:pt>
                <c:pt idx="57">
                  <c:v>7.9248258065180703</c:v>
                </c:pt>
                <c:pt idx="58">
                  <c:v>7.9248258065180703</c:v>
                </c:pt>
                <c:pt idx="59">
                  <c:v>7.9248258065180703</c:v>
                </c:pt>
                <c:pt idx="60">
                  <c:v>7.9248258065180703</c:v>
                </c:pt>
                <c:pt idx="61">
                  <c:v>7.9248258065180703</c:v>
                </c:pt>
                <c:pt idx="62">
                  <c:v>7.9248258065180703</c:v>
                </c:pt>
                <c:pt idx="63">
                  <c:v>7.9248258065180703</c:v>
                </c:pt>
                <c:pt idx="64">
                  <c:v>7.9248258065180703</c:v>
                </c:pt>
                <c:pt idx="65">
                  <c:v>7.9248258065180703</c:v>
                </c:pt>
                <c:pt idx="66">
                  <c:v>7.9248258065180703</c:v>
                </c:pt>
                <c:pt idx="67">
                  <c:v>7.9248258065180703</c:v>
                </c:pt>
                <c:pt idx="68">
                  <c:v>7.9248258065180703</c:v>
                </c:pt>
                <c:pt idx="69">
                  <c:v>7.9248258065180703</c:v>
                </c:pt>
                <c:pt idx="70">
                  <c:v>7.9248258065180703</c:v>
                </c:pt>
                <c:pt idx="71">
                  <c:v>7.9248258065180703</c:v>
                </c:pt>
                <c:pt idx="72">
                  <c:v>7.9248258065180703</c:v>
                </c:pt>
                <c:pt idx="73">
                  <c:v>7.9248258065180703</c:v>
                </c:pt>
                <c:pt idx="74">
                  <c:v>7.9248258065180703</c:v>
                </c:pt>
                <c:pt idx="75">
                  <c:v>7.9248258065180703</c:v>
                </c:pt>
                <c:pt idx="76">
                  <c:v>7.9248258065180703</c:v>
                </c:pt>
                <c:pt idx="77">
                  <c:v>7.9248258065180703</c:v>
                </c:pt>
                <c:pt idx="78">
                  <c:v>7.9248258065180703</c:v>
                </c:pt>
                <c:pt idx="79">
                  <c:v>7.9248258065180703</c:v>
                </c:pt>
                <c:pt idx="80">
                  <c:v>7.9248258065180703</c:v>
                </c:pt>
                <c:pt idx="81">
                  <c:v>7.9248258065180703</c:v>
                </c:pt>
                <c:pt idx="82">
                  <c:v>7.9248258065180703</c:v>
                </c:pt>
                <c:pt idx="83">
                  <c:v>7.9248258065180703</c:v>
                </c:pt>
                <c:pt idx="84">
                  <c:v>7.9248258065180703</c:v>
                </c:pt>
                <c:pt idx="85">
                  <c:v>7.9248258065180703</c:v>
                </c:pt>
                <c:pt idx="86">
                  <c:v>7.9248258065180703</c:v>
                </c:pt>
                <c:pt idx="87">
                  <c:v>7.9248258065180703</c:v>
                </c:pt>
                <c:pt idx="88">
                  <c:v>7.9248258065180703</c:v>
                </c:pt>
                <c:pt idx="89">
                  <c:v>7.9248258065180703</c:v>
                </c:pt>
                <c:pt idx="90">
                  <c:v>7.9248258065180703</c:v>
                </c:pt>
                <c:pt idx="91">
                  <c:v>7.9248258065180703</c:v>
                </c:pt>
                <c:pt idx="92">
                  <c:v>7.9248258065180703</c:v>
                </c:pt>
                <c:pt idx="93">
                  <c:v>7.9248258065180703</c:v>
                </c:pt>
                <c:pt idx="94">
                  <c:v>7.9248258065180703</c:v>
                </c:pt>
                <c:pt idx="95">
                  <c:v>7.9248258065180703</c:v>
                </c:pt>
                <c:pt idx="96">
                  <c:v>7.9248258065180703</c:v>
                </c:pt>
                <c:pt idx="97">
                  <c:v>7.9248258065180703</c:v>
                </c:pt>
                <c:pt idx="98">
                  <c:v>7.9248258065180703</c:v>
                </c:pt>
                <c:pt idx="99">
                  <c:v>7.9248258065180703</c:v>
                </c:pt>
                <c:pt idx="100">
                  <c:v>7.9248258065180703</c:v>
                </c:pt>
                <c:pt idx="101">
                  <c:v>7.9248258065180703</c:v>
                </c:pt>
                <c:pt idx="102">
                  <c:v>7.9248258065180703</c:v>
                </c:pt>
                <c:pt idx="103">
                  <c:v>7.9248258065180703</c:v>
                </c:pt>
                <c:pt idx="104">
                  <c:v>7.9248258065180703</c:v>
                </c:pt>
                <c:pt idx="105">
                  <c:v>7.9248258065180703</c:v>
                </c:pt>
                <c:pt idx="106">
                  <c:v>7.9248258065180703</c:v>
                </c:pt>
                <c:pt idx="107">
                  <c:v>7.9248258065180703</c:v>
                </c:pt>
                <c:pt idx="108">
                  <c:v>7.9248258065180703</c:v>
                </c:pt>
                <c:pt idx="109">
                  <c:v>7.9248258065180703</c:v>
                </c:pt>
                <c:pt idx="110">
                  <c:v>7.9248258065180703</c:v>
                </c:pt>
                <c:pt idx="111">
                  <c:v>7.9248258065180703</c:v>
                </c:pt>
                <c:pt idx="112">
                  <c:v>7.9248258065180703</c:v>
                </c:pt>
                <c:pt idx="113">
                  <c:v>7.9248258065180703</c:v>
                </c:pt>
                <c:pt idx="114">
                  <c:v>7.9248258065180703</c:v>
                </c:pt>
                <c:pt idx="115">
                  <c:v>7.9248258065180703</c:v>
                </c:pt>
                <c:pt idx="116">
                  <c:v>7.9248258065180703</c:v>
                </c:pt>
                <c:pt idx="117">
                  <c:v>7.9248258065180703</c:v>
                </c:pt>
                <c:pt idx="118">
                  <c:v>7.9248258065180703</c:v>
                </c:pt>
                <c:pt idx="119">
                  <c:v>7.9248258065180703</c:v>
                </c:pt>
                <c:pt idx="120">
                  <c:v>7.9248258065180703</c:v>
                </c:pt>
                <c:pt idx="121">
                  <c:v>7.9248258065180703</c:v>
                </c:pt>
                <c:pt idx="122">
                  <c:v>7.9248258065180703</c:v>
                </c:pt>
                <c:pt idx="123">
                  <c:v>7.9248258065180703</c:v>
                </c:pt>
                <c:pt idx="124">
                  <c:v>7.9248258065180703</c:v>
                </c:pt>
                <c:pt idx="125">
                  <c:v>7.9248258065180703</c:v>
                </c:pt>
                <c:pt idx="126">
                  <c:v>7.9248258065180703</c:v>
                </c:pt>
                <c:pt idx="127">
                  <c:v>7.9248258065180703</c:v>
                </c:pt>
                <c:pt idx="128">
                  <c:v>7.9248258065180703</c:v>
                </c:pt>
                <c:pt idx="129">
                  <c:v>7.9248258065180703</c:v>
                </c:pt>
                <c:pt idx="130">
                  <c:v>7.9248258065180703</c:v>
                </c:pt>
                <c:pt idx="131">
                  <c:v>7.9248258065180703</c:v>
                </c:pt>
                <c:pt idx="132">
                  <c:v>7.9248258065180703</c:v>
                </c:pt>
                <c:pt idx="133">
                  <c:v>7.9248258065180703</c:v>
                </c:pt>
                <c:pt idx="134">
                  <c:v>7.9248258065180703</c:v>
                </c:pt>
                <c:pt idx="135">
                  <c:v>7.9248258065180703</c:v>
                </c:pt>
                <c:pt idx="136">
                  <c:v>7.9248258065180703</c:v>
                </c:pt>
                <c:pt idx="137">
                  <c:v>7.9248258065180703</c:v>
                </c:pt>
                <c:pt idx="138">
                  <c:v>7.9248258065180703</c:v>
                </c:pt>
                <c:pt idx="139">
                  <c:v>7.9248258065180703</c:v>
                </c:pt>
                <c:pt idx="140">
                  <c:v>7.9248258065180703</c:v>
                </c:pt>
                <c:pt idx="141">
                  <c:v>7.9248258065180703</c:v>
                </c:pt>
                <c:pt idx="142">
                  <c:v>7.9248258065180703</c:v>
                </c:pt>
                <c:pt idx="143">
                  <c:v>7.9248258065180703</c:v>
                </c:pt>
                <c:pt idx="144">
                  <c:v>7.9248258065180703</c:v>
                </c:pt>
                <c:pt idx="145">
                  <c:v>7.9248258065180703</c:v>
                </c:pt>
                <c:pt idx="146">
                  <c:v>7.9248258065180703</c:v>
                </c:pt>
                <c:pt idx="147">
                  <c:v>7.9248258065180703</c:v>
                </c:pt>
                <c:pt idx="148">
                  <c:v>7.9248258065180703</c:v>
                </c:pt>
                <c:pt idx="149">
                  <c:v>7.9248258065180703</c:v>
                </c:pt>
                <c:pt idx="150">
                  <c:v>7.9248258065180703</c:v>
                </c:pt>
                <c:pt idx="151">
                  <c:v>7.9248258065180703</c:v>
                </c:pt>
                <c:pt idx="152">
                  <c:v>7.9248258065180703</c:v>
                </c:pt>
                <c:pt idx="153">
                  <c:v>7.9248258065180703</c:v>
                </c:pt>
                <c:pt idx="154">
                  <c:v>7.9248258065180703</c:v>
                </c:pt>
                <c:pt idx="155">
                  <c:v>7.9248258065180703</c:v>
                </c:pt>
                <c:pt idx="156">
                  <c:v>7.9248258065180703</c:v>
                </c:pt>
                <c:pt idx="157">
                  <c:v>7.9248258065180703</c:v>
                </c:pt>
                <c:pt idx="158">
                  <c:v>7.9248258065180703</c:v>
                </c:pt>
                <c:pt idx="159">
                  <c:v>7.9248258065180703</c:v>
                </c:pt>
                <c:pt idx="160">
                  <c:v>7.9248258065180703</c:v>
                </c:pt>
                <c:pt idx="161">
                  <c:v>7.9248258065180703</c:v>
                </c:pt>
                <c:pt idx="162">
                  <c:v>7.9248258065180703</c:v>
                </c:pt>
                <c:pt idx="163">
                  <c:v>7.9248258065180703</c:v>
                </c:pt>
                <c:pt idx="164">
                  <c:v>7.9248258065180703</c:v>
                </c:pt>
                <c:pt idx="165">
                  <c:v>7.9248258065180703</c:v>
                </c:pt>
                <c:pt idx="166">
                  <c:v>7.9248258065180703</c:v>
                </c:pt>
                <c:pt idx="167">
                  <c:v>7.9248258065180703</c:v>
                </c:pt>
                <c:pt idx="168">
                  <c:v>7.9248258065180703</c:v>
                </c:pt>
                <c:pt idx="169">
                  <c:v>7.9248258065180703</c:v>
                </c:pt>
                <c:pt idx="170">
                  <c:v>7.9248258065180703</c:v>
                </c:pt>
                <c:pt idx="171">
                  <c:v>7.9248258065180703</c:v>
                </c:pt>
                <c:pt idx="172">
                  <c:v>7.9248258065180703</c:v>
                </c:pt>
                <c:pt idx="173">
                  <c:v>7.9248258065180703</c:v>
                </c:pt>
                <c:pt idx="174">
                  <c:v>7.9248258065180703</c:v>
                </c:pt>
                <c:pt idx="175">
                  <c:v>7.9248258065180703</c:v>
                </c:pt>
                <c:pt idx="176">
                  <c:v>7.9248258065180703</c:v>
                </c:pt>
                <c:pt idx="177">
                  <c:v>7.9248258065180703</c:v>
                </c:pt>
                <c:pt idx="178">
                  <c:v>7.9248258065180703</c:v>
                </c:pt>
                <c:pt idx="179">
                  <c:v>7.9248258065180703</c:v>
                </c:pt>
                <c:pt idx="180">
                  <c:v>7.9248258065180703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87-4A58-B255-F878373A0457}"/>
            </c:ext>
          </c:extLst>
        </c:ser>
        <c:ser>
          <c:idx val="4"/>
          <c:order val="4"/>
          <c:tx>
            <c:strRef>
              <c:f>Statistik!$AD$8</c:f>
              <c:strCache>
                <c:ptCount val="1"/>
                <c:pt idx="0">
                  <c:v>Klass 4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Statistik!$AD$9:$AD$192</c:f>
              <c:numCache>
                <c:formatCode>General</c:formatCode>
                <c:ptCount val="184"/>
                <c:pt idx="0">
                  <c:v>2.95</c:v>
                </c:pt>
                <c:pt idx="1">
                  <c:v>2.95</c:v>
                </c:pt>
                <c:pt idx="2">
                  <c:v>2.95</c:v>
                </c:pt>
                <c:pt idx="3">
                  <c:v>2.95</c:v>
                </c:pt>
                <c:pt idx="4">
                  <c:v>2.95</c:v>
                </c:pt>
                <c:pt idx="5">
                  <c:v>2.95</c:v>
                </c:pt>
                <c:pt idx="6">
                  <c:v>2.95</c:v>
                </c:pt>
                <c:pt idx="7">
                  <c:v>2.95</c:v>
                </c:pt>
                <c:pt idx="8">
                  <c:v>2.95</c:v>
                </c:pt>
                <c:pt idx="9">
                  <c:v>2.95</c:v>
                </c:pt>
                <c:pt idx="10">
                  <c:v>2.95</c:v>
                </c:pt>
                <c:pt idx="11">
                  <c:v>2.95</c:v>
                </c:pt>
                <c:pt idx="12">
                  <c:v>2.95</c:v>
                </c:pt>
                <c:pt idx="13">
                  <c:v>2.95</c:v>
                </c:pt>
                <c:pt idx="14">
                  <c:v>2.95</c:v>
                </c:pt>
                <c:pt idx="15">
                  <c:v>2.95</c:v>
                </c:pt>
                <c:pt idx="16">
                  <c:v>2.95</c:v>
                </c:pt>
                <c:pt idx="17">
                  <c:v>2.95</c:v>
                </c:pt>
                <c:pt idx="18">
                  <c:v>2.95</c:v>
                </c:pt>
                <c:pt idx="19">
                  <c:v>2.95</c:v>
                </c:pt>
                <c:pt idx="20">
                  <c:v>2.95</c:v>
                </c:pt>
                <c:pt idx="21">
                  <c:v>2.95</c:v>
                </c:pt>
                <c:pt idx="22">
                  <c:v>2.95</c:v>
                </c:pt>
                <c:pt idx="23">
                  <c:v>2.95</c:v>
                </c:pt>
                <c:pt idx="24">
                  <c:v>2.95</c:v>
                </c:pt>
                <c:pt idx="25">
                  <c:v>2.95</c:v>
                </c:pt>
                <c:pt idx="26">
                  <c:v>2.95</c:v>
                </c:pt>
                <c:pt idx="27">
                  <c:v>2.95</c:v>
                </c:pt>
                <c:pt idx="28">
                  <c:v>2.95</c:v>
                </c:pt>
                <c:pt idx="29">
                  <c:v>2.95</c:v>
                </c:pt>
                <c:pt idx="30">
                  <c:v>2.95</c:v>
                </c:pt>
                <c:pt idx="31">
                  <c:v>2.95</c:v>
                </c:pt>
                <c:pt idx="32">
                  <c:v>2.95</c:v>
                </c:pt>
                <c:pt idx="33">
                  <c:v>2.95</c:v>
                </c:pt>
                <c:pt idx="34">
                  <c:v>2.95</c:v>
                </c:pt>
                <c:pt idx="35">
                  <c:v>2.95</c:v>
                </c:pt>
                <c:pt idx="36">
                  <c:v>2.95</c:v>
                </c:pt>
                <c:pt idx="37">
                  <c:v>2.95</c:v>
                </c:pt>
                <c:pt idx="38">
                  <c:v>2.95</c:v>
                </c:pt>
                <c:pt idx="39">
                  <c:v>2.95</c:v>
                </c:pt>
                <c:pt idx="40">
                  <c:v>2.95</c:v>
                </c:pt>
                <c:pt idx="41">
                  <c:v>2.95</c:v>
                </c:pt>
                <c:pt idx="42">
                  <c:v>2.95</c:v>
                </c:pt>
                <c:pt idx="43">
                  <c:v>2.95</c:v>
                </c:pt>
                <c:pt idx="44">
                  <c:v>2.95</c:v>
                </c:pt>
                <c:pt idx="45">
                  <c:v>2.95</c:v>
                </c:pt>
                <c:pt idx="46">
                  <c:v>2.95</c:v>
                </c:pt>
                <c:pt idx="47">
                  <c:v>2.95</c:v>
                </c:pt>
                <c:pt idx="48">
                  <c:v>2.95</c:v>
                </c:pt>
                <c:pt idx="49">
                  <c:v>2.95</c:v>
                </c:pt>
                <c:pt idx="50">
                  <c:v>2.95</c:v>
                </c:pt>
                <c:pt idx="51">
                  <c:v>2.95</c:v>
                </c:pt>
                <c:pt idx="52">
                  <c:v>2.95</c:v>
                </c:pt>
                <c:pt idx="53">
                  <c:v>2.95</c:v>
                </c:pt>
                <c:pt idx="54">
                  <c:v>2.95</c:v>
                </c:pt>
                <c:pt idx="55">
                  <c:v>2.95</c:v>
                </c:pt>
                <c:pt idx="56">
                  <c:v>2.95</c:v>
                </c:pt>
                <c:pt idx="57">
                  <c:v>2.95</c:v>
                </c:pt>
                <c:pt idx="58">
                  <c:v>2.95</c:v>
                </c:pt>
                <c:pt idx="59">
                  <c:v>2.95</c:v>
                </c:pt>
                <c:pt idx="60">
                  <c:v>2.95</c:v>
                </c:pt>
                <c:pt idx="61">
                  <c:v>2.95</c:v>
                </c:pt>
                <c:pt idx="62">
                  <c:v>2.95</c:v>
                </c:pt>
                <c:pt idx="63">
                  <c:v>2.95</c:v>
                </c:pt>
                <c:pt idx="64">
                  <c:v>2.95</c:v>
                </c:pt>
                <c:pt idx="65">
                  <c:v>2.95</c:v>
                </c:pt>
                <c:pt idx="66">
                  <c:v>2.95</c:v>
                </c:pt>
                <c:pt idx="67">
                  <c:v>2.95</c:v>
                </c:pt>
                <c:pt idx="68">
                  <c:v>2.95</c:v>
                </c:pt>
                <c:pt idx="69">
                  <c:v>2.95</c:v>
                </c:pt>
                <c:pt idx="70">
                  <c:v>2.95</c:v>
                </c:pt>
                <c:pt idx="71">
                  <c:v>2.95</c:v>
                </c:pt>
                <c:pt idx="72">
                  <c:v>2.95</c:v>
                </c:pt>
                <c:pt idx="73">
                  <c:v>2.95</c:v>
                </c:pt>
                <c:pt idx="74">
                  <c:v>2.95</c:v>
                </c:pt>
                <c:pt idx="75">
                  <c:v>2.95</c:v>
                </c:pt>
                <c:pt idx="76">
                  <c:v>2.95</c:v>
                </c:pt>
                <c:pt idx="77">
                  <c:v>2.95</c:v>
                </c:pt>
                <c:pt idx="78">
                  <c:v>2.95</c:v>
                </c:pt>
                <c:pt idx="79">
                  <c:v>2.95</c:v>
                </c:pt>
                <c:pt idx="80">
                  <c:v>2.95</c:v>
                </c:pt>
                <c:pt idx="81">
                  <c:v>2.95</c:v>
                </c:pt>
                <c:pt idx="82">
                  <c:v>2.95</c:v>
                </c:pt>
                <c:pt idx="83">
                  <c:v>2.95</c:v>
                </c:pt>
                <c:pt idx="84">
                  <c:v>2.95</c:v>
                </c:pt>
                <c:pt idx="85">
                  <c:v>2.95</c:v>
                </c:pt>
                <c:pt idx="86">
                  <c:v>2.95</c:v>
                </c:pt>
                <c:pt idx="87">
                  <c:v>2.95</c:v>
                </c:pt>
                <c:pt idx="88">
                  <c:v>2.95</c:v>
                </c:pt>
                <c:pt idx="89">
                  <c:v>2.95</c:v>
                </c:pt>
                <c:pt idx="90">
                  <c:v>2.95</c:v>
                </c:pt>
                <c:pt idx="91">
                  <c:v>2.95</c:v>
                </c:pt>
                <c:pt idx="92">
                  <c:v>2.95</c:v>
                </c:pt>
                <c:pt idx="93">
                  <c:v>2.95</c:v>
                </c:pt>
                <c:pt idx="94">
                  <c:v>2.95</c:v>
                </c:pt>
                <c:pt idx="95">
                  <c:v>2.95</c:v>
                </c:pt>
                <c:pt idx="96">
                  <c:v>2.95</c:v>
                </c:pt>
                <c:pt idx="97">
                  <c:v>2.95</c:v>
                </c:pt>
                <c:pt idx="98">
                  <c:v>2.95</c:v>
                </c:pt>
                <c:pt idx="99">
                  <c:v>2.95</c:v>
                </c:pt>
                <c:pt idx="100">
                  <c:v>2.95</c:v>
                </c:pt>
                <c:pt idx="101">
                  <c:v>2.95</c:v>
                </c:pt>
                <c:pt idx="102">
                  <c:v>2.95</c:v>
                </c:pt>
                <c:pt idx="103">
                  <c:v>2.95</c:v>
                </c:pt>
                <c:pt idx="104">
                  <c:v>2.95</c:v>
                </c:pt>
                <c:pt idx="105">
                  <c:v>2.95</c:v>
                </c:pt>
                <c:pt idx="106">
                  <c:v>2.95</c:v>
                </c:pt>
                <c:pt idx="107">
                  <c:v>2.95</c:v>
                </c:pt>
                <c:pt idx="108">
                  <c:v>2.95</c:v>
                </c:pt>
                <c:pt idx="109">
                  <c:v>2.95</c:v>
                </c:pt>
                <c:pt idx="110">
                  <c:v>2.95</c:v>
                </c:pt>
                <c:pt idx="111">
                  <c:v>2.95</c:v>
                </c:pt>
                <c:pt idx="112">
                  <c:v>2.95</c:v>
                </c:pt>
                <c:pt idx="113">
                  <c:v>2.95</c:v>
                </c:pt>
                <c:pt idx="114">
                  <c:v>2.95</c:v>
                </c:pt>
                <c:pt idx="115">
                  <c:v>2.95</c:v>
                </c:pt>
                <c:pt idx="116">
                  <c:v>2.95</c:v>
                </c:pt>
                <c:pt idx="117">
                  <c:v>2.95</c:v>
                </c:pt>
                <c:pt idx="118">
                  <c:v>2.95</c:v>
                </c:pt>
                <c:pt idx="119">
                  <c:v>2.95</c:v>
                </c:pt>
                <c:pt idx="120">
                  <c:v>2.95</c:v>
                </c:pt>
                <c:pt idx="121">
                  <c:v>2.95</c:v>
                </c:pt>
                <c:pt idx="122">
                  <c:v>2.95</c:v>
                </c:pt>
                <c:pt idx="123">
                  <c:v>2.95</c:v>
                </c:pt>
                <c:pt idx="124">
                  <c:v>2.95</c:v>
                </c:pt>
                <c:pt idx="125">
                  <c:v>2.95</c:v>
                </c:pt>
                <c:pt idx="126">
                  <c:v>2.95</c:v>
                </c:pt>
                <c:pt idx="127">
                  <c:v>2.95</c:v>
                </c:pt>
                <c:pt idx="128">
                  <c:v>2.95</c:v>
                </c:pt>
                <c:pt idx="129">
                  <c:v>2.95</c:v>
                </c:pt>
                <c:pt idx="130">
                  <c:v>2.95</c:v>
                </c:pt>
                <c:pt idx="131">
                  <c:v>2.95</c:v>
                </c:pt>
                <c:pt idx="132">
                  <c:v>2.95</c:v>
                </c:pt>
                <c:pt idx="133">
                  <c:v>2.95</c:v>
                </c:pt>
                <c:pt idx="134">
                  <c:v>2.95</c:v>
                </c:pt>
                <c:pt idx="135">
                  <c:v>2.95</c:v>
                </c:pt>
                <c:pt idx="136">
                  <c:v>2.95</c:v>
                </c:pt>
                <c:pt idx="137">
                  <c:v>2.95</c:v>
                </c:pt>
                <c:pt idx="138">
                  <c:v>2.95</c:v>
                </c:pt>
                <c:pt idx="139">
                  <c:v>2.95</c:v>
                </c:pt>
                <c:pt idx="140">
                  <c:v>2.95</c:v>
                </c:pt>
                <c:pt idx="141">
                  <c:v>2.95</c:v>
                </c:pt>
                <c:pt idx="142">
                  <c:v>2.95</c:v>
                </c:pt>
                <c:pt idx="143">
                  <c:v>2.95</c:v>
                </c:pt>
                <c:pt idx="144">
                  <c:v>2.95</c:v>
                </c:pt>
                <c:pt idx="145">
                  <c:v>2.95</c:v>
                </c:pt>
                <c:pt idx="146">
                  <c:v>2.95</c:v>
                </c:pt>
                <c:pt idx="147">
                  <c:v>2.95</c:v>
                </c:pt>
                <c:pt idx="148">
                  <c:v>2.95</c:v>
                </c:pt>
                <c:pt idx="149">
                  <c:v>2.95</c:v>
                </c:pt>
                <c:pt idx="150">
                  <c:v>2.95</c:v>
                </c:pt>
                <c:pt idx="151">
                  <c:v>2.95</c:v>
                </c:pt>
                <c:pt idx="152">
                  <c:v>2.95</c:v>
                </c:pt>
                <c:pt idx="153">
                  <c:v>2.95</c:v>
                </c:pt>
                <c:pt idx="154">
                  <c:v>2.95</c:v>
                </c:pt>
                <c:pt idx="155">
                  <c:v>2.95</c:v>
                </c:pt>
                <c:pt idx="156">
                  <c:v>2.95</c:v>
                </c:pt>
                <c:pt idx="157">
                  <c:v>2.95</c:v>
                </c:pt>
                <c:pt idx="158">
                  <c:v>2.95</c:v>
                </c:pt>
                <c:pt idx="159">
                  <c:v>2.95</c:v>
                </c:pt>
                <c:pt idx="160">
                  <c:v>2.95</c:v>
                </c:pt>
                <c:pt idx="161">
                  <c:v>2.95</c:v>
                </c:pt>
                <c:pt idx="162">
                  <c:v>2.95</c:v>
                </c:pt>
                <c:pt idx="163">
                  <c:v>2.95</c:v>
                </c:pt>
                <c:pt idx="164">
                  <c:v>2.95</c:v>
                </c:pt>
                <c:pt idx="165">
                  <c:v>2.95</c:v>
                </c:pt>
                <c:pt idx="166">
                  <c:v>2.95</c:v>
                </c:pt>
                <c:pt idx="167">
                  <c:v>2.95</c:v>
                </c:pt>
                <c:pt idx="168">
                  <c:v>2.95</c:v>
                </c:pt>
                <c:pt idx="169">
                  <c:v>2.95</c:v>
                </c:pt>
                <c:pt idx="170">
                  <c:v>2.95</c:v>
                </c:pt>
                <c:pt idx="171">
                  <c:v>2.95</c:v>
                </c:pt>
                <c:pt idx="172">
                  <c:v>2.95</c:v>
                </c:pt>
                <c:pt idx="173">
                  <c:v>2.95</c:v>
                </c:pt>
                <c:pt idx="174">
                  <c:v>2.95</c:v>
                </c:pt>
                <c:pt idx="175">
                  <c:v>2.95</c:v>
                </c:pt>
                <c:pt idx="176">
                  <c:v>2.95</c:v>
                </c:pt>
                <c:pt idx="177">
                  <c:v>2.95</c:v>
                </c:pt>
                <c:pt idx="178">
                  <c:v>2.95</c:v>
                </c:pt>
                <c:pt idx="179">
                  <c:v>2.95</c:v>
                </c:pt>
                <c:pt idx="180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87-4A58-B255-F878373A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276032"/>
        <c:axId val="243290112"/>
      </c:lineChart>
      <c:dateAx>
        <c:axId val="2432760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sv-SE"/>
          </a:p>
        </c:txPr>
        <c:crossAx val="243290112"/>
        <c:crosses val="autoZero"/>
        <c:auto val="0"/>
        <c:lblOffset val="100"/>
        <c:baseTimeUnit val="months"/>
        <c:majorUnit val="1"/>
        <c:majorTimeUnit val="years"/>
        <c:minorUnit val="1"/>
      </c:dateAx>
      <c:valAx>
        <c:axId val="243290112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3276032"/>
        <c:crosses val="autoZero"/>
        <c:crossBetween val="between"/>
        <c:majorUnit val="5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3930227070240071"/>
          <c:y val="3.2407407407407406E-2"/>
          <c:w val="0.15335827975631486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syrehalt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Diagram!$AR$9:$AR$20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Diagram!$AS$9:$AS$20</c:f>
              <c:numCache>
                <c:formatCode>General</c:formatCode>
                <c:ptCount val="12"/>
                <c:pt idx="0">
                  <c:v>13.79</c:v>
                </c:pt>
                <c:pt idx="1">
                  <c:v>14.72</c:v>
                </c:pt>
                <c:pt idx="2">
                  <c:v>13.33</c:v>
                </c:pt>
                <c:pt idx="3">
                  <c:v>9.98</c:v>
                </c:pt>
                <c:pt idx="4">
                  <c:v>9.42</c:v>
                </c:pt>
                <c:pt idx="5">
                  <c:v>8.3800000000000008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0-4AF4-8BD1-900E1957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07264"/>
        <c:axId val="243309184"/>
      </c:lineChart>
      <c:dateAx>
        <c:axId val="243307264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3309184"/>
        <c:crosses val="autoZero"/>
        <c:auto val="1"/>
        <c:lblOffset val="100"/>
        <c:baseTimeUnit val="days"/>
        <c:majorUnit val="1"/>
      </c:dateAx>
      <c:valAx>
        <c:axId val="243309184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330726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Tot-N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Diagram!$AR$27:$AR$38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Diagram!$AS$27:$AS$38</c:f>
              <c:numCache>
                <c:formatCode>General</c:formatCode>
                <c:ptCount val="12"/>
                <c:pt idx="0">
                  <c:v>4500</c:v>
                </c:pt>
                <c:pt idx="1">
                  <c:v>4100</c:v>
                </c:pt>
                <c:pt idx="2">
                  <c:v>3100</c:v>
                </c:pt>
                <c:pt idx="3">
                  <c:v>2500</c:v>
                </c:pt>
                <c:pt idx="4">
                  <c:v>1800</c:v>
                </c:pt>
                <c:pt idx="5">
                  <c:v>1900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0-4F89-8408-C6685197E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16992"/>
        <c:axId val="243990912"/>
      </c:lineChart>
      <c:dateAx>
        <c:axId val="243316992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3990912"/>
        <c:crosses val="autoZero"/>
        <c:auto val="1"/>
        <c:lblOffset val="100"/>
        <c:baseTimeUnit val="days"/>
        <c:majorUnit val="1"/>
      </c:dateAx>
      <c:valAx>
        <c:axId val="243990912"/>
        <c:scaling>
          <c:orientation val="minMax"/>
          <c:max val="140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3316992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Tot-P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Diagram!$AR$45:$AR$56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Diagram!$AS$45:$AS$56</c:f>
              <c:numCache>
                <c:formatCode>General</c:formatCode>
                <c:ptCount val="12"/>
                <c:pt idx="0">
                  <c:v>42</c:v>
                </c:pt>
                <c:pt idx="1">
                  <c:v>37</c:v>
                </c:pt>
                <c:pt idx="2">
                  <c:v>6.1</c:v>
                </c:pt>
                <c:pt idx="3">
                  <c:v>14</c:v>
                </c:pt>
                <c:pt idx="4">
                  <c:v>20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F-487B-ACE7-3E20C197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23296"/>
        <c:axId val="244025216"/>
      </c:lineChart>
      <c:dateAx>
        <c:axId val="24402329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025216"/>
        <c:crosses val="autoZero"/>
        <c:auto val="1"/>
        <c:lblOffset val="100"/>
        <c:baseTimeUnit val="days"/>
        <c:majorUnit val="1"/>
      </c:dateAx>
      <c:valAx>
        <c:axId val="244025216"/>
        <c:scaling>
          <c:orientation val="minMax"/>
          <c:max val="2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023296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6134627873067"/>
          <c:y val="0.21388086905803441"/>
          <c:w val="0.7480984516088317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Syreprofiler!$M$8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Syreprofiler!$M$10:$M$26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Syreprofiler!$L$10:$L$26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E7-4614-8038-A4FB2681F52D}"/>
            </c:ext>
          </c:extLst>
        </c:ser>
        <c:ser>
          <c:idx val="1"/>
          <c:order val="1"/>
          <c:tx>
            <c:strRef>
              <c:f>Syreprofiler!$N$8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Syreprofiler!$N$10:$N$26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Syreprofiler!$L$10:$L$26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E7-4614-8038-A4FB2681F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pH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971685357512131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Statistik!$G$8</c:f>
              <c:strCache>
                <c:ptCount val="1"/>
                <c:pt idx="0">
                  <c:v>  pH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Statistik!$G$9:$G$192</c:f>
              <c:numCache>
                <c:formatCode>0.0</c:formatCode>
                <c:ptCount val="184"/>
                <c:pt idx="1">
                  <c:v>7.92</c:v>
                </c:pt>
                <c:pt idx="2">
                  <c:v>7.84</c:v>
                </c:pt>
                <c:pt idx="3">
                  <c:v>7.95</c:v>
                </c:pt>
                <c:pt idx="4">
                  <c:v>8.09</c:v>
                </c:pt>
                <c:pt idx="5">
                  <c:v>7.97</c:v>
                </c:pt>
                <c:pt idx="6">
                  <c:v>7.82</c:v>
                </c:pt>
                <c:pt idx="7">
                  <c:v>7.65</c:v>
                </c:pt>
                <c:pt idx="8">
                  <c:v>7.9</c:v>
                </c:pt>
                <c:pt idx="9">
                  <c:v>7.9</c:v>
                </c:pt>
                <c:pt idx="10">
                  <c:v>7.99</c:v>
                </c:pt>
                <c:pt idx="11">
                  <c:v>7.9</c:v>
                </c:pt>
                <c:pt idx="12">
                  <c:v>7.92</c:v>
                </c:pt>
                <c:pt idx="13">
                  <c:v>7.87</c:v>
                </c:pt>
                <c:pt idx="14">
                  <c:v>7.95</c:v>
                </c:pt>
                <c:pt idx="15">
                  <c:v>7.95</c:v>
                </c:pt>
                <c:pt idx="16">
                  <c:v>8.02</c:v>
                </c:pt>
                <c:pt idx="17">
                  <c:v>8</c:v>
                </c:pt>
                <c:pt idx="18">
                  <c:v>7.97</c:v>
                </c:pt>
                <c:pt idx="19">
                  <c:v>7.77</c:v>
                </c:pt>
                <c:pt idx="20">
                  <c:v>7.92</c:v>
                </c:pt>
                <c:pt idx="21">
                  <c:v>8.02</c:v>
                </c:pt>
                <c:pt idx="22">
                  <c:v>7.89</c:v>
                </c:pt>
                <c:pt idx="23">
                  <c:v>7.96</c:v>
                </c:pt>
                <c:pt idx="24">
                  <c:v>7.86</c:v>
                </c:pt>
                <c:pt idx="25">
                  <c:v>8</c:v>
                </c:pt>
                <c:pt idx="26">
                  <c:v>8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7.9</c:v>
                </c:pt>
                <c:pt idx="31">
                  <c:v>7.9</c:v>
                </c:pt>
                <c:pt idx="32">
                  <c:v>8</c:v>
                </c:pt>
                <c:pt idx="33">
                  <c:v>8</c:v>
                </c:pt>
                <c:pt idx="34">
                  <c:v>8.1</c:v>
                </c:pt>
                <c:pt idx="35">
                  <c:v>8</c:v>
                </c:pt>
                <c:pt idx="36">
                  <c:v>8</c:v>
                </c:pt>
                <c:pt idx="37">
                  <c:v>8.1</c:v>
                </c:pt>
                <c:pt idx="38">
                  <c:v>8</c:v>
                </c:pt>
                <c:pt idx="39">
                  <c:v>8.1</c:v>
                </c:pt>
                <c:pt idx="40">
                  <c:v>8.1</c:v>
                </c:pt>
                <c:pt idx="41">
                  <c:v>8.1</c:v>
                </c:pt>
                <c:pt idx="42">
                  <c:v>7.9</c:v>
                </c:pt>
                <c:pt idx="43">
                  <c:v>7.9</c:v>
                </c:pt>
                <c:pt idx="44">
                  <c:v>7.9</c:v>
                </c:pt>
                <c:pt idx="45">
                  <c:v>7.8</c:v>
                </c:pt>
                <c:pt idx="46">
                  <c:v>7.9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7.9</c:v>
                </c:pt>
                <c:pt idx="51">
                  <c:v>8.1</c:v>
                </c:pt>
                <c:pt idx="52">
                  <c:v>8.1</c:v>
                </c:pt>
                <c:pt idx="53">
                  <c:v>8.1</c:v>
                </c:pt>
                <c:pt idx="54">
                  <c:v>8</c:v>
                </c:pt>
                <c:pt idx="56">
                  <c:v>7.8</c:v>
                </c:pt>
                <c:pt idx="57">
                  <c:v>7.9</c:v>
                </c:pt>
                <c:pt idx="58">
                  <c:v>7.9</c:v>
                </c:pt>
                <c:pt idx="59">
                  <c:v>8.1</c:v>
                </c:pt>
                <c:pt idx="60">
                  <c:v>8.1</c:v>
                </c:pt>
                <c:pt idx="61">
                  <c:v>8</c:v>
                </c:pt>
                <c:pt idx="62">
                  <c:v>8.1</c:v>
                </c:pt>
                <c:pt idx="63">
                  <c:v>8.1999999999999993</c:v>
                </c:pt>
                <c:pt idx="64">
                  <c:v>8.1999999999999993</c:v>
                </c:pt>
                <c:pt idx="65">
                  <c:v>8.1</c:v>
                </c:pt>
                <c:pt idx="66">
                  <c:v>7.9</c:v>
                </c:pt>
                <c:pt idx="67">
                  <c:v>7.9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8.1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8.1999999999999993</c:v>
                </c:pt>
                <c:pt idx="76">
                  <c:v>8.1</c:v>
                </c:pt>
                <c:pt idx="77">
                  <c:v>8.1</c:v>
                </c:pt>
                <c:pt idx="78">
                  <c:v>8</c:v>
                </c:pt>
                <c:pt idx="79">
                  <c:v>7.8</c:v>
                </c:pt>
                <c:pt idx="80">
                  <c:v>8</c:v>
                </c:pt>
                <c:pt idx="81">
                  <c:v>7.9</c:v>
                </c:pt>
                <c:pt idx="82">
                  <c:v>8</c:v>
                </c:pt>
                <c:pt idx="83">
                  <c:v>7.9</c:v>
                </c:pt>
                <c:pt idx="84">
                  <c:v>8.1</c:v>
                </c:pt>
                <c:pt idx="85">
                  <c:v>8</c:v>
                </c:pt>
                <c:pt idx="86">
                  <c:v>8.1</c:v>
                </c:pt>
                <c:pt idx="87">
                  <c:v>8.1999999999999993</c:v>
                </c:pt>
                <c:pt idx="88">
                  <c:v>8.1</c:v>
                </c:pt>
                <c:pt idx="89">
                  <c:v>8.1</c:v>
                </c:pt>
                <c:pt idx="90">
                  <c:v>7.9</c:v>
                </c:pt>
                <c:pt idx="91">
                  <c:v>8</c:v>
                </c:pt>
                <c:pt idx="92">
                  <c:v>7.9</c:v>
                </c:pt>
                <c:pt idx="93">
                  <c:v>7.9</c:v>
                </c:pt>
                <c:pt idx="94">
                  <c:v>8</c:v>
                </c:pt>
                <c:pt idx="95">
                  <c:v>8.1</c:v>
                </c:pt>
                <c:pt idx="96">
                  <c:v>8</c:v>
                </c:pt>
                <c:pt idx="97">
                  <c:v>7.91</c:v>
                </c:pt>
                <c:pt idx="98">
                  <c:v>7.81</c:v>
                </c:pt>
                <c:pt idx="99">
                  <c:v>7.79</c:v>
                </c:pt>
                <c:pt idx="100">
                  <c:v>8.25</c:v>
                </c:pt>
                <c:pt idx="101">
                  <c:v>7.96</c:v>
                </c:pt>
                <c:pt idx="102">
                  <c:v>7.7</c:v>
                </c:pt>
                <c:pt idx="103">
                  <c:v>7.48</c:v>
                </c:pt>
                <c:pt idx="104">
                  <c:v>7.43</c:v>
                </c:pt>
                <c:pt idx="105">
                  <c:v>7.65</c:v>
                </c:pt>
                <c:pt idx="106">
                  <c:v>7.55</c:v>
                </c:pt>
                <c:pt idx="107">
                  <c:v>7.59</c:v>
                </c:pt>
                <c:pt idx="108">
                  <c:v>7.57</c:v>
                </c:pt>
                <c:pt idx="109">
                  <c:v>7.79</c:v>
                </c:pt>
                <c:pt idx="110">
                  <c:v>8.08</c:v>
                </c:pt>
                <c:pt idx="111">
                  <c:v>8.1300000000000008</c:v>
                </c:pt>
                <c:pt idx="112">
                  <c:v>8.11</c:v>
                </c:pt>
                <c:pt idx="113">
                  <c:v>7.98</c:v>
                </c:pt>
                <c:pt idx="114">
                  <c:v>7.68</c:v>
                </c:pt>
                <c:pt idx="115">
                  <c:v>7.7</c:v>
                </c:pt>
                <c:pt idx="116">
                  <c:v>7.71</c:v>
                </c:pt>
                <c:pt idx="117">
                  <c:v>7.84</c:v>
                </c:pt>
                <c:pt idx="118">
                  <c:v>7.84</c:v>
                </c:pt>
                <c:pt idx="119">
                  <c:v>7.92</c:v>
                </c:pt>
                <c:pt idx="120">
                  <c:v>7.88</c:v>
                </c:pt>
                <c:pt idx="121">
                  <c:v>7.93</c:v>
                </c:pt>
                <c:pt idx="122">
                  <c:v>7.85</c:v>
                </c:pt>
                <c:pt idx="123">
                  <c:v>7.96</c:v>
                </c:pt>
                <c:pt idx="124">
                  <c:v>8.0299999999999994</c:v>
                </c:pt>
                <c:pt idx="125">
                  <c:v>8.08</c:v>
                </c:pt>
                <c:pt idx="126">
                  <c:v>7.84</c:v>
                </c:pt>
                <c:pt idx="127">
                  <c:v>7.83</c:v>
                </c:pt>
                <c:pt idx="128">
                  <c:v>7.53</c:v>
                </c:pt>
                <c:pt idx="129">
                  <c:v>7.8</c:v>
                </c:pt>
                <c:pt idx="130">
                  <c:v>7.65</c:v>
                </c:pt>
                <c:pt idx="131">
                  <c:v>7.92</c:v>
                </c:pt>
                <c:pt idx="132">
                  <c:v>8</c:v>
                </c:pt>
                <c:pt idx="133">
                  <c:v>8</c:v>
                </c:pt>
                <c:pt idx="134">
                  <c:v>7.9</c:v>
                </c:pt>
                <c:pt idx="135">
                  <c:v>8.1</c:v>
                </c:pt>
                <c:pt idx="136">
                  <c:v>8.1999999999999993</c:v>
                </c:pt>
                <c:pt idx="137">
                  <c:v>7.9</c:v>
                </c:pt>
                <c:pt idx="138">
                  <c:v>7.9</c:v>
                </c:pt>
                <c:pt idx="139">
                  <c:v>7.8</c:v>
                </c:pt>
                <c:pt idx="140">
                  <c:v>7.8</c:v>
                </c:pt>
                <c:pt idx="141">
                  <c:v>7.8</c:v>
                </c:pt>
                <c:pt idx="142">
                  <c:v>7.8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8.1</c:v>
                </c:pt>
                <c:pt idx="147">
                  <c:v>8</c:v>
                </c:pt>
                <c:pt idx="148">
                  <c:v>8.1999999999999993</c:v>
                </c:pt>
                <c:pt idx="149">
                  <c:v>7.9</c:v>
                </c:pt>
                <c:pt idx="150">
                  <c:v>7.9</c:v>
                </c:pt>
                <c:pt idx="151">
                  <c:v>7.8</c:v>
                </c:pt>
                <c:pt idx="152">
                  <c:v>7.7</c:v>
                </c:pt>
                <c:pt idx="153">
                  <c:v>7.9</c:v>
                </c:pt>
                <c:pt idx="154">
                  <c:v>7.8</c:v>
                </c:pt>
                <c:pt idx="155">
                  <c:v>7.9</c:v>
                </c:pt>
                <c:pt idx="156">
                  <c:v>7.8</c:v>
                </c:pt>
                <c:pt idx="157">
                  <c:v>7.9</c:v>
                </c:pt>
                <c:pt idx="158">
                  <c:v>8</c:v>
                </c:pt>
                <c:pt idx="159">
                  <c:v>8.1</c:v>
                </c:pt>
                <c:pt idx="160">
                  <c:v>8.1</c:v>
                </c:pt>
                <c:pt idx="161">
                  <c:v>8</c:v>
                </c:pt>
                <c:pt idx="162">
                  <c:v>7.8</c:v>
                </c:pt>
                <c:pt idx="163">
                  <c:v>7.8</c:v>
                </c:pt>
                <c:pt idx="164">
                  <c:v>7.8</c:v>
                </c:pt>
                <c:pt idx="165">
                  <c:v>7.8</c:v>
                </c:pt>
                <c:pt idx="166">
                  <c:v>7.8</c:v>
                </c:pt>
                <c:pt idx="167">
                  <c:v>7.9</c:v>
                </c:pt>
                <c:pt idx="168">
                  <c:v>8</c:v>
                </c:pt>
                <c:pt idx="169">
                  <c:v>7.9</c:v>
                </c:pt>
                <c:pt idx="170">
                  <c:v>7.8</c:v>
                </c:pt>
                <c:pt idx="171">
                  <c:v>8</c:v>
                </c:pt>
                <c:pt idx="172">
                  <c:v>8.1</c:v>
                </c:pt>
                <c:pt idx="173">
                  <c:v>8</c:v>
                </c:pt>
                <c:pt idx="174">
                  <c:v>8</c:v>
                </c:pt>
                <c:pt idx="175">
                  <c:v>7.9</c:v>
                </c:pt>
                <c:pt idx="176">
                  <c:v>7.8</c:v>
                </c:pt>
                <c:pt idx="177">
                  <c:v>7.8</c:v>
                </c:pt>
                <c:pt idx="178">
                  <c:v>7.7</c:v>
                </c:pt>
                <c:pt idx="179">
                  <c:v>7.9</c:v>
                </c:pt>
                <c:pt idx="18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E-46B5-B9CE-0303CF788FE9}"/>
            </c:ext>
          </c:extLst>
        </c:ser>
        <c:ser>
          <c:idx val="1"/>
          <c:order val="1"/>
          <c:tx>
            <c:strRef>
              <c:f>Statistik!$AE$8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Statistik!$AE$9:$AE$192</c:f>
              <c:numCache>
                <c:formatCode>0.0</c:formatCode>
                <c:ptCount val="184"/>
                <c:pt idx="0">
                  <c:v>7.9374301675977676</c:v>
                </c:pt>
                <c:pt idx="1">
                  <c:v>7.9374301675977676</c:v>
                </c:pt>
                <c:pt idx="2">
                  <c:v>7.9374301675977676</c:v>
                </c:pt>
                <c:pt idx="3">
                  <c:v>7.9374301675977676</c:v>
                </c:pt>
                <c:pt idx="4">
                  <c:v>7.9374301675977676</c:v>
                </c:pt>
                <c:pt idx="5">
                  <c:v>7.9374301675977676</c:v>
                </c:pt>
                <c:pt idx="6">
                  <c:v>7.9374301675977676</c:v>
                </c:pt>
                <c:pt idx="7">
                  <c:v>7.9374301675977676</c:v>
                </c:pt>
                <c:pt idx="8">
                  <c:v>7.9374301675977676</c:v>
                </c:pt>
                <c:pt idx="9">
                  <c:v>7.9374301675977676</c:v>
                </c:pt>
                <c:pt idx="10">
                  <c:v>7.9374301675977676</c:v>
                </c:pt>
                <c:pt idx="11">
                  <c:v>7.9374301675977676</c:v>
                </c:pt>
                <c:pt idx="12">
                  <c:v>7.9374301675977676</c:v>
                </c:pt>
                <c:pt idx="13">
                  <c:v>7.9374301675977676</c:v>
                </c:pt>
                <c:pt idx="14">
                  <c:v>7.9374301675977676</c:v>
                </c:pt>
                <c:pt idx="15">
                  <c:v>7.9374301675977676</c:v>
                </c:pt>
                <c:pt idx="16">
                  <c:v>7.9374301675977676</c:v>
                </c:pt>
                <c:pt idx="17">
                  <c:v>7.9374301675977676</c:v>
                </c:pt>
                <c:pt idx="18">
                  <c:v>7.9374301675977676</c:v>
                </c:pt>
                <c:pt idx="19">
                  <c:v>7.9374301675977676</c:v>
                </c:pt>
                <c:pt idx="20">
                  <c:v>7.9374301675977676</c:v>
                </c:pt>
                <c:pt idx="21">
                  <c:v>7.9374301675977676</c:v>
                </c:pt>
                <c:pt idx="22">
                  <c:v>7.9374301675977676</c:v>
                </c:pt>
                <c:pt idx="23">
                  <c:v>7.9374301675977676</c:v>
                </c:pt>
                <c:pt idx="24">
                  <c:v>7.9374301675977676</c:v>
                </c:pt>
                <c:pt idx="25">
                  <c:v>7.9374301675977676</c:v>
                </c:pt>
                <c:pt idx="26">
                  <c:v>7.9374301675977676</c:v>
                </c:pt>
                <c:pt idx="27">
                  <c:v>7.9374301675977676</c:v>
                </c:pt>
                <c:pt idx="28">
                  <c:v>7.9374301675977676</c:v>
                </c:pt>
                <c:pt idx="29">
                  <c:v>7.9374301675977676</c:v>
                </c:pt>
                <c:pt idx="30">
                  <c:v>7.9374301675977676</c:v>
                </c:pt>
                <c:pt idx="31">
                  <c:v>7.9374301675977676</c:v>
                </c:pt>
                <c:pt idx="32">
                  <c:v>7.9374301675977676</c:v>
                </c:pt>
                <c:pt idx="33">
                  <c:v>7.9374301675977676</c:v>
                </c:pt>
                <c:pt idx="34">
                  <c:v>7.9374301675977676</c:v>
                </c:pt>
                <c:pt idx="35">
                  <c:v>7.9374301675977676</c:v>
                </c:pt>
                <c:pt idx="36">
                  <c:v>7.9374301675977676</c:v>
                </c:pt>
                <c:pt idx="37">
                  <c:v>7.9374301675977676</c:v>
                </c:pt>
                <c:pt idx="38">
                  <c:v>7.9374301675977676</c:v>
                </c:pt>
                <c:pt idx="39">
                  <c:v>7.9374301675977676</c:v>
                </c:pt>
                <c:pt idx="40">
                  <c:v>7.9374301675977676</c:v>
                </c:pt>
                <c:pt idx="41">
                  <c:v>7.9374301675977676</c:v>
                </c:pt>
                <c:pt idx="42">
                  <c:v>7.9374301675977676</c:v>
                </c:pt>
                <c:pt idx="43">
                  <c:v>7.9374301675977676</c:v>
                </c:pt>
                <c:pt idx="44">
                  <c:v>7.9374301675977676</c:v>
                </c:pt>
                <c:pt idx="45">
                  <c:v>7.9374301675977676</c:v>
                </c:pt>
                <c:pt idx="46">
                  <c:v>7.9374301675977676</c:v>
                </c:pt>
                <c:pt idx="47">
                  <c:v>7.9374301675977676</c:v>
                </c:pt>
                <c:pt idx="48">
                  <c:v>7.9374301675977676</c:v>
                </c:pt>
                <c:pt idx="49">
                  <c:v>7.9374301675977676</c:v>
                </c:pt>
                <c:pt idx="50">
                  <c:v>7.9374301675977676</c:v>
                </c:pt>
                <c:pt idx="51">
                  <c:v>7.9374301675977676</c:v>
                </c:pt>
                <c:pt idx="52">
                  <c:v>7.9374301675977676</c:v>
                </c:pt>
                <c:pt idx="53">
                  <c:v>7.9374301675977676</c:v>
                </c:pt>
                <c:pt idx="54">
                  <c:v>7.9374301675977676</c:v>
                </c:pt>
                <c:pt idx="55">
                  <c:v>7.9374301675977676</c:v>
                </c:pt>
                <c:pt idx="56">
                  <c:v>7.9374301675977676</c:v>
                </c:pt>
                <c:pt idx="57">
                  <c:v>7.9374301675977676</c:v>
                </c:pt>
                <c:pt idx="58">
                  <c:v>7.9374301675977676</c:v>
                </c:pt>
                <c:pt idx="59">
                  <c:v>7.9374301675977676</c:v>
                </c:pt>
                <c:pt idx="60">
                  <c:v>7.9374301675977676</c:v>
                </c:pt>
                <c:pt idx="61">
                  <c:v>7.9374301675977676</c:v>
                </c:pt>
                <c:pt idx="62">
                  <c:v>7.9374301675977676</c:v>
                </c:pt>
                <c:pt idx="63">
                  <c:v>7.9374301675977676</c:v>
                </c:pt>
                <c:pt idx="64">
                  <c:v>7.9374301675977676</c:v>
                </c:pt>
                <c:pt idx="65">
                  <c:v>7.9374301675977676</c:v>
                </c:pt>
                <c:pt idx="66">
                  <c:v>7.9374301675977676</c:v>
                </c:pt>
                <c:pt idx="67">
                  <c:v>7.9374301675977676</c:v>
                </c:pt>
                <c:pt idx="68">
                  <c:v>7.9374301675977676</c:v>
                </c:pt>
                <c:pt idx="69">
                  <c:v>7.9374301675977676</c:v>
                </c:pt>
                <c:pt idx="70">
                  <c:v>7.9374301675977676</c:v>
                </c:pt>
                <c:pt idx="71">
                  <c:v>7.9374301675977676</c:v>
                </c:pt>
                <c:pt idx="72">
                  <c:v>7.9374301675977676</c:v>
                </c:pt>
                <c:pt idx="73">
                  <c:v>7.9374301675977676</c:v>
                </c:pt>
                <c:pt idx="74">
                  <c:v>7.9374301675977676</c:v>
                </c:pt>
                <c:pt idx="75">
                  <c:v>7.9374301675977676</c:v>
                </c:pt>
                <c:pt idx="76">
                  <c:v>7.9374301675977676</c:v>
                </c:pt>
                <c:pt idx="77">
                  <c:v>7.9374301675977676</c:v>
                </c:pt>
                <c:pt idx="78">
                  <c:v>7.9374301675977676</c:v>
                </c:pt>
                <c:pt idx="79">
                  <c:v>7.9374301675977676</c:v>
                </c:pt>
                <c:pt idx="80">
                  <c:v>7.9374301675977676</c:v>
                </c:pt>
                <c:pt idx="81">
                  <c:v>7.9374301675977676</c:v>
                </c:pt>
                <c:pt idx="82">
                  <c:v>7.9374301675977676</c:v>
                </c:pt>
                <c:pt idx="83">
                  <c:v>7.9374301675977676</c:v>
                </c:pt>
                <c:pt idx="84">
                  <c:v>7.9374301675977676</c:v>
                </c:pt>
                <c:pt idx="85">
                  <c:v>7.9374301675977676</c:v>
                </c:pt>
                <c:pt idx="86">
                  <c:v>7.9374301675977676</c:v>
                </c:pt>
                <c:pt idx="87">
                  <c:v>7.9374301675977676</c:v>
                </c:pt>
                <c:pt idx="88">
                  <c:v>7.9374301675977676</c:v>
                </c:pt>
                <c:pt idx="89">
                  <c:v>7.9374301675977676</c:v>
                </c:pt>
                <c:pt idx="90">
                  <c:v>7.9374301675977676</c:v>
                </c:pt>
                <c:pt idx="91">
                  <c:v>7.9374301675977676</c:v>
                </c:pt>
                <c:pt idx="92">
                  <c:v>7.9374301675977676</c:v>
                </c:pt>
                <c:pt idx="93">
                  <c:v>7.9374301675977676</c:v>
                </c:pt>
                <c:pt idx="94">
                  <c:v>7.9374301675977676</c:v>
                </c:pt>
                <c:pt idx="95">
                  <c:v>7.9374301675977676</c:v>
                </c:pt>
                <c:pt idx="96">
                  <c:v>7.9374301675977676</c:v>
                </c:pt>
                <c:pt idx="97">
                  <c:v>7.9374301675977676</c:v>
                </c:pt>
                <c:pt idx="98">
                  <c:v>7.9374301675977676</c:v>
                </c:pt>
                <c:pt idx="99">
                  <c:v>7.9374301675977676</c:v>
                </c:pt>
                <c:pt idx="100">
                  <c:v>7.9374301675977676</c:v>
                </c:pt>
                <c:pt idx="101">
                  <c:v>7.9374301675977676</c:v>
                </c:pt>
                <c:pt idx="102">
                  <c:v>7.9374301675977676</c:v>
                </c:pt>
                <c:pt idx="103">
                  <c:v>7.9374301675977676</c:v>
                </c:pt>
                <c:pt idx="104">
                  <c:v>7.9374301675977676</c:v>
                </c:pt>
                <c:pt idx="105">
                  <c:v>7.9374301675977676</c:v>
                </c:pt>
                <c:pt idx="106">
                  <c:v>7.9374301675977676</c:v>
                </c:pt>
                <c:pt idx="107">
                  <c:v>7.9374301675977676</c:v>
                </c:pt>
                <c:pt idx="108">
                  <c:v>7.9374301675977676</c:v>
                </c:pt>
                <c:pt idx="109">
                  <c:v>7.9374301675977676</c:v>
                </c:pt>
                <c:pt idx="110">
                  <c:v>7.9374301675977676</c:v>
                </c:pt>
                <c:pt idx="111">
                  <c:v>7.9374301675977676</c:v>
                </c:pt>
                <c:pt idx="112">
                  <c:v>7.9374301675977676</c:v>
                </c:pt>
                <c:pt idx="113">
                  <c:v>7.9374301675977676</c:v>
                </c:pt>
                <c:pt idx="114">
                  <c:v>7.9374301675977676</c:v>
                </c:pt>
                <c:pt idx="115">
                  <c:v>7.9374301675977676</c:v>
                </c:pt>
                <c:pt idx="116">
                  <c:v>7.9374301675977676</c:v>
                </c:pt>
                <c:pt idx="117">
                  <c:v>7.9374301675977676</c:v>
                </c:pt>
                <c:pt idx="118">
                  <c:v>7.9374301675977676</c:v>
                </c:pt>
                <c:pt idx="119">
                  <c:v>7.9374301675977676</c:v>
                </c:pt>
                <c:pt idx="120">
                  <c:v>7.9374301675977676</c:v>
                </c:pt>
                <c:pt idx="121">
                  <c:v>7.9374301675977676</c:v>
                </c:pt>
                <c:pt idx="122">
                  <c:v>7.9374301675977676</c:v>
                </c:pt>
                <c:pt idx="123">
                  <c:v>7.9374301675977676</c:v>
                </c:pt>
                <c:pt idx="124">
                  <c:v>7.9374301675977676</c:v>
                </c:pt>
                <c:pt idx="125">
                  <c:v>7.9374301675977676</c:v>
                </c:pt>
                <c:pt idx="126">
                  <c:v>7.9374301675977676</c:v>
                </c:pt>
                <c:pt idx="127">
                  <c:v>7.9374301675977676</c:v>
                </c:pt>
                <c:pt idx="128">
                  <c:v>7.9374301675977676</c:v>
                </c:pt>
                <c:pt idx="129">
                  <c:v>7.9374301675977676</c:v>
                </c:pt>
                <c:pt idx="130">
                  <c:v>7.9374301675977676</c:v>
                </c:pt>
                <c:pt idx="131">
                  <c:v>7.9374301675977676</c:v>
                </c:pt>
                <c:pt idx="132">
                  <c:v>7.9374301675977676</c:v>
                </c:pt>
                <c:pt idx="133">
                  <c:v>7.9374301675977676</c:v>
                </c:pt>
                <c:pt idx="134">
                  <c:v>7.9374301675977676</c:v>
                </c:pt>
                <c:pt idx="135">
                  <c:v>7.9374301675977676</c:v>
                </c:pt>
                <c:pt idx="136">
                  <c:v>7.9374301675977676</c:v>
                </c:pt>
                <c:pt idx="137">
                  <c:v>7.9374301675977676</c:v>
                </c:pt>
                <c:pt idx="138">
                  <c:v>7.9374301675977676</c:v>
                </c:pt>
                <c:pt idx="139">
                  <c:v>7.9374301675977676</c:v>
                </c:pt>
                <c:pt idx="140">
                  <c:v>7.9374301675977676</c:v>
                </c:pt>
                <c:pt idx="141">
                  <c:v>7.9374301675977676</c:v>
                </c:pt>
                <c:pt idx="142">
                  <c:v>7.9374301675977676</c:v>
                </c:pt>
                <c:pt idx="143">
                  <c:v>7.9374301675977676</c:v>
                </c:pt>
                <c:pt idx="144">
                  <c:v>7.9374301675977676</c:v>
                </c:pt>
                <c:pt idx="145">
                  <c:v>7.9374301675977676</c:v>
                </c:pt>
                <c:pt idx="146">
                  <c:v>7.9374301675977676</c:v>
                </c:pt>
                <c:pt idx="147">
                  <c:v>7.9374301675977676</c:v>
                </c:pt>
                <c:pt idx="148">
                  <c:v>7.9374301675977676</c:v>
                </c:pt>
                <c:pt idx="149">
                  <c:v>7.9374301675977676</c:v>
                </c:pt>
                <c:pt idx="150">
                  <c:v>7.9374301675977676</c:v>
                </c:pt>
                <c:pt idx="151">
                  <c:v>7.9374301675977676</c:v>
                </c:pt>
                <c:pt idx="152">
                  <c:v>7.9374301675977676</c:v>
                </c:pt>
                <c:pt idx="153">
                  <c:v>7.9374301675977676</c:v>
                </c:pt>
                <c:pt idx="154">
                  <c:v>7.9374301675977676</c:v>
                </c:pt>
                <c:pt idx="155">
                  <c:v>7.9374301675977676</c:v>
                </c:pt>
                <c:pt idx="156">
                  <c:v>7.9374301675977676</c:v>
                </c:pt>
                <c:pt idx="157">
                  <c:v>7.9374301675977676</c:v>
                </c:pt>
                <c:pt idx="158">
                  <c:v>7.9374301675977676</c:v>
                </c:pt>
                <c:pt idx="159">
                  <c:v>7.9374301675977676</c:v>
                </c:pt>
                <c:pt idx="160">
                  <c:v>7.9374301675977676</c:v>
                </c:pt>
                <c:pt idx="161">
                  <c:v>7.9374301675977676</c:v>
                </c:pt>
                <c:pt idx="162">
                  <c:v>7.9374301675977676</c:v>
                </c:pt>
                <c:pt idx="163">
                  <c:v>7.9374301675977676</c:v>
                </c:pt>
                <c:pt idx="164">
                  <c:v>7.9374301675977676</c:v>
                </c:pt>
                <c:pt idx="165">
                  <c:v>7.9374301675977676</c:v>
                </c:pt>
                <c:pt idx="166">
                  <c:v>7.9374301675977676</c:v>
                </c:pt>
                <c:pt idx="167">
                  <c:v>7.9374301675977676</c:v>
                </c:pt>
                <c:pt idx="168">
                  <c:v>7.9374301675977676</c:v>
                </c:pt>
                <c:pt idx="169">
                  <c:v>7.9374301675977676</c:v>
                </c:pt>
                <c:pt idx="170">
                  <c:v>7.9374301675977676</c:v>
                </c:pt>
                <c:pt idx="171">
                  <c:v>7.9374301675977676</c:v>
                </c:pt>
                <c:pt idx="172">
                  <c:v>7.9374301675977676</c:v>
                </c:pt>
                <c:pt idx="173">
                  <c:v>7.9374301675977676</c:v>
                </c:pt>
                <c:pt idx="174">
                  <c:v>7.9374301675977676</c:v>
                </c:pt>
                <c:pt idx="175">
                  <c:v>7.9374301675977676</c:v>
                </c:pt>
                <c:pt idx="176">
                  <c:v>7.9374301675977676</c:v>
                </c:pt>
                <c:pt idx="177">
                  <c:v>7.9374301675977676</c:v>
                </c:pt>
                <c:pt idx="178">
                  <c:v>7.9374301675977676</c:v>
                </c:pt>
                <c:pt idx="179">
                  <c:v>7.9374301675977676</c:v>
                </c:pt>
                <c:pt idx="180">
                  <c:v>7.9374301675977676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E-46B5-B9CE-0303CF788FE9}"/>
            </c:ext>
          </c:extLst>
        </c:ser>
        <c:ser>
          <c:idx val="2"/>
          <c:order val="2"/>
          <c:tx>
            <c:strRef>
              <c:f>Statistik!$AF$8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Statistik!$AF$9:$AF$192</c:f>
              <c:numCache>
                <c:formatCode>0.0</c:formatCode>
                <c:ptCount val="184"/>
                <c:pt idx="0">
                  <c:v>8.0830597168027865</c:v>
                </c:pt>
                <c:pt idx="1">
                  <c:v>8.0830597168027865</c:v>
                </c:pt>
                <c:pt idx="2">
                  <c:v>8.0830597168027865</c:v>
                </c:pt>
                <c:pt idx="3">
                  <c:v>8.0830597168027865</c:v>
                </c:pt>
                <c:pt idx="4">
                  <c:v>8.0830597168027865</c:v>
                </c:pt>
                <c:pt idx="5">
                  <c:v>8.0830597168027865</c:v>
                </c:pt>
                <c:pt idx="6">
                  <c:v>8.0830597168027865</c:v>
                </c:pt>
                <c:pt idx="7">
                  <c:v>8.0830597168027865</c:v>
                </c:pt>
                <c:pt idx="8">
                  <c:v>8.0830597168027865</c:v>
                </c:pt>
                <c:pt idx="9">
                  <c:v>8.0830597168027865</c:v>
                </c:pt>
                <c:pt idx="10">
                  <c:v>8.0830597168027865</c:v>
                </c:pt>
                <c:pt idx="11">
                  <c:v>8.0830597168027865</c:v>
                </c:pt>
                <c:pt idx="12">
                  <c:v>8.0830597168027865</c:v>
                </c:pt>
                <c:pt idx="13">
                  <c:v>8.0830597168027865</c:v>
                </c:pt>
                <c:pt idx="14">
                  <c:v>8.0830597168027865</c:v>
                </c:pt>
                <c:pt idx="15">
                  <c:v>8.0830597168027865</c:v>
                </c:pt>
                <c:pt idx="16">
                  <c:v>8.0830597168027865</c:v>
                </c:pt>
                <c:pt idx="17">
                  <c:v>8.0830597168027865</c:v>
                </c:pt>
                <c:pt idx="18">
                  <c:v>8.0830597168027865</c:v>
                </c:pt>
                <c:pt idx="19">
                  <c:v>8.0830597168027865</c:v>
                </c:pt>
                <c:pt idx="20">
                  <c:v>8.0830597168027865</c:v>
                </c:pt>
                <c:pt idx="21">
                  <c:v>8.0830597168027865</c:v>
                </c:pt>
                <c:pt idx="22">
                  <c:v>8.0830597168027865</c:v>
                </c:pt>
                <c:pt idx="23">
                  <c:v>8.0830597168027865</c:v>
                </c:pt>
                <c:pt idx="24">
                  <c:v>8.0830597168027865</c:v>
                </c:pt>
                <c:pt idx="25">
                  <c:v>8.0830597168027865</c:v>
                </c:pt>
                <c:pt idx="26">
                  <c:v>8.0830597168027865</c:v>
                </c:pt>
                <c:pt idx="27">
                  <c:v>8.0830597168027865</c:v>
                </c:pt>
                <c:pt idx="28">
                  <c:v>8.0830597168027865</c:v>
                </c:pt>
                <c:pt idx="29">
                  <c:v>8.0830597168027865</c:v>
                </c:pt>
                <c:pt idx="30">
                  <c:v>8.0830597168027865</c:v>
                </c:pt>
                <c:pt idx="31">
                  <c:v>8.0830597168027865</c:v>
                </c:pt>
                <c:pt idx="32">
                  <c:v>8.0830597168027865</c:v>
                </c:pt>
                <c:pt idx="33">
                  <c:v>8.0830597168027865</c:v>
                </c:pt>
                <c:pt idx="34">
                  <c:v>8.0830597168027865</c:v>
                </c:pt>
                <c:pt idx="35">
                  <c:v>8.0830597168027865</c:v>
                </c:pt>
                <c:pt idx="36">
                  <c:v>8.0830597168027865</c:v>
                </c:pt>
                <c:pt idx="37">
                  <c:v>8.0830597168027865</c:v>
                </c:pt>
                <c:pt idx="38">
                  <c:v>8.0830597168027865</c:v>
                </c:pt>
                <c:pt idx="39">
                  <c:v>8.0830597168027865</c:v>
                </c:pt>
                <c:pt idx="40">
                  <c:v>8.0830597168027865</c:v>
                </c:pt>
                <c:pt idx="41">
                  <c:v>8.0830597168027865</c:v>
                </c:pt>
                <c:pt idx="42">
                  <c:v>8.0830597168027865</c:v>
                </c:pt>
                <c:pt idx="43">
                  <c:v>8.0830597168027865</c:v>
                </c:pt>
                <c:pt idx="44">
                  <c:v>8.0830597168027865</c:v>
                </c:pt>
                <c:pt idx="45">
                  <c:v>8.0830597168027865</c:v>
                </c:pt>
                <c:pt idx="46">
                  <c:v>8.0830597168027865</c:v>
                </c:pt>
                <c:pt idx="47">
                  <c:v>8.0830597168027865</c:v>
                </c:pt>
                <c:pt idx="48">
                  <c:v>8.0830597168027865</c:v>
                </c:pt>
                <c:pt idx="49">
                  <c:v>8.0830597168027865</c:v>
                </c:pt>
                <c:pt idx="50">
                  <c:v>8.0830597168027865</c:v>
                </c:pt>
                <c:pt idx="51">
                  <c:v>8.0830597168027865</c:v>
                </c:pt>
                <c:pt idx="52">
                  <c:v>8.0830597168027865</c:v>
                </c:pt>
                <c:pt idx="53">
                  <c:v>8.0830597168027865</c:v>
                </c:pt>
                <c:pt idx="54">
                  <c:v>8.0830597168027865</c:v>
                </c:pt>
                <c:pt idx="55">
                  <c:v>8.0830597168027865</c:v>
                </c:pt>
                <c:pt idx="56">
                  <c:v>8.0830597168027865</c:v>
                </c:pt>
                <c:pt idx="57">
                  <c:v>8.0830597168027865</c:v>
                </c:pt>
                <c:pt idx="58">
                  <c:v>8.0830597168027865</c:v>
                </c:pt>
                <c:pt idx="59">
                  <c:v>8.0830597168027865</c:v>
                </c:pt>
                <c:pt idx="60">
                  <c:v>8.0830597168027865</c:v>
                </c:pt>
                <c:pt idx="61">
                  <c:v>8.0830597168027865</c:v>
                </c:pt>
                <c:pt idx="62">
                  <c:v>8.0830597168027865</c:v>
                </c:pt>
                <c:pt idx="63">
                  <c:v>8.0830597168027865</c:v>
                </c:pt>
                <c:pt idx="64">
                  <c:v>8.0830597168027865</c:v>
                </c:pt>
                <c:pt idx="65">
                  <c:v>8.0830597168027865</c:v>
                </c:pt>
                <c:pt idx="66">
                  <c:v>8.0830597168027865</c:v>
                </c:pt>
                <c:pt idx="67">
                  <c:v>8.0830597168027865</c:v>
                </c:pt>
                <c:pt idx="68">
                  <c:v>8.0830597168027865</c:v>
                </c:pt>
                <c:pt idx="69">
                  <c:v>8.0830597168027865</c:v>
                </c:pt>
                <c:pt idx="70">
                  <c:v>8.0830597168027865</c:v>
                </c:pt>
                <c:pt idx="71">
                  <c:v>8.0830597168027865</c:v>
                </c:pt>
                <c:pt idx="72">
                  <c:v>8.0830597168027865</c:v>
                </c:pt>
                <c:pt idx="73">
                  <c:v>8.0830597168027865</c:v>
                </c:pt>
                <c:pt idx="74">
                  <c:v>8.0830597168027865</c:v>
                </c:pt>
                <c:pt idx="75">
                  <c:v>8.0830597168027865</c:v>
                </c:pt>
                <c:pt idx="76">
                  <c:v>8.0830597168027865</c:v>
                </c:pt>
                <c:pt idx="77">
                  <c:v>8.0830597168027865</c:v>
                </c:pt>
                <c:pt idx="78">
                  <c:v>8.0830597168027865</c:v>
                </c:pt>
                <c:pt idx="79">
                  <c:v>8.0830597168027865</c:v>
                </c:pt>
                <c:pt idx="80">
                  <c:v>8.0830597168027865</c:v>
                </c:pt>
                <c:pt idx="81">
                  <c:v>8.0830597168027865</c:v>
                </c:pt>
                <c:pt idx="82">
                  <c:v>8.0830597168027865</c:v>
                </c:pt>
                <c:pt idx="83">
                  <c:v>8.0830597168027865</c:v>
                </c:pt>
                <c:pt idx="84">
                  <c:v>8.0830597168027865</c:v>
                </c:pt>
                <c:pt idx="85">
                  <c:v>8.0830597168027865</c:v>
                </c:pt>
                <c:pt idx="86">
                  <c:v>8.0830597168027865</c:v>
                </c:pt>
                <c:pt idx="87">
                  <c:v>8.0830597168027865</c:v>
                </c:pt>
                <c:pt idx="88">
                  <c:v>8.0830597168027865</c:v>
                </c:pt>
                <c:pt idx="89">
                  <c:v>8.0830597168027865</c:v>
                </c:pt>
                <c:pt idx="90">
                  <c:v>8.0830597168027865</c:v>
                </c:pt>
                <c:pt idx="91">
                  <c:v>8.0830597168027865</c:v>
                </c:pt>
                <c:pt idx="92">
                  <c:v>8.0830597168027865</c:v>
                </c:pt>
                <c:pt idx="93">
                  <c:v>8.0830597168027865</c:v>
                </c:pt>
                <c:pt idx="94">
                  <c:v>8.0830597168027865</c:v>
                </c:pt>
                <c:pt idx="95">
                  <c:v>8.0830597168027865</c:v>
                </c:pt>
                <c:pt idx="96">
                  <c:v>8.0830597168027865</c:v>
                </c:pt>
                <c:pt idx="97">
                  <c:v>8.0830597168027865</c:v>
                </c:pt>
                <c:pt idx="98">
                  <c:v>8.0830597168027865</c:v>
                </c:pt>
                <c:pt idx="99">
                  <c:v>8.0830597168027865</c:v>
                </c:pt>
                <c:pt idx="100">
                  <c:v>8.0830597168027865</c:v>
                </c:pt>
                <c:pt idx="101">
                  <c:v>8.0830597168027865</c:v>
                </c:pt>
                <c:pt idx="102">
                  <c:v>8.0830597168027865</c:v>
                </c:pt>
                <c:pt idx="103">
                  <c:v>8.0830597168027865</c:v>
                </c:pt>
                <c:pt idx="104">
                  <c:v>8.0830597168027865</c:v>
                </c:pt>
                <c:pt idx="105">
                  <c:v>8.0830597168027865</c:v>
                </c:pt>
                <c:pt idx="106">
                  <c:v>8.0830597168027865</c:v>
                </c:pt>
                <c:pt idx="107">
                  <c:v>8.0830597168027865</c:v>
                </c:pt>
                <c:pt idx="108">
                  <c:v>8.0830597168027865</c:v>
                </c:pt>
                <c:pt idx="109">
                  <c:v>8.0830597168027865</c:v>
                </c:pt>
                <c:pt idx="110">
                  <c:v>8.0830597168027865</c:v>
                </c:pt>
                <c:pt idx="111">
                  <c:v>8.0830597168027865</c:v>
                </c:pt>
                <c:pt idx="112">
                  <c:v>8.0830597168027865</c:v>
                </c:pt>
                <c:pt idx="113">
                  <c:v>8.0830597168027865</c:v>
                </c:pt>
                <c:pt idx="114">
                  <c:v>8.0830597168027865</c:v>
                </c:pt>
                <c:pt idx="115">
                  <c:v>8.0830597168027865</c:v>
                </c:pt>
                <c:pt idx="116">
                  <c:v>8.0830597168027865</c:v>
                </c:pt>
                <c:pt idx="117">
                  <c:v>8.0830597168027865</c:v>
                </c:pt>
                <c:pt idx="118">
                  <c:v>8.0830597168027865</c:v>
                </c:pt>
                <c:pt idx="119">
                  <c:v>8.0830597168027865</c:v>
                </c:pt>
                <c:pt idx="120">
                  <c:v>8.0830597168027865</c:v>
                </c:pt>
                <c:pt idx="121">
                  <c:v>8.0830597168027865</c:v>
                </c:pt>
                <c:pt idx="122">
                  <c:v>8.0830597168027865</c:v>
                </c:pt>
                <c:pt idx="123">
                  <c:v>8.0830597168027865</c:v>
                </c:pt>
                <c:pt idx="124">
                  <c:v>8.0830597168027865</c:v>
                </c:pt>
                <c:pt idx="125">
                  <c:v>8.0830597168027865</c:v>
                </c:pt>
                <c:pt idx="126">
                  <c:v>8.0830597168027865</c:v>
                </c:pt>
                <c:pt idx="127">
                  <c:v>8.0830597168027865</c:v>
                </c:pt>
                <c:pt idx="128">
                  <c:v>8.0830597168027865</c:v>
                </c:pt>
                <c:pt idx="129">
                  <c:v>8.0830597168027865</c:v>
                </c:pt>
                <c:pt idx="130">
                  <c:v>8.0830597168027865</c:v>
                </c:pt>
                <c:pt idx="131">
                  <c:v>8.0830597168027865</c:v>
                </c:pt>
                <c:pt idx="132">
                  <c:v>8.0830597168027865</c:v>
                </c:pt>
                <c:pt idx="133">
                  <c:v>8.0830597168027865</c:v>
                </c:pt>
                <c:pt idx="134">
                  <c:v>8.0830597168027865</c:v>
                </c:pt>
                <c:pt idx="135">
                  <c:v>8.0830597168027865</c:v>
                </c:pt>
                <c:pt idx="136">
                  <c:v>8.0830597168027865</c:v>
                </c:pt>
                <c:pt idx="137">
                  <c:v>8.0830597168027865</c:v>
                </c:pt>
                <c:pt idx="138">
                  <c:v>8.0830597168027865</c:v>
                </c:pt>
                <c:pt idx="139">
                  <c:v>8.0830597168027865</c:v>
                </c:pt>
                <c:pt idx="140">
                  <c:v>8.0830597168027865</c:v>
                </c:pt>
                <c:pt idx="141">
                  <c:v>8.0830597168027865</c:v>
                </c:pt>
                <c:pt idx="142">
                  <c:v>8.0830597168027865</c:v>
                </c:pt>
                <c:pt idx="143">
                  <c:v>8.0830597168027865</c:v>
                </c:pt>
                <c:pt idx="144">
                  <c:v>8.0830597168027865</c:v>
                </c:pt>
                <c:pt idx="145">
                  <c:v>8.0830597168027865</c:v>
                </c:pt>
                <c:pt idx="146">
                  <c:v>8.0830597168027865</c:v>
                </c:pt>
                <c:pt idx="147">
                  <c:v>8.0830597168027865</c:v>
                </c:pt>
                <c:pt idx="148">
                  <c:v>8.0830597168027865</c:v>
                </c:pt>
                <c:pt idx="149">
                  <c:v>8.0830597168027865</c:v>
                </c:pt>
                <c:pt idx="150">
                  <c:v>8.0830597168027865</c:v>
                </c:pt>
                <c:pt idx="151">
                  <c:v>8.0830597168027865</c:v>
                </c:pt>
                <c:pt idx="152">
                  <c:v>8.0830597168027865</c:v>
                </c:pt>
                <c:pt idx="153">
                  <c:v>8.0830597168027865</c:v>
                </c:pt>
                <c:pt idx="154">
                  <c:v>8.0830597168027865</c:v>
                </c:pt>
                <c:pt idx="155">
                  <c:v>8.0830597168027865</c:v>
                </c:pt>
                <c:pt idx="156">
                  <c:v>8.0830597168027865</c:v>
                </c:pt>
                <c:pt idx="157">
                  <c:v>8.0830597168027865</c:v>
                </c:pt>
                <c:pt idx="158">
                  <c:v>8.0830597168027865</c:v>
                </c:pt>
                <c:pt idx="159">
                  <c:v>8.0830597168027865</c:v>
                </c:pt>
                <c:pt idx="160">
                  <c:v>8.0830597168027865</c:v>
                </c:pt>
                <c:pt idx="161">
                  <c:v>8.0830597168027865</c:v>
                </c:pt>
                <c:pt idx="162">
                  <c:v>8.0830597168027865</c:v>
                </c:pt>
                <c:pt idx="163">
                  <c:v>8.0830597168027865</c:v>
                </c:pt>
                <c:pt idx="164">
                  <c:v>8.0830597168027865</c:v>
                </c:pt>
                <c:pt idx="165">
                  <c:v>8.0830597168027865</c:v>
                </c:pt>
                <c:pt idx="166">
                  <c:v>8.0830597168027865</c:v>
                </c:pt>
                <c:pt idx="167">
                  <c:v>8.0830597168027865</c:v>
                </c:pt>
                <c:pt idx="168">
                  <c:v>8.0830597168027865</c:v>
                </c:pt>
                <c:pt idx="169">
                  <c:v>8.0830597168027865</c:v>
                </c:pt>
                <c:pt idx="170">
                  <c:v>8.0830597168027865</c:v>
                </c:pt>
                <c:pt idx="171">
                  <c:v>8.0830597168027865</c:v>
                </c:pt>
                <c:pt idx="172">
                  <c:v>8.0830597168027865</c:v>
                </c:pt>
                <c:pt idx="173">
                  <c:v>8.0830597168027865</c:v>
                </c:pt>
                <c:pt idx="174">
                  <c:v>8.0830597168027865</c:v>
                </c:pt>
                <c:pt idx="175">
                  <c:v>8.0830597168027865</c:v>
                </c:pt>
                <c:pt idx="176">
                  <c:v>8.0830597168027865</c:v>
                </c:pt>
                <c:pt idx="177">
                  <c:v>8.0830597168027865</c:v>
                </c:pt>
                <c:pt idx="178">
                  <c:v>8.0830597168027865</c:v>
                </c:pt>
                <c:pt idx="179">
                  <c:v>8.0830597168027865</c:v>
                </c:pt>
                <c:pt idx="180">
                  <c:v>8.0830597168027865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E-46B5-B9CE-0303CF788FE9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Statistik!$AG$9:$AG$192</c:f>
              <c:numCache>
                <c:formatCode>0.0</c:formatCode>
                <c:ptCount val="184"/>
                <c:pt idx="0">
                  <c:v>7.7918006183927488</c:v>
                </c:pt>
                <c:pt idx="1">
                  <c:v>7.7918006183927488</c:v>
                </c:pt>
                <c:pt idx="2">
                  <c:v>7.7918006183927488</c:v>
                </c:pt>
                <c:pt idx="3">
                  <c:v>7.7918006183927488</c:v>
                </c:pt>
                <c:pt idx="4">
                  <c:v>7.7918006183927488</c:v>
                </c:pt>
                <c:pt idx="5">
                  <c:v>7.7918006183927488</c:v>
                </c:pt>
                <c:pt idx="6">
                  <c:v>7.7918006183927488</c:v>
                </c:pt>
                <c:pt idx="7">
                  <c:v>7.7918006183927488</c:v>
                </c:pt>
                <c:pt idx="8">
                  <c:v>7.7918006183927488</c:v>
                </c:pt>
                <c:pt idx="9">
                  <c:v>7.7918006183927488</c:v>
                </c:pt>
                <c:pt idx="10">
                  <c:v>7.7918006183927488</c:v>
                </c:pt>
                <c:pt idx="11">
                  <c:v>7.7918006183927488</c:v>
                </c:pt>
                <c:pt idx="12">
                  <c:v>7.7918006183927488</c:v>
                </c:pt>
                <c:pt idx="13">
                  <c:v>7.7918006183927488</c:v>
                </c:pt>
                <c:pt idx="14">
                  <c:v>7.7918006183927488</c:v>
                </c:pt>
                <c:pt idx="15">
                  <c:v>7.7918006183927488</c:v>
                </c:pt>
                <c:pt idx="16">
                  <c:v>7.7918006183927488</c:v>
                </c:pt>
                <c:pt idx="17">
                  <c:v>7.7918006183927488</c:v>
                </c:pt>
                <c:pt idx="18">
                  <c:v>7.7918006183927488</c:v>
                </c:pt>
                <c:pt idx="19">
                  <c:v>7.7918006183927488</c:v>
                </c:pt>
                <c:pt idx="20">
                  <c:v>7.7918006183927488</c:v>
                </c:pt>
                <c:pt idx="21">
                  <c:v>7.7918006183927488</c:v>
                </c:pt>
                <c:pt idx="22">
                  <c:v>7.7918006183927488</c:v>
                </c:pt>
                <c:pt idx="23">
                  <c:v>7.7918006183927488</c:v>
                </c:pt>
                <c:pt idx="24">
                  <c:v>7.7918006183927488</c:v>
                </c:pt>
                <c:pt idx="25">
                  <c:v>7.7918006183927488</c:v>
                </c:pt>
                <c:pt idx="26">
                  <c:v>7.7918006183927488</c:v>
                </c:pt>
                <c:pt idx="27">
                  <c:v>7.7918006183927488</c:v>
                </c:pt>
                <c:pt idx="28">
                  <c:v>7.7918006183927488</c:v>
                </c:pt>
                <c:pt idx="29">
                  <c:v>7.7918006183927488</c:v>
                </c:pt>
                <c:pt idx="30">
                  <c:v>7.7918006183927488</c:v>
                </c:pt>
                <c:pt idx="31">
                  <c:v>7.7918006183927488</c:v>
                </c:pt>
                <c:pt idx="32">
                  <c:v>7.7918006183927488</c:v>
                </c:pt>
                <c:pt idx="33">
                  <c:v>7.7918006183927488</c:v>
                </c:pt>
                <c:pt idx="34">
                  <c:v>7.7918006183927488</c:v>
                </c:pt>
                <c:pt idx="35">
                  <c:v>7.7918006183927488</c:v>
                </c:pt>
                <c:pt idx="36">
                  <c:v>7.7918006183927488</c:v>
                </c:pt>
                <c:pt idx="37">
                  <c:v>7.7918006183927488</c:v>
                </c:pt>
                <c:pt idx="38">
                  <c:v>7.7918006183927488</c:v>
                </c:pt>
                <c:pt idx="39">
                  <c:v>7.7918006183927488</c:v>
                </c:pt>
                <c:pt idx="40">
                  <c:v>7.7918006183927488</c:v>
                </c:pt>
                <c:pt idx="41">
                  <c:v>7.7918006183927488</c:v>
                </c:pt>
                <c:pt idx="42">
                  <c:v>7.7918006183927488</c:v>
                </c:pt>
                <c:pt idx="43">
                  <c:v>7.7918006183927488</c:v>
                </c:pt>
                <c:pt idx="44">
                  <c:v>7.7918006183927488</c:v>
                </c:pt>
                <c:pt idx="45">
                  <c:v>7.7918006183927488</c:v>
                </c:pt>
                <c:pt idx="46">
                  <c:v>7.7918006183927488</c:v>
                </c:pt>
                <c:pt idx="47">
                  <c:v>7.7918006183927488</c:v>
                </c:pt>
                <c:pt idx="48">
                  <c:v>7.7918006183927488</c:v>
                </c:pt>
                <c:pt idx="49">
                  <c:v>7.7918006183927488</c:v>
                </c:pt>
                <c:pt idx="50">
                  <c:v>7.7918006183927488</c:v>
                </c:pt>
                <c:pt idx="51">
                  <c:v>7.7918006183927488</c:v>
                </c:pt>
                <c:pt idx="52">
                  <c:v>7.7918006183927488</c:v>
                </c:pt>
                <c:pt idx="53">
                  <c:v>7.7918006183927488</c:v>
                </c:pt>
                <c:pt idx="54">
                  <c:v>7.7918006183927488</c:v>
                </c:pt>
                <c:pt idx="55">
                  <c:v>7.7918006183927488</c:v>
                </c:pt>
                <c:pt idx="56">
                  <c:v>7.7918006183927488</c:v>
                </c:pt>
                <c:pt idx="57">
                  <c:v>7.7918006183927488</c:v>
                </c:pt>
                <c:pt idx="58">
                  <c:v>7.7918006183927488</c:v>
                </c:pt>
                <c:pt idx="59">
                  <c:v>7.7918006183927488</c:v>
                </c:pt>
                <c:pt idx="60">
                  <c:v>7.7918006183927488</c:v>
                </c:pt>
                <c:pt idx="61">
                  <c:v>7.7918006183927488</c:v>
                </c:pt>
                <c:pt idx="62">
                  <c:v>7.7918006183927488</c:v>
                </c:pt>
                <c:pt idx="63">
                  <c:v>7.7918006183927488</c:v>
                </c:pt>
                <c:pt idx="64">
                  <c:v>7.7918006183927488</c:v>
                </c:pt>
                <c:pt idx="65">
                  <c:v>7.7918006183927488</c:v>
                </c:pt>
                <c:pt idx="66">
                  <c:v>7.7918006183927488</c:v>
                </c:pt>
                <c:pt idx="67">
                  <c:v>7.7918006183927488</c:v>
                </c:pt>
                <c:pt idx="68">
                  <c:v>7.7918006183927488</c:v>
                </c:pt>
                <c:pt idx="69">
                  <c:v>7.7918006183927488</c:v>
                </c:pt>
                <c:pt idx="70">
                  <c:v>7.7918006183927488</c:v>
                </c:pt>
                <c:pt idx="71">
                  <c:v>7.7918006183927488</c:v>
                </c:pt>
                <c:pt idx="72">
                  <c:v>7.7918006183927488</c:v>
                </c:pt>
                <c:pt idx="73">
                  <c:v>7.7918006183927488</c:v>
                </c:pt>
                <c:pt idx="74">
                  <c:v>7.7918006183927488</c:v>
                </c:pt>
                <c:pt idx="75">
                  <c:v>7.7918006183927488</c:v>
                </c:pt>
                <c:pt idx="76">
                  <c:v>7.7918006183927488</c:v>
                </c:pt>
                <c:pt idx="77">
                  <c:v>7.7918006183927488</c:v>
                </c:pt>
                <c:pt idx="78">
                  <c:v>7.7918006183927488</c:v>
                </c:pt>
                <c:pt idx="79">
                  <c:v>7.7918006183927488</c:v>
                </c:pt>
                <c:pt idx="80">
                  <c:v>7.7918006183927488</c:v>
                </c:pt>
                <c:pt idx="81">
                  <c:v>7.7918006183927488</c:v>
                </c:pt>
                <c:pt idx="82">
                  <c:v>7.7918006183927488</c:v>
                </c:pt>
                <c:pt idx="83">
                  <c:v>7.7918006183927488</c:v>
                </c:pt>
                <c:pt idx="84">
                  <c:v>7.7918006183927488</c:v>
                </c:pt>
                <c:pt idx="85">
                  <c:v>7.7918006183927488</c:v>
                </c:pt>
                <c:pt idx="86">
                  <c:v>7.7918006183927488</c:v>
                </c:pt>
                <c:pt idx="87">
                  <c:v>7.7918006183927488</c:v>
                </c:pt>
                <c:pt idx="88">
                  <c:v>7.7918006183927488</c:v>
                </c:pt>
                <c:pt idx="89">
                  <c:v>7.7918006183927488</c:v>
                </c:pt>
                <c:pt idx="90">
                  <c:v>7.7918006183927488</c:v>
                </c:pt>
                <c:pt idx="91">
                  <c:v>7.7918006183927488</c:v>
                </c:pt>
                <c:pt idx="92">
                  <c:v>7.7918006183927488</c:v>
                </c:pt>
                <c:pt idx="93">
                  <c:v>7.7918006183927488</c:v>
                </c:pt>
                <c:pt idx="94">
                  <c:v>7.7918006183927488</c:v>
                </c:pt>
                <c:pt idx="95">
                  <c:v>7.7918006183927488</c:v>
                </c:pt>
                <c:pt idx="96">
                  <c:v>7.7918006183927488</c:v>
                </c:pt>
                <c:pt idx="97">
                  <c:v>7.7918006183927488</c:v>
                </c:pt>
                <c:pt idx="98">
                  <c:v>7.7918006183927488</c:v>
                </c:pt>
                <c:pt idx="99">
                  <c:v>7.7918006183927488</c:v>
                </c:pt>
                <c:pt idx="100">
                  <c:v>7.7918006183927488</c:v>
                </c:pt>
                <c:pt idx="101">
                  <c:v>7.7918006183927488</c:v>
                </c:pt>
                <c:pt idx="102">
                  <c:v>7.7918006183927488</c:v>
                </c:pt>
                <c:pt idx="103">
                  <c:v>7.7918006183927488</c:v>
                </c:pt>
                <c:pt idx="104">
                  <c:v>7.7918006183927488</c:v>
                </c:pt>
                <c:pt idx="105">
                  <c:v>7.7918006183927488</c:v>
                </c:pt>
                <c:pt idx="106">
                  <c:v>7.7918006183927488</c:v>
                </c:pt>
                <c:pt idx="107">
                  <c:v>7.7918006183927488</c:v>
                </c:pt>
                <c:pt idx="108">
                  <c:v>7.7918006183927488</c:v>
                </c:pt>
                <c:pt idx="109">
                  <c:v>7.7918006183927488</c:v>
                </c:pt>
                <c:pt idx="110">
                  <c:v>7.7918006183927488</c:v>
                </c:pt>
                <c:pt idx="111">
                  <c:v>7.7918006183927488</c:v>
                </c:pt>
                <c:pt idx="112">
                  <c:v>7.7918006183927488</c:v>
                </c:pt>
                <c:pt idx="113">
                  <c:v>7.7918006183927488</c:v>
                </c:pt>
                <c:pt idx="114">
                  <c:v>7.7918006183927488</c:v>
                </c:pt>
                <c:pt idx="115">
                  <c:v>7.7918006183927488</c:v>
                </c:pt>
                <c:pt idx="116">
                  <c:v>7.7918006183927488</c:v>
                </c:pt>
                <c:pt idx="117">
                  <c:v>7.7918006183927488</c:v>
                </c:pt>
                <c:pt idx="118">
                  <c:v>7.7918006183927488</c:v>
                </c:pt>
                <c:pt idx="119">
                  <c:v>7.7918006183927488</c:v>
                </c:pt>
                <c:pt idx="120">
                  <c:v>7.7918006183927488</c:v>
                </c:pt>
                <c:pt idx="121">
                  <c:v>7.7918006183927488</c:v>
                </c:pt>
                <c:pt idx="122">
                  <c:v>7.7918006183927488</c:v>
                </c:pt>
                <c:pt idx="123">
                  <c:v>7.7918006183927488</c:v>
                </c:pt>
                <c:pt idx="124">
                  <c:v>7.7918006183927488</c:v>
                </c:pt>
                <c:pt idx="125">
                  <c:v>7.7918006183927488</c:v>
                </c:pt>
                <c:pt idx="126">
                  <c:v>7.7918006183927488</c:v>
                </c:pt>
                <c:pt idx="127">
                  <c:v>7.7918006183927488</c:v>
                </c:pt>
                <c:pt idx="128">
                  <c:v>7.7918006183927488</c:v>
                </c:pt>
                <c:pt idx="129">
                  <c:v>7.7918006183927488</c:v>
                </c:pt>
                <c:pt idx="130">
                  <c:v>7.7918006183927488</c:v>
                </c:pt>
                <c:pt idx="131">
                  <c:v>7.7918006183927488</c:v>
                </c:pt>
                <c:pt idx="132">
                  <c:v>7.7918006183927488</c:v>
                </c:pt>
                <c:pt idx="133">
                  <c:v>7.7918006183927488</c:v>
                </c:pt>
                <c:pt idx="134">
                  <c:v>7.7918006183927488</c:v>
                </c:pt>
                <c:pt idx="135">
                  <c:v>7.7918006183927488</c:v>
                </c:pt>
                <c:pt idx="136">
                  <c:v>7.7918006183927488</c:v>
                </c:pt>
                <c:pt idx="137">
                  <c:v>7.7918006183927488</c:v>
                </c:pt>
                <c:pt idx="138">
                  <c:v>7.7918006183927488</c:v>
                </c:pt>
                <c:pt idx="139">
                  <c:v>7.7918006183927488</c:v>
                </c:pt>
                <c:pt idx="140">
                  <c:v>7.7918006183927488</c:v>
                </c:pt>
                <c:pt idx="141">
                  <c:v>7.7918006183927488</c:v>
                </c:pt>
                <c:pt idx="142">
                  <c:v>7.7918006183927488</c:v>
                </c:pt>
                <c:pt idx="143">
                  <c:v>7.7918006183927488</c:v>
                </c:pt>
                <c:pt idx="144">
                  <c:v>7.7918006183927488</c:v>
                </c:pt>
                <c:pt idx="145">
                  <c:v>7.7918006183927488</c:v>
                </c:pt>
                <c:pt idx="146">
                  <c:v>7.7918006183927488</c:v>
                </c:pt>
                <c:pt idx="147">
                  <c:v>7.7918006183927488</c:v>
                </c:pt>
                <c:pt idx="148">
                  <c:v>7.7918006183927488</c:v>
                </c:pt>
                <c:pt idx="149">
                  <c:v>7.7918006183927488</c:v>
                </c:pt>
                <c:pt idx="150">
                  <c:v>7.7918006183927488</c:v>
                </c:pt>
                <c:pt idx="151">
                  <c:v>7.7918006183927488</c:v>
                </c:pt>
                <c:pt idx="152">
                  <c:v>7.7918006183927488</c:v>
                </c:pt>
                <c:pt idx="153">
                  <c:v>7.7918006183927488</c:v>
                </c:pt>
                <c:pt idx="154">
                  <c:v>7.7918006183927488</c:v>
                </c:pt>
                <c:pt idx="155">
                  <c:v>7.7918006183927488</c:v>
                </c:pt>
                <c:pt idx="156">
                  <c:v>7.7918006183927488</c:v>
                </c:pt>
                <c:pt idx="157">
                  <c:v>7.7918006183927488</c:v>
                </c:pt>
                <c:pt idx="158">
                  <c:v>7.7918006183927488</c:v>
                </c:pt>
                <c:pt idx="159">
                  <c:v>7.7918006183927488</c:v>
                </c:pt>
                <c:pt idx="160">
                  <c:v>7.7918006183927488</c:v>
                </c:pt>
                <c:pt idx="161">
                  <c:v>7.7918006183927488</c:v>
                </c:pt>
                <c:pt idx="162">
                  <c:v>7.7918006183927488</c:v>
                </c:pt>
                <c:pt idx="163">
                  <c:v>7.7918006183927488</c:v>
                </c:pt>
                <c:pt idx="164">
                  <c:v>7.7918006183927488</c:v>
                </c:pt>
                <c:pt idx="165">
                  <c:v>7.7918006183927488</c:v>
                </c:pt>
                <c:pt idx="166">
                  <c:v>7.7918006183927488</c:v>
                </c:pt>
                <c:pt idx="167">
                  <c:v>7.7918006183927488</c:v>
                </c:pt>
                <c:pt idx="168">
                  <c:v>7.7918006183927488</c:v>
                </c:pt>
                <c:pt idx="169">
                  <c:v>7.7918006183927488</c:v>
                </c:pt>
                <c:pt idx="170">
                  <c:v>7.7918006183927488</c:v>
                </c:pt>
                <c:pt idx="171">
                  <c:v>7.7918006183927488</c:v>
                </c:pt>
                <c:pt idx="172">
                  <c:v>7.7918006183927488</c:v>
                </c:pt>
                <c:pt idx="173">
                  <c:v>7.7918006183927488</c:v>
                </c:pt>
                <c:pt idx="174">
                  <c:v>7.7918006183927488</c:v>
                </c:pt>
                <c:pt idx="175">
                  <c:v>7.7918006183927488</c:v>
                </c:pt>
                <c:pt idx="176">
                  <c:v>7.7918006183927488</c:v>
                </c:pt>
                <c:pt idx="177">
                  <c:v>7.7918006183927488</c:v>
                </c:pt>
                <c:pt idx="178">
                  <c:v>7.7918006183927488</c:v>
                </c:pt>
                <c:pt idx="179">
                  <c:v>7.7918006183927488</c:v>
                </c:pt>
                <c:pt idx="180">
                  <c:v>7.7918006183927488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5E-46B5-B9CE-0303CF788FE9}"/>
            </c:ext>
          </c:extLst>
        </c:ser>
        <c:ser>
          <c:idx val="4"/>
          <c:order val="4"/>
          <c:tx>
            <c:strRef>
              <c:f>Statistik!$AH$8</c:f>
              <c:strCache>
                <c:ptCount val="1"/>
                <c:pt idx="0">
                  <c:v>Klass 3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Statistik!$AH$9:$AH$192</c:f>
              <c:numCache>
                <c:formatCode>General</c:formatCode>
                <c:ptCount val="184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6.5</c:v>
                </c:pt>
                <c:pt idx="26">
                  <c:v>6.5</c:v>
                </c:pt>
                <c:pt idx="27">
                  <c:v>6.5</c:v>
                </c:pt>
                <c:pt idx="28">
                  <c:v>6.5</c:v>
                </c:pt>
                <c:pt idx="29">
                  <c:v>6.5</c:v>
                </c:pt>
                <c:pt idx="30">
                  <c:v>6.5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  <c:pt idx="48">
                  <c:v>6.5</c:v>
                </c:pt>
                <c:pt idx="49">
                  <c:v>6.5</c:v>
                </c:pt>
                <c:pt idx="50">
                  <c:v>6.5</c:v>
                </c:pt>
                <c:pt idx="51">
                  <c:v>6.5</c:v>
                </c:pt>
                <c:pt idx="52">
                  <c:v>6.5</c:v>
                </c:pt>
                <c:pt idx="53">
                  <c:v>6.5</c:v>
                </c:pt>
                <c:pt idx="54">
                  <c:v>6.5</c:v>
                </c:pt>
                <c:pt idx="55">
                  <c:v>6.5</c:v>
                </c:pt>
                <c:pt idx="56">
                  <c:v>6.5</c:v>
                </c:pt>
                <c:pt idx="57">
                  <c:v>6.5</c:v>
                </c:pt>
                <c:pt idx="58">
                  <c:v>6.5</c:v>
                </c:pt>
                <c:pt idx="59">
                  <c:v>6.5</c:v>
                </c:pt>
                <c:pt idx="60">
                  <c:v>6.5</c:v>
                </c:pt>
                <c:pt idx="61">
                  <c:v>6.5</c:v>
                </c:pt>
                <c:pt idx="62">
                  <c:v>6.5</c:v>
                </c:pt>
                <c:pt idx="63">
                  <c:v>6.5</c:v>
                </c:pt>
                <c:pt idx="64">
                  <c:v>6.5</c:v>
                </c:pt>
                <c:pt idx="65">
                  <c:v>6.5</c:v>
                </c:pt>
                <c:pt idx="66">
                  <c:v>6.5</c:v>
                </c:pt>
                <c:pt idx="67">
                  <c:v>6.5</c:v>
                </c:pt>
                <c:pt idx="68">
                  <c:v>6.5</c:v>
                </c:pt>
                <c:pt idx="69">
                  <c:v>6.5</c:v>
                </c:pt>
                <c:pt idx="70">
                  <c:v>6.5</c:v>
                </c:pt>
                <c:pt idx="71">
                  <c:v>6.5</c:v>
                </c:pt>
                <c:pt idx="72">
                  <c:v>6.5</c:v>
                </c:pt>
                <c:pt idx="73">
                  <c:v>6.5</c:v>
                </c:pt>
                <c:pt idx="74">
                  <c:v>6.5</c:v>
                </c:pt>
                <c:pt idx="75">
                  <c:v>6.5</c:v>
                </c:pt>
                <c:pt idx="76">
                  <c:v>6.5</c:v>
                </c:pt>
                <c:pt idx="77">
                  <c:v>6.5</c:v>
                </c:pt>
                <c:pt idx="78">
                  <c:v>6.5</c:v>
                </c:pt>
                <c:pt idx="79">
                  <c:v>6.5</c:v>
                </c:pt>
                <c:pt idx="80">
                  <c:v>6.5</c:v>
                </c:pt>
                <c:pt idx="81">
                  <c:v>6.5</c:v>
                </c:pt>
                <c:pt idx="82">
                  <c:v>6.5</c:v>
                </c:pt>
                <c:pt idx="83">
                  <c:v>6.5</c:v>
                </c:pt>
                <c:pt idx="84">
                  <c:v>6.5</c:v>
                </c:pt>
                <c:pt idx="85">
                  <c:v>6.5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6.5</c:v>
                </c:pt>
                <c:pt idx="104">
                  <c:v>6.5</c:v>
                </c:pt>
                <c:pt idx="105">
                  <c:v>6.5</c:v>
                </c:pt>
                <c:pt idx="106">
                  <c:v>6.5</c:v>
                </c:pt>
                <c:pt idx="107">
                  <c:v>6.5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6.5</c:v>
                </c:pt>
                <c:pt idx="112">
                  <c:v>6.5</c:v>
                </c:pt>
                <c:pt idx="113">
                  <c:v>6.5</c:v>
                </c:pt>
                <c:pt idx="114">
                  <c:v>6.5</c:v>
                </c:pt>
                <c:pt idx="115">
                  <c:v>6.5</c:v>
                </c:pt>
                <c:pt idx="116">
                  <c:v>6.5</c:v>
                </c:pt>
                <c:pt idx="117">
                  <c:v>6.5</c:v>
                </c:pt>
                <c:pt idx="118">
                  <c:v>6.5</c:v>
                </c:pt>
                <c:pt idx="119">
                  <c:v>6.5</c:v>
                </c:pt>
                <c:pt idx="120">
                  <c:v>6.5</c:v>
                </c:pt>
                <c:pt idx="121">
                  <c:v>6.5</c:v>
                </c:pt>
                <c:pt idx="122">
                  <c:v>6.5</c:v>
                </c:pt>
                <c:pt idx="123">
                  <c:v>6.5</c:v>
                </c:pt>
                <c:pt idx="124">
                  <c:v>6.5</c:v>
                </c:pt>
                <c:pt idx="125">
                  <c:v>6.5</c:v>
                </c:pt>
                <c:pt idx="126">
                  <c:v>6.5</c:v>
                </c:pt>
                <c:pt idx="127">
                  <c:v>6.5</c:v>
                </c:pt>
                <c:pt idx="128">
                  <c:v>6.5</c:v>
                </c:pt>
                <c:pt idx="129">
                  <c:v>6.5</c:v>
                </c:pt>
                <c:pt idx="130">
                  <c:v>6.5</c:v>
                </c:pt>
                <c:pt idx="131">
                  <c:v>6.5</c:v>
                </c:pt>
                <c:pt idx="132">
                  <c:v>6.5</c:v>
                </c:pt>
                <c:pt idx="133">
                  <c:v>6.5</c:v>
                </c:pt>
                <c:pt idx="134">
                  <c:v>6.5</c:v>
                </c:pt>
                <c:pt idx="135">
                  <c:v>6.5</c:v>
                </c:pt>
                <c:pt idx="136">
                  <c:v>6.5</c:v>
                </c:pt>
                <c:pt idx="137">
                  <c:v>6.5</c:v>
                </c:pt>
                <c:pt idx="138">
                  <c:v>6.5</c:v>
                </c:pt>
                <c:pt idx="139">
                  <c:v>6.5</c:v>
                </c:pt>
                <c:pt idx="140">
                  <c:v>6.5</c:v>
                </c:pt>
                <c:pt idx="141">
                  <c:v>6.5</c:v>
                </c:pt>
                <c:pt idx="142">
                  <c:v>6.5</c:v>
                </c:pt>
                <c:pt idx="143">
                  <c:v>6.5</c:v>
                </c:pt>
                <c:pt idx="144">
                  <c:v>6.5</c:v>
                </c:pt>
                <c:pt idx="145">
                  <c:v>6.5</c:v>
                </c:pt>
                <c:pt idx="146">
                  <c:v>6.5</c:v>
                </c:pt>
                <c:pt idx="147">
                  <c:v>6.5</c:v>
                </c:pt>
                <c:pt idx="148">
                  <c:v>6.5</c:v>
                </c:pt>
                <c:pt idx="149">
                  <c:v>6.5</c:v>
                </c:pt>
                <c:pt idx="150">
                  <c:v>6.5</c:v>
                </c:pt>
                <c:pt idx="151">
                  <c:v>6.5</c:v>
                </c:pt>
                <c:pt idx="152">
                  <c:v>6.5</c:v>
                </c:pt>
                <c:pt idx="153">
                  <c:v>6.5</c:v>
                </c:pt>
                <c:pt idx="154">
                  <c:v>6.5</c:v>
                </c:pt>
                <c:pt idx="155">
                  <c:v>6.5</c:v>
                </c:pt>
                <c:pt idx="156">
                  <c:v>6.5</c:v>
                </c:pt>
                <c:pt idx="157">
                  <c:v>6.5</c:v>
                </c:pt>
                <c:pt idx="158">
                  <c:v>6.5</c:v>
                </c:pt>
                <c:pt idx="159">
                  <c:v>6.5</c:v>
                </c:pt>
                <c:pt idx="160">
                  <c:v>6.5</c:v>
                </c:pt>
                <c:pt idx="161">
                  <c:v>6.5</c:v>
                </c:pt>
                <c:pt idx="162">
                  <c:v>6.5</c:v>
                </c:pt>
                <c:pt idx="163">
                  <c:v>6.5</c:v>
                </c:pt>
                <c:pt idx="164">
                  <c:v>6.5</c:v>
                </c:pt>
                <c:pt idx="165">
                  <c:v>6.5</c:v>
                </c:pt>
                <c:pt idx="166">
                  <c:v>6.5</c:v>
                </c:pt>
                <c:pt idx="167">
                  <c:v>6.5</c:v>
                </c:pt>
                <c:pt idx="168">
                  <c:v>6.5</c:v>
                </c:pt>
                <c:pt idx="169">
                  <c:v>6.5</c:v>
                </c:pt>
                <c:pt idx="170">
                  <c:v>6.5</c:v>
                </c:pt>
                <c:pt idx="171">
                  <c:v>6.5</c:v>
                </c:pt>
                <c:pt idx="172">
                  <c:v>6.5</c:v>
                </c:pt>
                <c:pt idx="173">
                  <c:v>6.5</c:v>
                </c:pt>
                <c:pt idx="174">
                  <c:v>6.5</c:v>
                </c:pt>
                <c:pt idx="175">
                  <c:v>6.5</c:v>
                </c:pt>
                <c:pt idx="176">
                  <c:v>6.5</c:v>
                </c:pt>
                <c:pt idx="177">
                  <c:v>6.5</c:v>
                </c:pt>
                <c:pt idx="178">
                  <c:v>6.5</c:v>
                </c:pt>
                <c:pt idx="179">
                  <c:v>6.5</c:v>
                </c:pt>
                <c:pt idx="18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5E-46B5-B9CE-0303CF78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33184"/>
        <c:axId val="244347264"/>
      </c:lineChart>
      <c:dateAx>
        <c:axId val="2443331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347264"/>
        <c:crosses val="autoZero"/>
        <c:auto val="1"/>
        <c:lblOffset val="100"/>
        <c:baseTimeUnit val="days"/>
      </c:dateAx>
      <c:valAx>
        <c:axId val="244347264"/>
        <c:scaling>
          <c:orientation val="minMax"/>
          <c:max val="9"/>
          <c:min val="6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333184"/>
        <c:crosses val="autoZero"/>
        <c:crossBetween val="between"/>
        <c:majorUnit val="1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pH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Diagram!$AR$63:$AR$74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Diagram!$AS$63:$AS$74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8.1</c:v>
                </c:pt>
                <c:pt idx="3">
                  <c:v>8</c:v>
                </c:pt>
                <c:pt idx="4">
                  <c:v>7.9</c:v>
                </c:pt>
                <c:pt idx="5">
                  <c:v>7.9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0-4A4F-A157-0D0295F6A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72224"/>
        <c:axId val="244374144"/>
      </c:lineChart>
      <c:dateAx>
        <c:axId val="244372224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374144"/>
        <c:crosses val="autoZero"/>
        <c:auto val="1"/>
        <c:lblOffset val="100"/>
        <c:baseTimeUnit val="days"/>
        <c:majorUnit val="1"/>
      </c:dateAx>
      <c:valAx>
        <c:axId val="244374144"/>
        <c:scaling>
          <c:orientation val="minMax"/>
          <c:max val="9"/>
          <c:min val="6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37222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Grumlighet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971685357512131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Statistik!$H$8</c:f>
              <c:strCache>
                <c:ptCount val="1"/>
                <c:pt idx="0">
                  <c:v>Gruml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Statistik!$H$9:$H$192</c:f>
              <c:numCache>
                <c:formatCode>0.0</c:formatCode>
                <c:ptCount val="184"/>
                <c:pt idx="1">
                  <c:v>3.2</c:v>
                </c:pt>
                <c:pt idx="2">
                  <c:v>3.9</c:v>
                </c:pt>
                <c:pt idx="3">
                  <c:v>4</c:v>
                </c:pt>
                <c:pt idx="4">
                  <c:v>2.9</c:v>
                </c:pt>
                <c:pt idx="5">
                  <c:v>3</c:v>
                </c:pt>
                <c:pt idx="6">
                  <c:v>2.2999999999999998</c:v>
                </c:pt>
                <c:pt idx="7">
                  <c:v>1.5</c:v>
                </c:pt>
                <c:pt idx="8">
                  <c:v>2</c:v>
                </c:pt>
                <c:pt idx="9">
                  <c:v>3.1</c:v>
                </c:pt>
                <c:pt idx="10">
                  <c:v>2.4</c:v>
                </c:pt>
                <c:pt idx="11">
                  <c:v>4.5999999999999996</c:v>
                </c:pt>
                <c:pt idx="12">
                  <c:v>4.2</c:v>
                </c:pt>
                <c:pt idx="13">
                  <c:v>6</c:v>
                </c:pt>
                <c:pt idx="14">
                  <c:v>9.4</c:v>
                </c:pt>
                <c:pt idx="15">
                  <c:v>6.8</c:v>
                </c:pt>
                <c:pt idx="16">
                  <c:v>3</c:v>
                </c:pt>
                <c:pt idx="17">
                  <c:v>2.5</c:v>
                </c:pt>
                <c:pt idx="18">
                  <c:v>2.4</c:v>
                </c:pt>
                <c:pt idx="19">
                  <c:v>1.2</c:v>
                </c:pt>
                <c:pt idx="20">
                  <c:v>2</c:v>
                </c:pt>
                <c:pt idx="21">
                  <c:v>4.3</c:v>
                </c:pt>
                <c:pt idx="22">
                  <c:v>3.4</c:v>
                </c:pt>
                <c:pt idx="23">
                  <c:v>3.2</c:v>
                </c:pt>
                <c:pt idx="24">
                  <c:v>10</c:v>
                </c:pt>
                <c:pt idx="25">
                  <c:v>7.2</c:v>
                </c:pt>
                <c:pt idx="26">
                  <c:v>4</c:v>
                </c:pt>
                <c:pt idx="27">
                  <c:v>4.4000000000000004</c:v>
                </c:pt>
                <c:pt idx="28">
                  <c:v>3.1</c:v>
                </c:pt>
                <c:pt idx="29">
                  <c:v>3.2</c:v>
                </c:pt>
                <c:pt idx="30">
                  <c:v>2.2999999999999998</c:v>
                </c:pt>
                <c:pt idx="31">
                  <c:v>1.1000000000000001</c:v>
                </c:pt>
                <c:pt idx="32">
                  <c:v>0.97</c:v>
                </c:pt>
                <c:pt idx="33">
                  <c:v>1.2</c:v>
                </c:pt>
                <c:pt idx="34">
                  <c:v>1.7</c:v>
                </c:pt>
                <c:pt idx="35">
                  <c:v>3.3</c:v>
                </c:pt>
                <c:pt idx="36">
                  <c:v>7.1</c:v>
                </c:pt>
                <c:pt idx="37">
                  <c:v>5.3</c:v>
                </c:pt>
                <c:pt idx="38">
                  <c:v>3.5</c:v>
                </c:pt>
                <c:pt idx="39">
                  <c:v>3.4</c:v>
                </c:pt>
                <c:pt idx="40">
                  <c:v>2.5</c:v>
                </c:pt>
                <c:pt idx="41">
                  <c:v>4</c:v>
                </c:pt>
                <c:pt idx="42">
                  <c:v>2.8</c:v>
                </c:pt>
                <c:pt idx="43">
                  <c:v>0.78</c:v>
                </c:pt>
                <c:pt idx="44">
                  <c:v>1</c:v>
                </c:pt>
                <c:pt idx="45">
                  <c:v>1.5</c:v>
                </c:pt>
                <c:pt idx="46">
                  <c:v>3.5</c:v>
                </c:pt>
                <c:pt idx="47">
                  <c:v>7.2</c:v>
                </c:pt>
                <c:pt idx="48">
                  <c:v>5.4</c:v>
                </c:pt>
                <c:pt idx="49">
                  <c:v>7.2</c:v>
                </c:pt>
                <c:pt idx="50">
                  <c:v>6.6</c:v>
                </c:pt>
                <c:pt idx="51">
                  <c:v>3.2</c:v>
                </c:pt>
                <c:pt idx="52">
                  <c:v>4.4000000000000004</c:v>
                </c:pt>
                <c:pt idx="53">
                  <c:v>4</c:v>
                </c:pt>
                <c:pt idx="54">
                  <c:v>1.3</c:v>
                </c:pt>
                <c:pt idx="56">
                  <c:v>0.64</c:v>
                </c:pt>
                <c:pt idx="57">
                  <c:v>1.2</c:v>
                </c:pt>
                <c:pt idx="58">
                  <c:v>4.9000000000000004</c:v>
                </c:pt>
                <c:pt idx="59">
                  <c:v>2.2999999999999998</c:v>
                </c:pt>
                <c:pt idx="60">
                  <c:v>8.1</c:v>
                </c:pt>
                <c:pt idx="61">
                  <c:v>9.3000000000000007</c:v>
                </c:pt>
                <c:pt idx="62">
                  <c:v>4</c:v>
                </c:pt>
                <c:pt idx="63">
                  <c:v>3.4</c:v>
                </c:pt>
                <c:pt idx="64">
                  <c:v>2.8</c:v>
                </c:pt>
                <c:pt idx="65">
                  <c:v>3</c:v>
                </c:pt>
                <c:pt idx="66">
                  <c:v>3.1</c:v>
                </c:pt>
                <c:pt idx="67">
                  <c:v>1.4</c:v>
                </c:pt>
                <c:pt idx="68">
                  <c:v>0.79</c:v>
                </c:pt>
                <c:pt idx="69">
                  <c:v>0.92</c:v>
                </c:pt>
                <c:pt idx="70">
                  <c:v>1.6</c:v>
                </c:pt>
                <c:pt idx="71">
                  <c:v>2.1</c:v>
                </c:pt>
                <c:pt idx="72">
                  <c:v>8.3000000000000007</c:v>
                </c:pt>
                <c:pt idx="73">
                  <c:v>4.3</c:v>
                </c:pt>
                <c:pt idx="74">
                  <c:v>6.4</c:v>
                </c:pt>
                <c:pt idx="75">
                  <c:v>3.4</c:v>
                </c:pt>
                <c:pt idx="76">
                  <c:v>2.1</c:v>
                </c:pt>
                <c:pt idx="77">
                  <c:v>2.4</c:v>
                </c:pt>
                <c:pt idx="78">
                  <c:v>1.4</c:v>
                </c:pt>
                <c:pt idx="79">
                  <c:v>6.7</c:v>
                </c:pt>
                <c:pt idx="80">
                  <c:v>0.75</c:v>
                </c:pt>
                <c:pt idx="81">
                  <c:v>1.6</c:v>
                </c:pt>
                <c:pt idx="82">
                  <c:v>1.2</c:v>
                </c:pt>
                <c:pt idx="83">
                  <c:v>10</c:v>
                </c:pt>
                <c:pt idx="84">
                  <c:v>2.2999999999999998</c:v>
                </c:pt>
                <c:pt idx="85">
                  <c:v>2.8</c:v>
                </c:pt>
                <c:pt idx="86">
                  <c:v>1.8</c:v>
                </c:pt>
                <c:pt idx="87">
                  <c:v>2.9</c:v>
                </c:pt>
                <c:pt idx="88">
                  <c:v>2.6</c:v>
                </c:pt>
                <c:pt idx="89">
                  <c:v>2.2000000000000002</c:v>
                </c:pt>
                <c:pt idx="90">
                  <c:v>1.3</c:v>
                </c:pt>
                <c:pt idx="91">
                  <c:v>0.76</c:v>
                </c:pt>
                <c:pt idx="92">
                  <c:v>1.5</c:v>
                </c:pt>
                <c:pt idx="93">
                  <c:v>2.7</c:v>
                </c:pt>
                <c:pt idx="94">
                  <c:v>1.8</c:v>
                </c:pt>
                <c:pt idx="95">
                  <c:v>2.9</c:v>
                </c:pt>
                <c:pt idx="96">
                  <c:v>5.4</c:v>
                </c:pt>
                <c:pt idx="97">
                  <c:v>7.9</c:v>
                </c:pt>
                <c:pt idx="98">
                  <c:v>5.8</c:v>
                </c:pt>
                <c:pt idx="99">
                  <c:v>19</c:v>
                </c:pt>
                <c:pt idx="100">
                  <c:v>5.6</c:v>
                </c:pt>
                <c:pt idx="101">
                  <c:v>2.8</c:v>
                </c:pt>
                <c:pt idx="102">
                  <c:v>0.84</c:v>
                </c:pt>
                <c:pt idx="103">
                  <c:v>0.9</c:v>
                </c:pt>
                <c:pt idx="104">
                  <c:v>1.2</c:v>
                </c:pt>
                <c:pt idx="105">
                  <c:v>1.1000000000000001</c:v>
                </c:pt>
                <c:pt idx="106">
                  <c:v>1.1000000000000001</c:v>
                </c:pt>
                <c:pt idx="107">
                  <c:v>1.5</c:v>
                </c:pt>
                <c:pt idx="108">
                  <c:v>2.8</c:v>
                </c:pt>
                <c:pt idx="109">
                  <c:v>3</c:v>
                </c:pt>
                <c:pt idx="110">
                  <c:v>5.3</c:v>
                </c:pt>
                <c:pt idx="111">
                  <c:v>6.4</c:v>
                </c:pt>
                <c:pt idx="112">
                  <c:v>2.4</c:v>
                </c:pt>
                <c:pt idx="113">
                  <c:v>2.2999999999999998</c:v>
                </c:pt>
                <c:pt idx="114">
                  <c:v>1.1000000000000001</c:v>
                </c:pt>
                <c:pt idx="115">
                  <c:v>0.82</c:v>
                </c:pt>
                <c:pt idx="116">
                  <c:v>1.2</c:v>
                </c:pt>
                <c:pt idx="117">
                  <c:v>0.96</c:v>
                </c:pt>
                <c:pt idx="118">
                  <c:v>1.3</c:v>
                </c:pt>
                <c:pt idx="119">
                  <c:v>1.75</c:v>
                </c:pt>
                <c:pt idx="120">
                  <c:v>17.399999999999999</c:v>
                </c:pt>
                <c:pt idx="121">
                  <c:v>14</c:v>
                </c:pt>
                <c:pt idx="122">
                  <c:v>19</c:v>
                </c:pt>
                <c:pt idx="123">
                  <c:v>4.0999999999999996</c:v>
                </c:pt>
                <c:pt idx="124">
                  <c:v>3.5</c:v>
                </c:pt>
                <c:pt idx="125">
                  <c:v>3.3</c:v>
                </c:pt>
                <c:pt idx="126">
                  <c:v>1.9</c:v>
                </c:pt>
                <c:pt idx="127">
                  <c:v>0.5</c:v>
                </c:pt>
                <c:pt idx="128">
                  <c:v>1.3</c:v>
                </c:pt>
                <c:pt idx="129">
                  <c:v>0.67</c:v>
                </c:pt>
                <c:pt idx="130">
                  <c:v>0.64</c:v>
                </c:pt>
                <c:pt idx="131">
                  <c:v>1.5</c:v>
                </c:pt>
                <c:pt idx="132">
                  <c:v>2.7</c:v>
                </c:pt>
                <c:pt idx="133">
                  <c:v>8</c:v>
                </c:pt>
                <c:pt idx="134">
                  <c:v>4.0999999999999996</c:v>
                </c:pt>
                <c:pt idx="135">
                  <c:v>2.9</c:v>
                </c:pt>
                <c:pt idx="136">
                  <c:v>3.9</c:v>
                </c:pt>
                <c:pt idx="137">
                  <c:v>2.6</c:v>
                </c:pt>
                <c:pt idx="138">
                  <c:v>1.2</c:v>
                </c:pt>
                <c:pt idx="139">
                  <c:v>0.64</c:v>
                </c:pt>
                <c:pt idx="140">
                  <c:v>0.42</c:v>
                </c:pt>
                <c:pt idx="141">
                  <c:v>0.76</c:v>
                </c:pt>
                <c:pt idx="142">
                  <c:v>0.47</c:v>
                </c:pt>
                <c:pt idx="143">
                  <c:v>7</c:v>
                </c:pt>
                <c:pt idx="144">
                  <c:v>2.6</c:v>
                </c:pt>
                <c:pt idx="145">
                  <c:v>4.3</c:v>
                </c:pt>
                <c:pt idx="146">
                  <c:v>3.7</c:v>
                </c:pt>
                <c:pt idx="147">
                  <c:v>3.6</c:v>
                </c:pt>
                <c:pt idx="148">
                  <c:v>1.7</c:v>
                </c:pt>
                <c:pt idx="149">
                  <c:v>2</c:v>
                </c:pt>
                <c:pt idx="150">
                  <c:v>1.1000000000000001</c:v>
                </c:pt>
                <c:pt idx="151">
                  <c:v>0.68</c:v>
                </c:pt>
                <c:pt idx="152">
                  <c:v>0.52</c:v>
                </c:pt>
                <c:pt idx="153">
                  <c:v>0.64</c:v>
                </c:pt>
                <c:pt idx="154">
                  <c:v>0.85</c:v>
                </c:pt>
                <c:pt idx="155">
                  <c:v>1.4</c:v>
                </c:pt>
                <c:pt idx="156">
                  <c:v>6.1</c:v>
                </c:pt>
                <c:pt idx="157">
                  <c:v>5.7</c:v>
                </c:pt>
                <c:pt idx="158">
                  <c:v>2.6</c:v>
                </c:pt>
                <c:pt idx="159">
                  <c:v>4.4000000000000004</c:v>
                </c:pt>
                <c:pt idx="160">
                  <c:v>2.5</c:v>
                </c:pt>
                <c:pt idx="161">
                  <c:v>2.5</c:v>
                </c:pt>
                <c:pt idx="162">
                  <c:v>0.93</c:v>
                </c:pt>
                <c:pt idx="163">
                  <c:v>0.87</c:v>
                </c:pt>
                <c:pt idx="164">
                  <c:v>0.77</c:v>
                </c:pt>
                <c:pt idx="165">
                  <c:v>1.5</c:v>
                </c:pt>
                <c:pt idx="166">
                  <c:v>2.2000000000000002</c:v>
                </c:pt>
                <c:pt idx="167">
                  <c:v>3.2</c:v>
                </c:pt>
                <c:pt idx="168">
                  <c:v>3.7</c:v>
                </c:pt>
                <c:pt idx="169">
                  <c:v>4.5999999999999996</c:v>
                </c:pt>
                <c:pt idx="170">
                  <c:v>8.9</c:v>
                </c:pt>
                <c:pt idx="171">
                  <c:v>2</c:v>
                </c:pt>
                <c:pt idx="172">
                  <c:v>4.5999999999999996</c:v>
                </c:pt>
                <c:pt idx="173">
                  <c:v>2.2999999999999998</c:v>
                </c:pt>
                <c:pt idx="174">
                  <c:v>1.2</c:v>
                </c:pt>
                <c:pt idx="175">
                  <c:v>0.82</c:v>
                </c:pt>
                <c:pt idx="176">
                  <c:v>1.4</c:v>
                </c:pt>
                <c:pt idx="177">
                  <c:v>1.3</c:v>
                </c:pt>
                <c:pt idx="178">
                  <c:v>2.5</c:v>
                </c:pt>
                <c:pt idx="179">
                  <c:v>2.1</c:v>
                </c:pt>
                <c:pt idx="18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D-474E-8CFA-F504394F8DE2}"/>
            </c:ext>
          </c:extLst>
        </c:ser>
        <c:ser>
          <c:idx val="1"/>
          <c:order val="1"/>
          <c:tx>
            <c:strRef>
              <c:f>Statistik!$AI$8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Statistik!$AI$9:$AI$192</c:f>
              <c:numCache>
                <c:formatCode>0.0</c:formatCode>
                <c:ptCount val="184"/>
                <c:pt idx="0">
                  <c:v>3.3601117318435763</c:v>
                </c:pt>
                <c:pt idx="1">
                  <c:v>3.3601117318435763</c:v>
                </c:pt>
                <c:pt idx="2">
                  <c:v>3.3601117318435763</c:v>
                </c:pt>
                <c:pt idx="3">
                  <c:v>3.3601117318435763</c:v>
                </c:pt>
                <c:pt idx="4">
                  <c:v>3.3601117318435763</c:v>
                </c:pt>
                <c:pt idx="5">
                  <c:v>3.3601117318435763</c:v>
                </c:pt>
                <c:pt idx="6">
                  <c:v>3.3601117318435763</c:v>
                </c:pt>
                <c:pt idx="7">
                  <c:v>3.3601117318435763</c:v>
                </c:pt>
                <c:pt idx="8">
                  <c:v>3.3601117318435763</c:v>
                </c:pt>
                <c:pt idx="9">
                  <c:v>3.3601117318435763</c:v>
                </c:pt>
                <c:pt idx="10">
                  <c:v>3.3601117318435763</c:v>
                </c:pt>
                <c:pt idx="11">
                  <c:v>3.3601117318435763</c:v>
                </c:pt>
                <c:pt idx="12">
                  <c:v>3.3601117318435763</c:v>
                </c:pt>
                <c:pt idx="13">
                  <c:v>3.3601117318435763</c:v>
                </c:pt>
                <c:pt idx="14">
                  <c:v>3.3601117318435763</c:v>
                </c:pt>
                <c:pt idx="15">
                  <c:v>3.3601117318435763</c:v>
                </c:pt>
                <c:pt idx="16">
                  <c:v>3.3601117318435763</c:v>
                </c:pt>
                <c:pt idx="17">
                  <c:v>3.3601117318435763</c:v>
                </c:pt>
                <c:pt idx="18">
                  <c:v>3.3601117318435763</c:v>
                </c:pt>
                <c:pt idx="19">
                  <c:v>3.3601117318435763</c:v>
                </c:pt>
                <c:pt idx="20">
                  <c:v>3.3601117318435763</c:v>
                </c:pt>
                <c:pt idx="21">
                  <c:v>3.3601117318435763</c:v>
                </c:pt>
                <c:pt idx="22">
                  <c:v>3.3601117318435763</c:v>
                </c:pt>
                <c:pt idx="23">
                  <c:v>3.3601117318435763</c:v>
                </c:pt>
                <c:pt idx="24">
                  <c:v>3.3601117318435763</c:v>
                </c:pt>
                <c:pt idx="25">
                  <c:v>3.3601117318435763</c:v>
                </c:pt>
                <c:pt idx="26">
                  <c:v>3.3601117318435763</c:v>
                </c:pt>
                <c:pt idx="27">
                  <c:v>3.3601117318435763</c:v>
                </c:pt>
                <c:pt idx="28">
                  <c:v>3.3601117318435763</c:v>
                </c:pt>
                <c:pt idx="29">
                  <c:v>3.3601117318435763</c:v>
                </c:pt>
                <c:pt idx="30">
                  <c:v>3.3601117318435763</c:v>
                </c:pt>
                <c:pt idx="31">
                  <c:v>3.3601117318435763</c:v>
                </c:pt>
                <c:pt idx="32">
                  <c:v>3.3601117318435763</c:v>
                </c:pt>
                <c:pt idx="33">
                  <c:v>3.3601117318435763</c:v>
                </c:pt>
                <c:pt idx="34">
                  <c:v>3.3601117318435763</c:v>
                </c:pt>
                <c:pt idx="35">
                  <c:v>3.3601117318435763</c:v>
                </c:pt>
                <c:pt idx="36">
                  <c:v>3.3601117318435763</c:v>
                </c:pt>
                <c:pt idx="37">
                  <c:v>3.3601117318435763</c:v>
                </c:pt>
                <c:pt idx="38">
                  <c:v>3.3601117318435763</c:v>
                </c:pt>
                <c:pt idx="39">
                  <c:v>3.3601117318435763</c:v>
                </c:pt>
                <c:pt idx="40">
                  <c:v>3.3601117318435763</c:v>
                </c:pt>
                <c:pt idx="41">
                  <c:v>3.3601117318435763</c:v>
                </c:pt>
                <c:pt idx="42">
                  <c:v>3.3601117318435763</c:v>
                </c:pt>
                <c:pt idx="43">
                  <c:v>3.3601117318435763</c:v>
                </c:pt>
                <c:pt idx="44">
                  <c:v>3.3601117318435763</c:v>
                </c:pt>
                <c:pt idx="45">
                  <c:v>3.3601117318435763</c:v>
                </c:pt>
                <c:pt idx="46">
                  <c:v>3.3601117318435763</c:v>
                </c:pt>
                <c:pt idx="47">
                  <c:v>3.3601117318435763</c:v>
                </c:pt>
                <c:pt idx="48">
                  <c:v>3.3601117318435763</c:v>
                </c:pt>
                <c:pt idx="49">
                  <c:v>3.3601117318435763</c:v>
                </c:pt>
                <c:pt idx="50">
                  <c:v>3.3601117318435763</c:v>
                </c:pt>
                <c:pt idx="51">
                  <c:v>3.3601117318435763</c:v>
                </c:pt>
                <c:pt idx="52">
                  <c:v>3.3601117318435763</c:v>
                </c:pt>
                <c:pt idx="53">
                  <c:v>3.3601117318435763</c:v>
                </c:pt>
                <c:pt idx="54">
                  <c:v>3.3601117318435763</c:v>
                </c:pt>
                <c:pt idx="55">
                  <c:v>3.3601117318435763</c:v>
                </c:pt>
                <c:pt idx="56">
                  <c:v>3.3601117318435763</c:v>
                </c:pt>
                <c:pt idx="57">
                  <c:v>3.3601117318435763</c:v>
                </c:pt>
                <c:pt idx="58">
                  <c:v>3.3601117318435763</c:v>
                </c:pt>
                <c:pt idx="59">
                  <c:v>3.3601117318435763</c:v>
                </c:pt>
                <c:pt idx="60">
                  <c:v>3.3601117318435763</c:v>
                </c:pt>
                <c:pt idx="61">
                  <c:v>3.3601117318435763</c:v>
                </c:pt>
                <c:pt idx="62">
                  <c:v>3.3601117318435763</c:v>
                </c:pt>
                <c:pt idx="63">
                  <c:v>3.3601117318435763</c:v>
                </c:pt>
                <c:pt idx="64">
                  <c:v>3.3601117318435763</c:v>
                </c:pt>
                <c:pt idx="65">
                  <c:v>3.3601117318435763</c:v>
                </c:pt>
                <c:pt idx="66">
                  <c:v>3.3601117318435763</c:v>
                </c:pt>
                <c:pt idx="67">
                  <c:v>3.3601117318435763</c:v>
                </c:pt>
                <c:pt idx="68">
                  <c:v>3.3601117318435763</c:v>
                </c:pt>
                <c:pt idx="69">
                  <c:v>3.3601117318435763</c:v>
                </c:pt>
                <c:pt idx="70">
                  <c:v>3.3601117318435763</c:v>
                </c:pt>
                <c:pt idx="71">
                  <c:v>3.3601117318435763</c:v>
                </c:pt>
                <c:pt idx="72">
                  <c:v>3.3601117318435763</c:v>
                </c:pt>
                <c:pt idx="73">
                  <c:v>3.3601117318435763</c:v>
                </c:pt>
                <c:pt idx="74">
                  <c:v>3.3601117318435763</c:v>
                </c:pt>
                <c:pt idx="75">
                  <c:v>3.3601117318435763</c:v>
                </c:pt>
                <c:pt idx="76">
                  <c:v>3.3601117318435763</c:v>
                </c:pt>
                <c:pt idx="77">
                  <c:v>3.3601117318435763</c:v>
                </c:pt>
                <c:pt idx="78">
                  <c:v>3.3601117318435763</c:v>
                </c:pt>
                <c:pt idx="79">
                  <c:v>3.3601117318435763</c:v>
                </c:pt>
                <c:pt idx="80">
                  <c:v>3.3601117318435763</c:v>
                </c:pt>
                <c:pt idx="81">
                  <c:v>3.3601117318435763</c:v>
                </c:pt>
                <c:pt idx="82">
                  <c:v>3.3601117318435763</c:v>
                </c:pt>
                <c:pt idx="83">
                  <c:v>3.3601117318435763</c:v>
                </c:pt>
                <c:pt idx="84">
                  <c:v>3.3601117318435763</c:v>
                </c:pt>
                <c:pt idx="85">
                  <c:v>3.3601117318435763</c:v>
                </c:pt>
                <c:pt idx="86">
                  <c:v>3.3601117318435763</c:v>
                </c:pt>
                <c:pt idx="87">
                  <c:v>3.3601117318435763</c:v>
                </c:pt>
                <c:pt idx="88">
                  <c:v>3.3601117318435763</c:v>
                </c:pt>
                <c:pt idx="89">
                  <c:v>3.3601117318435763</c:v>
                </c:pt>
                <c:pt idx="90">
                  <c:v>3.3601117318435763</c:v>
                </c:pt>
                <c:pt idx="91">
                  <c:v>3.3601117318435763</c:v>
                </c:pt>
                <c:pt idx="92">
                  <c:v>3.3601117318435763</c:v>
                </c:pt>
                <c:pt idx="93">
                  <c:v>3.3601117318435763</c:v>
                </c:pt>
                <c:pt idx="94">
                  <c:v>3.3601117318435763</c:v>
                </c:pt>
                <c:pt idx="95">
                  <c:v>3.3601117318435763</c:v>
                </c:pt>
                <c:pt idx="96">
                  <c:v>3.3601117318435763</c:v>
                </c:pt>
                <c:pt idx="97">
                  <c:v>3.3601117318435763</c:v>
                </c:pt>
                <c:pt idx="98">
                  <c:v>3.3601117318435763</c:v>
                </c:pt>
                <c:pt idx="99">
                  <c:v>3.3601117318435763</c:v>
                </c:pt>
                <c:pt idx="100">
                  <c:v>3.3601117318435763</c:v>
                </c:pt>
                <c:pt idx="101">
                  <c:v>3.3601117318435763</c:v>
                </c:pt>
                <c:pt idx="102">
                  <c:v>3.3601117318435763</c:v>
                </c:pt>
                <c:pt idx="103">
                  <c:v>3.3601117318435763</c:v>
                </c:pt>
                <c:pt idx="104">
                  <c:v>3.3601117318435763</c:v>
                </c:pt>
                <c:pt idx="105">
                  <c:v>3.3601117318435763</c:v>
                </c:pt>
                <c:pt idx="106">
                  <c:v>3.3601117318435763</c:v>
                </c:pt>
                <c:pt idx="107">
                  <c:v>3.3601117318435763</c:v>
                </c:pt>
                <c:pt idx="108">
                  <c:v>3.3601117318435763</c:v>
                </c:pt>
                <c:pt idx="109">
                  <c:v>3.3601117318435763</c:v>
                </c:pt>
                <c:pt idx="110">
                  <c:v>3.3601117318435763</c:v>
                </c:pt>
                <c:pt idx="111">
                  <c:v>3.3601117318435763</c:v>
                </c:pt>
                <c:pt idx="112">
                  <c:v>3.3601117318435763</c:v>
                </c:pt>
                <c:pt idx="113">
                  <c:v>3.3601117318435763</c:v>
                </c:pt>
                <c:pt idx="114">
                  <c:v>3.3601117318435763</c:v>
                </c:pt>
                <c:pt idx="115">
                  <c:v>3.3601117318435763</c:v>
                </c:pt>
                <c:pt idx="116">
                  <c:v>3.3601117318435763</c:v>
                </c:pt>
                <c:pt idx="117">
                  <c:v>3.3601117318435763</c:v>
                </c:pt>
                <c:pt idx="118">
                  <c:v>3.3601117318435763</c:v>
                </c:pt>
                <c:pt idx="119">
                  <c:v>3.3601117318435763</c:v>
                </c:pt>
                <c:pt idx="120">
                  <c:v>3.3601117318435763</c:v>
                </c:pt>
                <c:pt idx="121">
                  <c:v>3.3601117318435763</c:v>
                </c:pt>
                <c:pt idx="122">
                  <c:v>3.3601117318435763</c:v>
                </c:pt>
                <c:pt idx="123">
                  <c:v>3.3601117318435763</c:v>
                </c:pt>
                <c:pt idx="124">
                  <c:v>3.3601117318435763</c:v>
                </c:pt>
                <c:pt idx="125">
                  <c:v>3.3601117318435763</c:v>
                </c:pt>
                <c:pt idx="126">
                  <c:v>3.3601117318435763</c:v>
                </c:pt>
                <c:pt idx="127">
                  <c:v>3.3601117318435763</c:v>
                </c:pt>
                <c:pt idx="128">
                  <c:v>3.3601117318435763</c:v>
                </c:pt>
                <c:pt idx="129">
                  <c:v>3.3601117318435763</c:v>
                </c:pt>
                <c:pt idx="130">
                  <c:v>3.3601117318435763</c:v>
                </c:pt>
                <c:pt idx="131">
                  <c:v>3.3601117318435763</c:v>
                </c:pt>
                <c:pt idx="132">
                  <c:v>3.3601117318435763</c:v>
                </c:pt>
                <c:pt idx="133">
                  <c:v>3.3601117318435763</c:v>
                </c:pt>
                <c:pt idx="134">
                  <c:v>3.3601117318435763</c:v>
                </c:pt>
                <c:pt idx="135">
                  <c:v>3.3601117318435763</c:v>
                </c:pt>
                <c:pt idx="136">
                  <c:v>3.3601117318435763</c:v>
                </c:pt>
                <c:pt idx="137">
                  <c:v>3.3601117318435763</c:v>
                </c:pt>
                <c:pt idx="138">
                  <c:v>3.3601117318435763</c:v>
                </c:pt>
                <c:pt idx="139">
                  <c:v>3.3601117318435763</c:v>
                </c:pt>
                <c:pt idx="140">
                  <c:v>3.3601117318435763</c:v>
                </c:pt>
                <c:pt idx="141">
                  <c:v>3.3601117318435763</c:v>
                </c:pt>
                <c:pt idx="142">
                  <c:v>3.3601117318435763</c:v>
                </c:pt>
                <c:pt idx="143">
                  <c:v>3.3601117318435763</c:v>
                </c:pt>
                <c:pt idx="144">
                  <c:v>3.3601117318435763</c:v>
                </c:pt>
                <c:pt idx="145">
                  <c:v>3.3601117318435763</c:v>
                </c:pt>
                <c:pt idx="146">
                  <c:v>3.3601117318435763</c:v>
                </c:pt>
                <c:pt idx="147">
                  <c:v>3.3601117318435763</c:v>
                </c:pt>
                <c:pt idx="148">
                  <c:v>3.3601117318435763</c:v>
                </c:pt>
                <c:pt idx="149">
                  <c:v>3.3601117318435763</c:v>
                </c:pt>
                <c:pt idx="150">
                  <c:v>3.3601117318435763</c:v>
                </c:pt>
                <c:pt idx="151">
                  <c:v>3.3601117318435763</c:v>
                </c:pt>
                <c:pt idx="152">
                  <c:v>3.3601117318435763</c:v>
                </c:pt>
                <c:pt idx="153">
                  <c:v>3.3601117318435763</c:v>
                </c:pt>
                <c:pt idx="154">
                  <c:v>3.3601117318435763</c:v>
                </c:pt>
                <c:pt idx="155">
                  <c:v>3.3601117318435763</c:v>
                </c:pt>
                <c:pt idx="156">
                  <c:v>3.3601117318435763</c:v>
                </c:pt>
                <c:pt idx="157">
                  <c:v>3.3601117318435763</c:v>
                </c:pt>
                <c:pt idx="158">
                  <c:v>3.3601117318435763</c:v>
                </c:pt>
                <c:pt idx="159">
                  <c:v>3.3601117318435763</c:v>
                </c:pt>
                <c:pt idx="160">
                  <c:v>3.3601117318435763</c:v>
                </c:pt>
                <c:pt idx="161">
                  <c:v>3.3601117318435763</c:v>
                </c:pt>
                <c:pt idx="162">
                  <c:v>3.3601117318435763</c:v>
                </c:pt>
                <c:pt idx="163">
                  <c:v>3.3601117318435763</c:v>
                </c:pt>
                <c:pt idx="164">
                  <c:v>3.3601117318435763</c:v>
                </c:pt>
                <c:pt idx="165">
                  <c:v>3.3601117318435763</c:v>
                </c:pt>
                <c:pt idx="166">
                  <c:v>3.3601117318435763</c:v>
                </c:pt>
                <c:pt idx="167">
                  <c:v>3.3601117318435763</c:v>
                </c:pt>
                <c:pt idx="168">
                  <c:v>3.3601117318435763</c:v>
                </c:pt>
                <c:pt idx="169">
                  <c:v>3.3601117318435763</c:v>
                </c:pt>
                <c:pt idx="170">
                  <c:v>3.3601117318435763</c:v>
                </c:pt>
                <c:pt idx="171">
                  <c:v>3.3601117318435763</c:v>
                </c:pt>
                <c:pt idx="172">
                  <c:v>3.3601117318435763</c:v>
                </c:pt>
                <c:pt idx="173">
                  <c:v>3.3601117318435763</c:v>
                </c:pt>
                <c:pt idx="174">
                  <c:v>3.3601117318435763</c:v>
                </c:pt>
                <c:pt idx="175">
                  <c:v>3.3601117318435763</c:v>
                </c:pt>
                <c:pt idx="176">
                  <c:v>3.3601117318435763</c:v>
                </c:pt>
                <c:pt idx="177">
                  <c:v>3.3601117318435763</c:v>
                </c:pt>
                <c:pt idx="178">
                  <c:v>3.3601117318435763</c:v>
                </c:pt>
                <c:pt idx="179">
                  <c:v>3.3601117318435763</c:v>
                </c:pt>
                <c:pt idx="180">
                  <c:v>3.3601117318435763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D-474E-8CFA-F504394F8DE2}"/>
            </c:ext>
          </c:extLst>
        </c:ser>
        <c:ser>
          <c:idx val="2"/>
          <c:order val="2"/>
          <c:tx>
            <c:strRef>
              <c:f>Statistik!$AJ$8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Statistik!$AJ$9:$AJ$192</c:f>
              <c:numCache>
                <c:formatCode>0.0</c:formatCode>
                <c:ptCount val="184"/>
                <c:pt idx="0">
                  <c:v>6.3851512410714601</c:v>
                </c:pt>
                <c:pt idx="1">
                  <c:v>6.3851512410714601</c:v>
                </c:pt>
                <c:pt idx="2">
                  <c:v>6.3851512410714601</c:v>
                </c:pt>
                <c:pt idx="3">
                  <c:v>6.3851512410714601</c:v>
                </c:pt>
                <c:pt idx="4">
                  <c:v>6.3851512410714601</c:v>
                </c:pt>
                <c:pt idx="5">
                  <c:v>6.3851512410714601</c:v>
                </c:pt>
                <c:pt idx="6">
                  <c:v>6.3851512410714601</c:v>
                </c:pt>
                <c:pt idx="7">
                  <c:v>6.3851512410714601</c:v>
                </c:pt>
                <c:pt idx="8">
                  <c:v>6.3851512410714601</c:v>
                </c:pt>
                <c:pt idx="9">
                  <c:v>6.3851512410714601</c:v>
                </c:pt>
                <c:pt idx="10">
                  <c:v>6.3851512410714601</c:v>
                </c:pt>
                <c:pt idx="11">
                  <c:v>6.3851512410714601</c:v>
                </c:pt>
                <c:pt idx="12">
                  <c:v>6.3851512410714601</c:v>
                </c:pt>
                <c:pt idx="13">
                  <c:v>6.3851512410714601</c:v>
                </c:pt>
                <c:pt idx="14">
                  <c:v>6.3851512410714601</c:v>
                </c:pt>
                <c:pt idx="15">
                  <c:v>6.3851512410714601</c:v>
                </c:pt>
                <c:pt idx="16">
                  <c:v>6.3851512410714601</c:v>
                </c:pt>
                <c:pt idx="17">
                  <c:v>6.3851512410714601</c:v>
                </c:pt>
                <c:pt idx="18">
                  <c:v>6.3851512410714601</c:v>
                </c:pt>
                <c:pt idx="19">
                  <c:v>6.3851512410714601</c:v>
                </c:pt>
                <c:pt idx="20">
                  <c:v>6.3851512410714601</c:v>
                </c:pt>
                <c:pt idx="21">
                  <c:v>6.3851512410714601</c:v>
                </c:pt>
                <c:pt idx="22">
                  <c:v>6.3851512410714601</c:v>
                </c:pt>
                <c:pt idx="23">
                  <c:v>6.3851512410714601</c:v>
                </c:pt>
                <c:pt idx="24">
                  <c:v>6.3851512410714601</c:v>
                </c:pt>
                <c:pt idx="25">
                  <c:v>6.3851512410714601</c:v>
                </c:pt>
                <c:pt idx="26">
                  <c:v>6.3851512410714601</c:v>
                </c:pt>
                <c:pt idx="27">
                  <c:v>6.3851512410714601</c:v>
                </c:pt>
                <c:pt idx="28">
                  <c:v>6.3851512410714601</c:v>
                </c:pt>
                <c:pt idx="29">
                  <c:v>6.3851512410714601</c:v>
                </c:pt>
                <c:pt idx="30">
                  <c:v>6.3851512410714601</c:v>
                </c:pt>
                <c:pt idx="31">
                  <c:v>6.3851512410714601</c:v>
                </c:pt>
                <c:pt idx="32">
                  <c:v>6.3851512410714601</c:v>
                </c:pt>
                <c:pt idx="33">
                  <c:v>6.3851512410714601</c:v>
                </c:pt>
                <c:pt idx="34">
                  <c:v>6.3851512410714601</c:v>
                </c:pt>
                <c:pt idx="35">
                  <c:v>6.3851512410714601</c:v>
                </c:pt>
                <c:pt idx="36">
                  <c:v>6.3851512410714601</c:v>
                </c:pt>
                <c:pt idx="37">
                  <c:v>6.3851512410714601</c:v>
                </c:pt>
                <c:pt idx="38">
                  <c:v>6.3851512410714601</c:v>
                </c:pt>
                <c:pt idx="39">
                  <c:v>6.3851512410714601</c:v>
                </c:pt>
                <c:pt idx="40">
                  <c:v>6.3851512410714601</c:v>
                </c:pt>
                <c:pt idx="41">
                  <c:v>6.3851512410714601</c:v>
                </c:pt>
                <c:pt idx="42">
                  <c:v>6.3851512410714601</c:v>
                </c:pt>
                <c:pt idx="43">
                  <c:v>6.3851512410714601</c:v>
                </c:pt>
                <c:pt idx="44">
                  <c:v>6.3851512410714601</c:v>
                </c:pt>
                <c:pt idx="45">
                  <c:v>6.3851512410714601</c:v>
                </c:pt>
                <c:pt idx="46">
                  <c:v>6.3851512410714601</c:v>
                </c:pt>
                <c:pt idx="47">
                  <c:v>6.3851512410714601</c:v>
                </c:pt>
                <c:pt idx="48">
                  <c:v>6.3851512410714601</c:v>
                </c:pt>
                <c:pt idx="49">
                  <c:v>6.3851512410714601</c:v>
                </c:pt>
                <c:pt idx="50">
                  <c:v>6.3851512410714601</c:v>
                </c:pt>
                <c:pt idx="51">
                  <c:v>6.3851512410714601</c:v>
                </c:pt>
                <c:pt idx="52">
                  <c:v>6.3851512410714601</c:v>
                </c:pt>
                <c:pt idx="53">
                  <c:v>6.3851512410714601</c:v>
                </c:pt>
                <c:pt idx="54">
                  <c:v>6.3851512410714601</c:v>
                </c:pt>
                <c:pt idx="55">
                  <c:v>6.3851512410714601</c:v>
                </c:pt>
                <c:pt idx="56">
                  <c:v>6.3851512410714601</c:v>
                </c:pt>
                <c:pt idx="57">
                  <c:v>6.3851512410714601</c:v>
                </c:pt>
                <c:pt idx="58">
                  <c:v>6.3851512410714601</c:v>
                </c:pt>
                <c:pt idx="59">
                  <c:v>6.3851512410714601</c:v>
                </c:pt>
                <c:pt idx="60">
                  <c:v>6.3851512410714601</c:v>
                </c:pt>
                <c:pt idx="61">
                  <c:v>6.3851512410714601</c:v>
                </c:pt>
                <c:pt idx="62">
                  <c:v>6.3851512410714601</c:v>
                </c:pt>
                <c:pt idx="63">
                  <c:v>6.3851512410714601</c:v>
                </c:pt>
                <c:pt idx="64">
                  <c:v>6.3851512410714601</c:v>
                </c:pt>
                <c:pt idx="65">
                  <c:v>6.3851512410714601</c:v>
                </c:pt>
                <c:pt idx="66">
                  <c:v>6.3851512410714601</c:v>
                </c:pt>
                <c:pt idx="67">
                  <c:v>6.3851512410714601</c:v>
                </c:pt>
                <c:pt idx="68">
                  <c:v>6.3851512410714601</c:v>
                </c:pt>
                <c:pt idx="69">
                  <c:v>6.3851512410714601</c:v>
                </c:pt>
                <c:pt idx="70">
                  <c:v>6.3851512410714601</c:v>
                </c:pt>
                <c:pt idx="71">
                  <c:v>6.3851512410714601</c:v>
                </c:pt>
                <c:pt idx="72">
                  <c:v>6.3851512410714601</c:v>
                </c:pt>
                <c:pt idx="73">
                  <c:v>6.3851512410714601</c:v>
                </c:pt>
                <c:pt idx="74">
                  <c:v>6.3851512410714601</c:v>
                </c:pt>
                <c:pt idx="75">
                  <c:v>6.3851512410714601</c:v>
                </c:pt>
                <c:pt idx="76">
                  <c:v>6.3851512410714601</c:v>
                </c:pt>
                <c:pt idx="77">
                  <c:v>6.3851512410714601</c:v>
                </c:pt>
                <c:pt idx="78">
                  <c:v>6.3851512410714601</c:v>
                </c:pt>
                <c:pt idx="79">
                  <c:v>6.3851512410714601</c:v>
                </c:pt>
                <c:pt idx="80">
                  <c:v>6.3851512410714601</c:v>
                </c:pt>
                <c:pt idx="81">
                  <c:v>6.3851512410714601</c:v>
                </c:pt>
                <c:pt idx="82">
                  <c:v>6.3851512410714601</c:v>
                </c:pt>
                <c:pt idx="83">
                  <c:v>6.3851512410714601</c:v>
                </c:pt>
                <c:pt idx="84">
                  <c:v>6.3851512410714601</c:v>
                </c:pt>
                <c:pt idx="85">
                  <c:v>6.3851512410714601</c:v>
                </c:pt>
                <c:pt idx="86">
                  <c:v>6.3851512410714601</c:v>
                </c:pt>
                <c:pt idx="87">
                  <c:v>6.3851512410714601</c:v>
                </c:pt>
                <c:pt idx="88">
                  <c:v>6.3851512410714601</c:v>
                </c:pt>
                <c:pt idx="89">
                  <c:v>6.3851512410714601</c:v>
                </c:pt>
                <c:pt idx="90">
                  <c:v>6.3851512410714601</c:v>
                </c:pt>
                <c:pt idx="91">
                  <c:v>6.3851512410714601</c:v>
                </c:pt>
                <c:pt idx="92">
                  <c:v>6.3851512410714601</c:v>
                </c:pt>
                <c:pt idx="93">
                  <c:v>6.3851512410714601</c:v>
                </c:pt>
                <c:pt idx="94">
                  <c:v>6.3851512410714601</c:v>
                </c:pt>
                <c:pt idx="95">
                  <c:v>6.3851512410714601</c:v>
                </c:pt>
                <c:pt idx="96">
                  <c:v>6.3851512410714601</c:v>
                </c:pt>
                <c:pt idx="97">
                  <c:v>6.3851512410714601</c:v>
                </c:pt>
                <c:pt idx="98">
                  <c:v>6.3851512410714601</c:v>
                </c:pt>
                <c:pt idx="99">
                  <c:v>6.3851512410714601</c:v>
                </c:pt>
                <c:pt idx="100">
                  <c:v>6.3851512410714601</c:v>
                </c:pt>
                <c:pt idx="101">
                  <c:v>6.3851512410714601</c:v>
                </c:pt>
                <c:pt idx="102">
                  <c:v>6.3851512410714601</c:v>
                </c:pt>
                <c:pt idx="103">
                  <c:v>6.3851512410714601</c:v>
                </c:pt>
                <c:pt idx="104">
                  <c:v>6.3851512410714601</c:v>
                </c:pt>
                <c:pt idx="105">
                  <c:v>6.3851512410714601</c:v>
                </c:pt>
                <c:pt idx="106">
                  <c:v>6.3851512410714601</c:v>
                </c:pt>
                <c:pt idx="107">
                  <c:v>6.3851512410714601</c:v>
                </c:pt>
                <c:pt idx="108">
                  <c:v>6.3851512410714601</c:v>
                </c:pt>
                <c:pt idx="109">
                  <c:v>6.3851512410714601</c:v>
                </c:pt>
                <c:pt idx="110">
                  <c:v>6.3851512410714601</c:v>
                </c:pt>
                <c:pt idx="111">
                  <c:v>6.3851512410714601</c:v>
                </c:pt>
                <c:pt idx="112">
                  <c:v>6.3851512410714601</c:v>
                </c:pt>
                <c:pt idx="113">
                  <c:v>6.3851512410714601</c:v>
                </c:pt>
                <c:pt idx="114">
                  <c:v>6.3851512410714601</c:v>
                </c:pt>
                <c:pt idx="115">
                  <c:v>6.3851512410714601</c:v>
                </c:pt>
                <c:pt idx="116">
                  <c:v>6.3851512410714601</c:v>
                </c:pt>
                <c:pt idx="117">
                  <c:v>6.3851512410714601</c:v>
                </c:pt>
                <c:pt idx="118">
                  <c:v>6.3851512410714601</c:v>
                </c:pt>
                <c:pt idx="119">
                  <c:v>6.3851512410714601</c:v>
                </c:pt>
                <c:pt idx="120">
                  <c:v>6.3851512410714601</c:v>
                </c:pt>
                <c:pt idx="121">
                  <c:v>6.3851512410714601</c:v>
                </c:pt>
                <c:pt idx="122">
                  <c:v>6.3851512410714601</c:v>
                </c:pt>
                <c:pt idx="123">
                  <c:v>6.3851512410714601</c:v>
                </c:pt>
                <c:pt idx="124">
                  <c:v>6.3851512410714601</c:v>
                </c:pt>
                <c:pt idx="125">
                  <c:v>6.3851512410714601</c:v>
                </c:pt>
                <c:pt idx="126">
                  <c:v>6.3851512410714601</c:v>
                </c:pt>
                <c:pt idx="127">
                  <c:v>6.3851512410714601</c:v>
                </c:pt>
                <c:pt idx="128">
                  <c:v>6.3851512410714601</c:v>
                </c:pt>
                <c:pt idx="129">
                  <c:v>6.3851512410714601</c:v>
                </c:pt>
                <c:pt idx="130">
                  <c:v>6.3851512410714601</c:v>
                </c:pt>
                <c:pt idx="131">
                  <c:v>6.3851512410714601</c:v>
                </c:pt>
                <c:pt idx="132">
                  <c:v>6.3851512410714601</c:v>
                </c:pt>
                <c:pt idx="133">
                  <c:v>6.3851512410714601</c:v>
                </c:pt>
                <c:pt idx="134">
                  <c:v>6.3851512410714601</c:v>
                </c:pt>
                <c:pt idx="135">
                  <c:v>6.3851512410714601</c:v>
                </c:pt>
                <c:pt idx="136">
                  <c:v>6.3851512410714601</c:v>
                </c:pt>
                <c:pt idx="137">
                  <c:v>6.3851512410714601</c:v>
                </c:pt>
                <c:pt idx="138">
                  <c:v>6.3851512410714601</c:v>
                </c:pt>
                <c:pt idx="139">
                  <c:v>6.3851512410714601</c:v>
                </c:pt>
                <c:pt idx="140">
                  <c:v>6.3851512410714601</c:v>
                </c:pt>
                <c:pt idx="141">
                  <c:v>6.3851512410714601</c:v>
                </c:pt>
                <c:pt idx="142">
                  <c:v>6.3851512410714601</c:v>
                </c:pt>
                <c:pt idx="143">
                  <c:v>6.3851512410714601</c:v>
                </c:pt>
                <c:pt idx="144">
                  <c:v>6.3851512410714601</c:v>
                </c:pt>
                <c:pt idx="145">
                  <c:v>6.3851512410714601</c:v>
                </c:pt>
                <c:pt idx="146">
                  <c:v>6.3851512410714601</c:v>
                </c:pt>
                <c:pt idx="147">
                  <c:v>6.3851512410714601</c:v>
                </c:pt>
                <c:pt idx="148">
                  <c:v>6.3851512410714601</c:v>
                </c:pt>
                <c:pt idx="149">
                  <c:v>6.3851512410714601</c:v>
                </c:pt>
                <c:pt idx="150">
                  <c:v>6.3851512410714601</c:v>
                </c:pt>
                <c:pt idx="151">
                  <c:v>6.3851512410714601</c:v>
                </c:pt>
                <c:pt idx="152">
                  <c:v>6.3851512410714601</c:v>
                </c:pt>
                <c:pt idx="153">
                  <c:v>6.3851512410714601</c:v>
                </c:pt>
                <c:pt idx="154">
                  <c:v>6.3851512410714601</c:v>
                </c:pt>
                <c:pt idx="155">
                  <c:v>6.3851512410714601</c:v>
                </c:pt>
                <c:pt idx="156">
                  <c:v>6.3851512410714601</c:v>
                </c:pt>
                <c:pt idx="157">
                  <c:v>6.3851512410714601</c:v>
                </c:pt>
                <c:pt idx="158">
                  <c:v>6.3851512410714601</c:v>
                </c:pt>
                <c:pt idx="159">
                  <c:v>6.3851512410714601</c:v>
                </c:pt>
                <c:pt idx="160">
                  <c:v>6.3851512410714601</c:v>
                </c:pt>
                <c:pt idx="161">
                  <c:v>6.3851512410714601</c:v>
                </c:pt>
                <c:pt idx="162">
                  <c:v>6.3851512410714601</c:v>
                </c:pt>
                <c:pt idx="163">
                  <c:v>6.3851512410714601</c:v>
                </c:pt>
                <c:pt idx="164">
                  <c:v>6.3851512410714601</c:v>
                </c:pt>
                <c:pt idx="165">
                  <c:v>6.3851512410714601</c:v>
                </c:pt>
                <c:pt idx="166">
                  <c:v>6.3851512410714601</c:v>
                </c:pt>
                <c:pt idx="167">
                  <c:v>6.3851512410714601</c:v>
                </c:pt>
                <c:pt idx="168">
                  <c:v>6.3851512410714601</c:v>
                </c:pt>
                <c:pt idx="169">
                  <c:v>6.3851512410714601</c:v>
                </c:pt>
                <c:pt idx="170">
                  <c:v>6.3851512410714601</c:v>
                </c:pt>
                <c:pt idx="171">
                  <c:v>6.3851512410714601</c:v>
                </c:pt>
                <c:pt idx="172">
                  <c:v>6.3851512410714601</c:v>
                </c:pt>
                <c:pt idx="173">
                  <c:v>6.3851512410714601</c:v>
                </c:pt>
                <c:pt idx="174">
                  <c:v>6.3851512410714601</c:v>
                </c:pt>
                <c:pt idx="175">
                  <c:v>6.3851512410714601</c:v>
                </c:pt>
                <c:pt idx="176">
                  <c:v>6.3851512410714601</c:v>
                </c:pt>
                <c:pt idx="177">
                  <c:v>6.3851512410714601</c:v>
                </c:pt>
                <c:pt idx="178">
                  <c:v>6.3851512410714601</c:v>
                </c:pt>
                <c:pt idx="179">
                  <c:v>6.3851512410714601</c:v>
                </c:pt>
                <c:pt idx="180">
                  <c:v>6.3851512410714601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D-474E-8CFA-F504394F8DE2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Statistik!$AK$9:$AK$192</c:f>
              <c:numCache>
                <c:formatCode>0.0</c:formatCode>
                <c:ptCount val="184"/>
                <c:pt idx="0">
                  <c:v>0.33507222261569281</c:v>
                </c:pt>
                <c:pt idx="1">
                  <c:v>0.33507222261569281</c:v>
                </c:pt>
                <c:pt idx="2">
                  <c:v>0.33507222261569281</c:v>
                </c:pt>
                <c:pt idx="3">
                  <c:v>0.33507222261569281</c:v>
                </c:pt>
                <c:pt idx="4">
                  <c:v>0.33507222261569281</c:v>
                </c:pt>
                <c:pt idx="5">
                  <c:v>0.33507222261569281</c:v>
                </c:pt>
                <c:pt idx="6">
                  <c:v>0.33507222261569281</c:v>
                </c:pt>
                <c:pt idx="7">
                  <c:v>0.33507222261569281</c:v>
                </c:pt>
                <c:pt idx="8">
                  <c:v>0.33507222261569281</c:v>
                </c:pt>
                <c:pt idx="9">
                  <c:v>0.33507222261569281</c:v>
                </c:pt>
                <c:pt idx="10">
                  <c:v>0.33507222261569281</c:v>
                </c:pt>
                <c:pt idx="11">
                  <c:v>0.33507222261569281</c:v>
                </c:pt>
                <c:pt idx="12">
                  <c:v>0.33507222261569281</c:v>
                </c:pt>
                <c:pt idx="13">
                  <c:v>0.33507222261569281</c:v>
                </c:pt>
                <c:pt idx="14">
                  <c:v>0.33507222261569281</c:v>
                </c:pt>
                <c:pt idx="15">
                  <c:v>0.33507222261569281</c:v>
                </c:pt>
                <c:pt idx="16">
                  <c:v>0.33507222261569281</c:v>
                </c:pt>
                <c:pt idx="17">
                  <c:v>0.33507222261569281</c:v>
                </c:pt>
                <c:pt idx="18">
                  <c:v>0.33507222261569281</c:v>
                </c:pt>
                <c:pt idx="19">
                  <c:v>0.33507222261569281</c:v>
                </c:pt>
                <c:pt idx="20">
                  <c:v>0.33507222261569281</c:v>
                </c:pt>
                <c:pt idx="21">
                  <c:v>0.33507222261569281</c:v>
                </c:pt>
                <c:pt idx="22">
                  <c:v>0.33507222261569281</c:v>
                </c:pt>
                <c:pt idx="23">
                  <c:v>0.33507222261569281</c:v>
                </c:pt>
                <c:pt idx="24">
                  <c:v>0.33507222261569281</c:v>
                </c:pt>
                <c:pt idx="25">
                  <c:v>0.33507222261569281</c:v>
                </c:pt>
                <c:pt idx="26">
                  <c:v>0.33507222261569281</c:v>
                </c:pt>
                <c:pt idx="27">
                  <c:v>0.33507222261569281</c:v>
                </c:pt>
                <c:pt idx="28">
                  <c:v>0.33507222261569281</c:v>
                </c:pt>
                <c:pt idx="29">
                  <c:v>0.33507222261569281</c:v>
                </c:pt>
                <c:pt idx="30">
                  <c:v>0.33507222261569281</c:v>
                </c:pt>
                <c:pt idx="31">
                  <c:v>0.33507222261569281</c:v>
                </c:pt>
                <c:pt idx="32">
                  <c:v>0.33507222261569281</c:v>
                </c:pt>
                <c:pt idx="33">
                  <c:v>0.33507222261569281</c:v>
                </c:pt>
                <c:pt idx="34">
                  <c:v>0.33507222261569281</c:v>
                </c:pt>
                <c:pt idx="35">
                  <c:v>0.33507222261569281</c:v>
                </c:pt>
                <c:pt idx="36">
                  <c:v>0.33507222261569281</c:v>
                </c:pt>
                <c:pt idx="37">
                  <c:v>0.33507222261569281</c:v>
                </c:pt>
                <c:pt idx="38">
                  <c:v>0.33507222261569281</c:v>
                </c:pt>
                <c:pt idx="39">
                  <c:v>0.33507222261569281</c:v>
                </c:pt>
                <c:pt idx="40">
                  <c:v>0.33507222261569281</c:v>
                </c:pt>
                <c:pt idx="41">
                  <c:v>0.33507222261569281</c:v>
                </c:pt>
                <c:pt idx="42">
                  <c:v>0.33507222261569281</c:v>
                </c:pt>
                <c:pt idx="43">
                  <c:v>0.33507222261569281</c:v>
                </c:pt>
                <c:pt idx="44">
                  <c:v>0.33507222261569281</c:v>
                </c:pt>
                <c:pt idx="45">
                  <c:v>0.33507222261569281</c:v>
                </c:pt>
                <c:pt idx="46">
                  <c:v>0.33507222261569281</c:v>
                </c:pt>
                <c:pt idx="47">
                  <c:v>0.33507222261569281</c:v>
                </c:pt>
                <c:pt idx="48">
                  <c:v>0.33507222261569281</c:v>
                </c:pt>
                <c:pt idx="49">
                  <c:v>0.33507222261569281</c:v>
                </c:pt>
                <c:pt idx="50">
                  <c:v>0.33507222261569281</c:v>
                </c:pt>
                <c:pt idx="51">
                  <c:v>0.33507222261569281</c:v>
                </c:pt>
                <c:pt idx="52">
                  <c:v>0.33507222261569281</c:v>
                </c:pt>
                <c:pt idx="53">
                  <c:v>0.33507222261569281</c:v>
                </c:pt>
                <c:pt idx="54">
                  <c:v>0.33507222261569281</c:v>
                </c:pt>
                <c:pt idx="55">
                  <c:v>0.33507222261569281</c:v>
                </c:pt>
                <c:pt idx="56">
                  <c:v>0.33507222261569281</c:v>
                </c:pt>
                <c:pt idx="57">
                  <c:v>0.33507222261569281</c:v>
                </c:pt>
                <c:pt idx="58">
                  <c:v>0.33507222261569281</c:v>
                </c:pt>
                <c:pt idx="59">
                  <c:v>0.33507222261569281</c:v>
                </c:pt>
                <c:pt idx="60">
                  <c:v>0.33507222261569281</c:v>
                </c:pt>
                <c:pt idx="61">
                  <c:v>0.33507222261569281</c:v>
                </c:pt>
                <c:pt idx="62">
                  <c:v>0.33507222261569281</c:v>
                </c:pt>
                <c:pt idx="63">
                  <c:v>0.33507222261569281</c:v>
                </c:pt>
                <c:pt idx="64">
                  <c:v>0.33507222261569281</c:v>
                </c:pt>
                <c:pt idx="65">
                  <c:v>0.33507222261569281</c:v>
                </c:pt>
                <c:pt idx="66">
                  <c:v>0.33507222261569281</c:v>
                </c:pt>
                <c:pt idx="67">
                  <c:v>0.33507222261569281</c:v>
                </c:pt>
                <c:pt idx="68">
                  <c:v>0.33507222261569281</c:v>
                </c:pt>
                <c:pt idx="69">
                  <c:v>0.33507222261569281</c:v>
                </c:pt>
                <c:pt idx="70">
                  <c:v>0.33507222261569281</c:v>
                </c:pt>
                <c:pt idx="71">
                  <c:v>0.33507222261569281</c:v>
                </c:pt>
                <c:pt idx="72">
                  <c:v>0.33507222261569281</c:v>
                </c:pt>
                <c:pt idx="73">
                  <c:v>0.33507222261569281</c:v>
                </c:pt>
                <c:pt idx="74">
                  <c:v>0.33507222261569281</c:v>
                </c:pt>
                <c:pt idx="75">
                  <c:v>0.33507222261569281</c:v>
                </c:pt>
                <c:pt idx="76">
                  <c:v>0.33507222261569281</c:v>
                </c:pt>
                <c:pt idx="77">
                  <c:v>0.33507222261569281</c:v>
                </c:pt>
                <c:pt idx="78">
                  <c:v>0.33507222261569281</c:v>
                </c:pt>
                <c:pt idx="79">
                  <c:v>0.33507222261569281</c:v>
                </c:pt>
                <c:pt idx="80">
                  <c:v>0.33507222261569281</c:v>
                </c:pt>
                <c:pt idx="81">
                  <c:v>0.33507222261569281</c:v>
                </c:pt>
                <c:pt idx="82">
                  <c:v>0.33507222261569281</c:v>
                </c:pt>
                <c:pt idx="83">
                  <c:v>0.33507222261569281</c:v>
                </c:pt>
                <c:pt idx="84">
                  <c:v>0.33507222261569281</c:v>
                </c:pt>
                <c:pt idx="85">
                  <c:v>0.33507222261569281</c:v>
                </c:pt>
                <c:pt idx="86">
                  <c:v>0.33507222261569281</c:v>
                </c:pt>
                <c:pt idx="87">
                  <c:v>0.33507222261569281</c:v>
                </c:pt>
                <c:pt idx="88">
                  <c:v>0.33507222261569281</c:v>
                </c:pt>
                <c:pt idx="89">
                  <c:v>0.33507222261569281</c:v>
                </c:pt>
                <c:pt idx="90">
                  <c:v>0.33507222261569281</c:v>
                </c:pt>
                <c:pt idx="91">
                  <c:v>0.33507222261569281</c:v>
                </c:pt>
                <c:pt idx="92">
                  <c:v>0.33507222261569281</c:v>
                </c:pt>
                <c:pt idx="93">
                  <c:v>0.33507222261569281</c:v>
                </c:pt>
                <c:pt idx="94">
                  <c:v>0.33507222261569281</c:v>
                </c:pt>
                <c:pt idx="95">
                  <c:v>0.33507222261569281</c:v>
                </c:pt>
                <c:pt idx="96">
                  <c:v>0.33507222261569281</c:v>
                </c:pt>
                <c:pt idx="97">
                  <c:v>0.33507222261569281</c:v>
                </c:pt>
                <c:pt idx="98">
                  <c:v>0.33507222261569281</c:v>
                </c:pt>
                <c:pt idx="99">
                  <c:v>0.33507222261569281</c:v>
                </c:pt>
                <c:pt idx="100">
                  <c:v>0.33507222261569281</c:v>
                </c:pt>
                <c:pt idx="101">
                  <c:v>0.33507222261569281</c:v>
                </c:pt>
                <c:pt idx="102">
                  <c:v>0.33507222261569281</c:v>
                </c:pt>
                <c:pt idx="103">
                  <c:v>0.33507222261569281</c:v>
                </c:pt>
                <c:pt idx="104">
                  <c:v>0.33507222261569281</c:v>
                </c:pt>
                <c:pt idx="105">
                  <c:v>0.33507222261569281</c:v>
                </c:pt>
                <c:pt idx="106">
                  <c:v>0.33507222261569281</c:v>
                </c:pt>
                <c:pt idx="107">
                  <c:v>0.33507222261569281</c:v>
                </c:pt>
                <c:pt idx="108">
                  <c:v>0.33507222261569281</c:v>
                </c:pt>
                <c:pt idx="109">
                  <c:v>0.33507222261569281</c:v>
                </c:pt>
                <c:pt idx="110">
                  <c:v>0.33507222261569281</c:v>
                </c:pt>
                <c:pt idx="111">
                  <c:v>0.33507222261569281</c:v>
                </c:pt>
                <c:pt idx="112">
                  <c:v>0.33507222261569281</c:v>
                </c:pt>
                <c:pt idx="113">
                  <c:v>0.33507222261569281</c:v>
                </c:pt>
                <c:pt idx="114">
                  <c:v>0.33507222261569281</c:v>
                </c:pt>
                <c:pt idx="115">
                  <c:v>0.33507222261569281</c:v>
                </c:pt>
                <c:pt idx="116">
                  <c:v>0.33507222261569281</c:v>
                </c:pt>
                <c:pt idx="117">
                  <c:v>0.33507222261569281</c:v>
                </c:pt>
                <c:pt idx="118">
                  <c:v>0.33507222261569281</c:v>
                </c:pt>
                <c:pt idx="119">
                  <c:v>0.33507222261569281</c:v>
                </c:pt>
                <c:pt idx="120">
                  <c:v>0.33507222261569281</c:v>
                </c:pt>
                <c:pt idx="121">
                  <c:v>0.33507222261569281</c:v>
                </c:pt>
                <c:pt idx="122">
                  <c:v>0.33507222261569281</c:v>
                </c:pt>
                <c:pt idx="123">
                  <c:v>0.33507222261569281</c:v>
                </c:pt>
                <c:pt idx="124">
                  <c:v>0.33507222261569281</c:v>
                </c:pt>
                <c:pt idx="125">
                  <c:v>0.33507222261569281</c:v>
                </c:pt>
                <c:pt idx="126">
                  <c:v>0.33507222261569281</c:v>
                </c:pt>
                <c:pt idx="127">
                  <c:v>0.33507222261569281</c:v>
                </c:pt>
                <c:pt idx="128">
                  <c:v>0.33507222261569281</c:v>
                </c:pt>
                <c:pt idx="129">
                  <c:v>0.33507222261569281</c:v>
                </c:pt>
                <c:pt idx="130">
                  <c:v>0.33507222261569281</c:v>
                </c:pt>
                <c:pt idx="131">
                  <c:v>0.33507222261569281</c:v>
                </c:pt>
                <c:pt idx="132">
                  <c:v>0.33507222261569281</c:v>
                </c:pt>
                <c:pt idx="133">
                  <c:v>0.33507222261569281</c:v>
                </c:pt>
                <c:pt idx="134">
                  <c:v>0.33507222261569281</c:v>
                </c:pt>
                <c:pt idx="135">
                  <c:v>0.33507222261569281</c:v>
                </c:pt>
                <c:pt idx="136">
                  <c:v>0.33507222261569281</c:v>
                </c:pt>
                <c:pt idx="137">
                  <c:v>0.33507222261569281</c:v>
                </c:pt>
                <c:pt idx="138">
                  <c:v>0.33507222261569281</c:v>
                </c:pt>
                <c:pt idx="139">
                  <c:v>0.33507222261569281</c:v>
                </c:pt>
                <c:pt idx="140">
                  <c:v>0.33507222261569281</c:v>
                </c:pt>
                <c:pt idx="141">
                  <c:v>0.33507222261569281</c:v>
                </c:pt>
                <c:pt idx="142">
                  <c:v>0.33507222261569281</c:v>
                </c:pt>
                <c:pt idx="143">
                  <c:v>0.33507222261569281</c:v>
                </c:pt>
                <c:pt idx="144">
                  <c:v>0.33507222261569281</c:v>
                </c:pt>
                <c:pt idx="145">
                  <c:v>0.33507222261569281</c:v>
                </c:pt>
                <c:pt idx="146">
                  <c:v>0.33507222261569281</c:v>
                </c:pt>
                <c:pt idx="147">
                  <c:v>0.33507222261569281</c:v>
                </c:pt>
                <c:pt idx="148">
                  <c:v>0.33507222261569281</c:v>
                </c:pt>
                <c:pt idx="149">
                  <c:v>0.33507222261569281</c:v>
                </c:pt>
                <c:pt idx="150">
                  <c:v>0.33507222261569281</c:v>
                </c:pt>
                <c:pt idx="151">
                  <c:v>0.33507222261569281</c:v>
                </c:pt>
                <c:pt idx="152">
                  <c:v>0.33507222261569281</c:v>
                </c:pt>
                <c:pt idx="153">
                  <c:v>0.33507222261569281</c:v>
                </c:pt>
                <c:pt idx="154">
                  <c:v>0.33507222261569281</c:v>
                </c:pt>
                <c:pt idx="155">
                  <c:v>0.33507222261569281</c:v>
                </c:pt>
                <c:pt idx="156">
                  <c:v>0.33507222261569281</c:v>
                </c:pt>
                <c:pt idx="157">
                  <c:v>0.33507222261569281</c:v>
                </c:pt>
                <c:pt idx="158">
                  <c:v>0.33507222261569281</c:v>
                </c:pt>
                <c:pt idx="159">
                  <c:v>0.33507222261569281</c:v>
                </c:pt>
                <c:pt idx="160">
                  <c:v>0.33507222261569281</c:v>
                </c:pt>
                <c:pt idx="161">
                  <c:v>0.33507222261569281</c:v>
                </c:pt>
                <c:pt idx="162">
                  <c:v>0.33507222261569281</c:v>
                </c:pt>
                <c:pt idx="163">
                  <c:v>0.33507222261569281</c:v>
                </c:pt>
                <c:pt idx="164">
                  <c:v>0.33507222261569281</c:v>
                </c:pt>
                <c:pt idx="165">
                  <c:v>0.33507222261569281</c:v>
                </c:pt>
                <c:pt idx="166">
                  <c:v>0.33507222261569281</c:v>
                </c:pt>
                <c:pt idx="167">
                  <c:v>0.33507222261569281</c:v>
                </c:pt>
                <c:pt idx="168">
                  <c:v>0.33507222261569281</c:v>
                </c:pt>
                <c:pt idx="169">
                  <c:v>0.33507222261569281</c:v>
                </c:pt>
                <c:pt idx="170">
                  <c:v>0.33507222261569281</c:v>
                </c:pt>
                <c:pt idx="171">
                  <c:v>0.33507222261569281</c:v>
                </c:pt>
                <c:pt idx="172">
                  <c:v>0.33507222261569281</c:v>
                </c:pt>
                <c:pt idx="173">
                  <c:v>0.33507222261569281</c:v>
                </c:pt>
                <c:pt idx="174">
                  <c:v>0.33507222261569281</c:v>
                </c:pt>
                <c:pt idx="175">
                  <c:v>0.33507222261569281</c:v>
                </c:pt>
                <c:pt idx="176">
                  <c:v>0.33507222261569281</c:v>
                </c:pt>
                <c:pt idx="177">
                  <c:v>0.33507222261569281</c:v>
                </c:pt>
                <c:pt idx="178">
                  <c:v>0.33507222261569281</c:v>
                </c:pt>
                <c:pt idx="179">
                  <c:v>0.33507222261569281</c:v>
                </c:pt>
                <c:pt idx="180">
                  <c:v>0.33507222261569281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8D-474E-8CFA-F504394F8DE2}"/>
            </c:ext>
          </c:extLst>
        </c:ser>
        <c:ser>
          <c:idx val="4"/>
          <c:order val="4"/>
          <c:tx>
            <c:strRef>
              <c:f>Statistik!$AL$8</c:f>
              <c:strCache>
                <c:ptCount val="1"/>
                <c:pt idx="0">
                  <c:v>Klass 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Statistik!$AL$9:$AL$192</c:f>
              <c:numCache>
                <c:formatCode>General</c:formatCode>
                <c:ptCount val="18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  <c:pt idx="179">
                  <c:v>7</c:v>
                </c:pt>
                <c:pt idx="18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8D-474E-8CFA-F504394F8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45536"/>
        <c:axId val="244159616"/>
      </c:lineChart>
      <c:dateAx>
        <c:axId val="2441455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159616"/>
        <c:crosses val="autoZero"/>
        <c:auto val="1"/>
        <c:lblOffset val="100"/>
        <c:baseTimeUnit val="days"/>
      </c:dateAx>
      <c:valAx>
        <c:axId val="24415961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145536"/>
        <c:crosses val="autoZero"/>
        <c:crossBetween val="between"/>
        <c:majorUnit val="5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grumlighet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Diagram!$AR$81:$AR$92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Diagram!$AS$81:$AS$92</c:f>
              <c:numCache>
                <c:formatCode>General</c:formatCode>
                <c:ptCount val="12"/>
                <c:pt idx="0">
                  <c:v>7.6</c:v>
                </c:pt>
                <c:pt idx="1">
                  <c:v>4.9000000000000004</c:v>
                </c:pt>
                <c:pt idx="2">
                  <c:v>4.8</c:v>
                </c:pt>
                <c:pt idx="3">
                  <c:v>2.6</c:v>
                </c:pt>
                <c:pt idx="4">
                  <c:v>1.7</c:v>
                </c:pt>
                <c:pt idx="5">
                  <c:v>1.2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6-4EF3-A2E3-9E5482D4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88288"/>
        <c:axId val="244190208"/>
      </c:lineChart>
      <c:dateAx>
        <c:axId val="244188288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190208"/>
        <c:crosses val="autoZero"/>
        <c:auto val="1"/>
        <c:lblOffset val="100"/>
        <c:baseTimeUnit val="days"/>
        <c:majorUnit val="1"/>
      </c:dateAx>
      <c:valAx>
        <c:axId val="244190208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18828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Konduktivitet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971685357512131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Statistik!$I$8</c:f>
              <c:strCache>
                <c:ptCount val="1"/>
                <c:pt idx="0">
                  <c:v>Kond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Statistik!$I$9:$I$192</c:f>
              <c:numCache>
                <c:formatCode>0.0</c:formatCode>
                <c:ptCount val="184"/>
                <c:pt idx="133">
                  <c:v>46.4</c:v>
                </c:pt>
                <c:pt idx="134">
                  <c:v>47.7</c:v>
                </c:pt>
                <c:pt idx="135">
                  <c:v>50.5</c:v>
                </c:pt>
                <c:pt idx="136">
                  <c:v>48.2</c:v>
                </c:pt>
                <c:pt idx="137">
                  <c:v>49.2</c:v>
                </c:pt>
                <c:pt idx="138">
                  <c:v>49</c:v>
                </c:pt>
                <c:pt idx="139">
                  <c:v>42.2</c:v>
                </c:pt>
                <c:pt idx="140">
                  <c:v>47.3</c:v>
                </c:pt>
                <c:pt idx="141">
                  <c:v>50.6</c:v>
                </c:pt>
                <c:pt idx="142">
                  <c:v>54.5</c:v>
                </c:pt>
                <c:pt idx="143">
                  <c:v>52.7</c:v>
                </c:pt>
                <c:pt idx="144">
                  <c:v>45.8</c:v>
                </c:pt>
                <c:pt idx="145">
                  <c:v>43.4</c:v>
                </c:pt>
                <c:pt idx="146">
                  <c:v>47.5</c:v>
                </c:pt>
                <c:pt idx="147">
                  <c:v>47.4</c:v>
                </c:pt>
                <c:pt idx="148">
                  <c:v>47.7</c:v>
                </c:pt>
                <c:pt idx="149">
                  <c:v>50.6</c:v>
                </c:pt>
                <c:pt idx="150">
                  <c:v>44.8</c:v>
                </c:pt>
                <c:pt idx="152">
                  <c:v>52</c:v>
                </c:pt>
                <c:pt idx="153">
                  <c:v>51.3</c:v>
                </c:pt>
                <c:pt idx="154">
                  <c:v>58.1</c:v>
                </c:pt>
                <c:pt idx="155">
                  <c:v>59.2</c:v>
                </c:pt>
                <c:pt idx="157">
                  <c:v>43.6</c:v>
                </c:pt>
                <c:pt idx="158">
                  <c:v>47.8</c:v>
                </c:pt>
                <c:pt idx="159">
                  <c:v>47.3</c:v>
                </c:pt>
                <c:pt idx="160">
                  <c:v>49.8</c:v>
                </c:pt>
                <c:pt idx="161">
                  <c:v>51.9</c:v>
                </c:pt>
                <c:pt idx="162">
                  <c:v>49.7</c:v>
                </c:pt>
                <c:pt idx="163">
                  <c:v>47.9</c:v>
                </c:pt>
                <c:pt idx="164">
                  <c:v>51.1</c:v>
                </c:pt>
                <c:pt idx="165">
                  <c:v>50</c:v>
                </c:pt>
                <c:pt idx="166">
                  <c:v>54.4</c:v>
                </c:pt>
                <c:pt idx="167">
                  <c:v>49.2</c:v>
                </c:pt>
                <c:pt idx="168">
                  <c:v>46.9</c:v>
                </c:pt>
                <c:pt idx="169">
                  <c:v>44</c:v>
                </c:pt>
                <c:pt idx="170">
                  <c:v>36.6</c:v>
                </c:pt>
                <c:pt idx="171">
                  <c:v>43.9</c:v>
                </c:pt>
                <c:pt idx="172">
                  <c:v>45.3</c:v>
                </c:pt>
                <c:pt idx="173">
                  <c:v>46.5</c:v>
                </c:pt>
                <c:pt idx="174">
                  <c:v>47.3</c:v>
                </c:pt>
                <c:pt idx="175">
                  <c:v>42.8</c:v>
                </c:pt>
                <c:pt idx="176">
                  <c:v>45.5</c:v>
                </c:pt>
                <c:pt idx="177">
                  <c:v>42.2</c:v>
                </c:pt>
                <c:pt idx="178">
                  <c:v>44.3</c:v>
                </c:pt>
                <c:pt idx="179">
                  <c:v>46.7</c:v>
                </c:pt>
                <c:pt idx="180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E00-8C6A-8252CB19B858}"/>
            </c:ext>
          </c:extLst>
        </c:ser>
        <c:ser>
          <c:idx val="1"/>
          <c:order val="1"/>
          <c:tx>
            <c:strRef>
              <c:f>Statistik!$AM$8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Statistik!$AM$9:$AM$192</c:f>
              <c:numCache>
                <c:formatCode>0.0</c:formatCode>
                <c:ptCount val="184"/>
                <c:pt idx="0">
                  <c:v>48.104347826086951</c:v>
                </c:pt>
                <c:pt idx="1">
                  <c:v>48.104347826086951</c:v>
                </c:pt>
                <c:pt idx="2">
                  <c:v>48.104347826086951</c:v>
                </c:pt>
                <c:pt idx="3">
                  <c:v>48.104347826086951</c:v>
                </c:pt>
                <c:pt idx="4">
                  <c:v>48.104347826086951</c:v>
                </c:pt>
                <c:pt idx="5">
                  <c:v>48.104347826086951</c:v>
                </c:pt>
                <c:pt idx="6">
                  <c:v>48.104347826086951</c:v>
                </c:pt>
                <c:pt idx="7">
                  <c:v>48.104347826086951</c:v>
                </c:pt>
                <c:pt idx="8">
                  <c:v>48.104347826086951</c:v>
                </c:pt>
                <c:pt idx="9">
                  <c:v>48.104347826086951</c:v>
                </c:pt>
                <c:pt idx="10">
                  <c:v>48.104347826086951</c:v>
                </c:pt>
                <c:pt idx="11">
                  <c:v>48.104347826086951</c:v>
                </c:pt>
                <c:pt idx="12">
                  <c:v>48.104347826086951</c:v>
                </c:pt>
                <c:pt idx="13">
                  <c:v>48.104347826086951</c:v>
                </c:pt>
                <c:pt idx="14">
                  <c:v>48.104347826086951</c:v>
                </c:pt>
                <c:pt idx="15">
                  <c:v>48.104347826086951</c:v>
                </c:pt>
                <c:pt idx="16">
                  <c:v>48.104347826086951</c:v>
                </c:pt>
                <c:pt idx="17">
                  <c:v>48.104347826086951</c:v>
                </c:pt>
                <c:pt idx="18">
                  <c:v>48.104347826086951</c:v>
                </c:pt>
                <c:pt idx="19">
                  <c:v>48.104347826086951</c:v>
                </c:pt>
                <c:pt idx="20">
                  <c:v>48.104347826086951</c:v>
                </c:pt>
                <c:pt idx="21">
                  <c:v>48.104347826086951</c:v>
                </c:pt>
                <c:pt idx="22">
                  <c:v>48.104347826086951</c:v>
                </c:pt>
                <c:pt idx="23">
                  <c:v>48.104347826086951</c:v>
                </c:pt>
                <c:pt idx="24">
                  <c:v>48.104347826086951</c:v>
                </c:pt>
                <c:pt idx="25">
                  <c:v>48.104347826086951</c:v>
                </c:pt>
                <c:pt idx="26">
                  <c:v>48.104347826086951</c:v>
                </c:pt>
                <c:pt idx="27">
                  <c:v>48.104347826086951</c:v>
                </c:pt>
                <c:pt idx="28">
                  <c:v>48.104347826086951</c:v>
                </c:pt>
                <c:pt idx="29">
                  <c:v>48.104347826086951</c:v>
                </c:pt>
                <c:pt idx="30">
                  <c:v>48.104347826086951</c:v>
                </c:pt>
                <c:pt idx="31">
                  <c:v>48.104347826086951</c:v>
                </c:pt>
                <c:pt idx="32">
                  <c:v>48.104347826086951</c:v>
                </c:pt>
                <c:pt idx="33">
                  <c:v>48.104347826086951</c:v>
                </c:pt>
                <c:pt idx="34">
                  <c:v>48.104347826086951</c:v>
                </c:pt>
                <c:pt idx="35">
                  <c:v>48.104347826086951</c:v>
                </c:pt>
                <c:pt idx="36">
                  <c:v>48.104347826086951</c:v>
                </c:pt>
                <c:pt idx="37">
                  <c:v>48.104347826086951</c:v>
                </c:pt>
                <c:pt idx="38">
                  <c:v>48.104347826086951</c:v>
                </c:pt>
                <c:pt idx="39">
                  <c:v>48.104347826086951</c:v>
                </c:pt>
                <c:pt idx="40">
                  <c:v>48.104347826086951</c:v>
                </c:pt>
                <c:pt idx="41">
                  <c:v>48.104347826086951</c:v>
                </c:pt>
                <c:pt idx="42">
                  <c:v>48.104347826086951</c:v>
                </c:pt>
                <c:pt idx="43">
                  <c:v>48.104347826086951</c:v>
                </c:pt>
                <c:pt idx="44">
                  <c:v>48.104347826086951</c:v>
                </c:pt>
                <c:pt idx="45">
                  <c:v>48.104347826086951</c:v>
                </c:pt>
                <c:pt idx="46">
                  <c:v>48.104347826086951</c:v>
                </c:pt>
                <c:pt idx="47">
                  <c:v>48.104347826086951</c:v>
                </c:pt>
                <c:pt idx="48">
                  <c:v>48.104347826086951</c:v>
                </c:pt>
                <c:pt idx="49">
                  <c:v>48.104347826086951</c:v>
                </c:pt>
                <c:pt idx="50">
                  <c:v>48.104347826086951</c:v>
                </c:pt>
                <c:pt idx="51">
                  <c:v>48.104347826086951</c:v>
                </c:pt>
                <c:pt idx="52">
                  <c:v>48.104347826086951</c:v>
                </c:pt>
                <c:pt idx="53">
                  <c:v>48.104347826086951</c:v>
                </c:pt>
                <c:pt idx="54">
                  <c:v>48.104347826086951</c:v>
                </c:pt>
                <c:pt idx="55">
                  <c:v>48.104347826086951</c:v>
                </c:pt>
                <c:pt idx="56">
                  <c:v>48.104347826086951</c:v>
                </c:pt>
                <c:pt idx="57">
                  <c:v>48.104347826086951</c:v>
                </c:pt>
                <c:pt idx="58">
                  <c:v>48.104347826086951</c:v>
                </c:pt>
                <c:pt idx="59">
                  <c:v>48.104347826086951</c:v>
                </c:pt>
                <c:pt idx="60">
                  <c:v>48.104347826086951</c:v>
                </c:pt>
                <c:pt idx="61">
                  <c:v>48.104347826086951</c:v>
                </c:pt>
                <c:pt idx="62">
                  <c:v>48.104347826086951</c:v>
                </c:pt>
                <c:pt idx="63">
                  <c:v>48.104347826086951</c:v>
                </c:pt>
                <c:pt idx="64">
                  <c:v>48.104347826086951</c:v>
                </c:pt>
                <c:pt idx="65">
                  <c:v>48.104347826086951</c:v>
                </c:pt>
                <c:pt idx="66">
                  <c:v>48.104347826086951</c:v>
                </c:pt>
                <c:pt idx="67">
                  <c:v>48.104347826086951</c:v>
                </c:pt>
                <c:pt idx="68">
                  <c:v>48.104347826086951</c:v>
                </c:pt>
                <c:pt idx="69">
                  <c:v>48.104347826086951</c:v>
                </c:pt>
                <c:pt idx="70">
                  <c:v>48.104347826086951</c:v>
                </c:pt>
                <c:pt idx="71">
                  <c:v>48.104347826086951</c:v>
                </c:pt>
                <c:pt idx="72">
                  <c:v>48.104347826086951</c:v>
                </c:pt>
                <c:pt idx="73">
                  <c:v>48.104347826086951</c:v>
                </c:pt>
                <c:pt idx="74">
                  <c:v>48.104347826086951</c:v>
                </c:pt>
                <c:pt idx="75">
                  <c:v>48.104347826086951</c:v>
                </c:pt>
                <c:pt idx="76">
                  <c:v>48.104347826086951</c:v>
                </c:pt>
                <c:pt idx="77">
                  <c:v>48.104347826086951</c:v>
                </c:pt>
                <c:pt idx="78">
                  <c:v>48.104347826086951</c:v>
                </c:pt>
                <c:pt idx="79">
                  <c:v>48.104347826086951</c:v>
                </c:pt>
                <c:pt idx="80">
                  <c:v>48.104347826086951</c:v>
                </c:pt>
                <c:pt idx="81">
                  <c:v>48.104347826086951</c:v>
                </c:pt>
                <c:pt idx="82">
                  <c:v>48.104347826086951</c:v>
                </c:pt>
                <c:pt idx="83">
                  <c:v>48.104347826086951</c:v>
                </c:pt>
                <c:pt idx="84">
                  <c:v>48.104347826086951</c:v>
                </c:pt>
                <c:pt idx="85">
                  <c:v>48.104347826086951</c:v>
                </c:pt>
                <c:pt idx="86">
                  <c:v>48.104347826086951</c:v>
                </c:pt>
                <c:pt idx="87">
                  <c:v>48.104347826086951</c:v>
                </c:pt>
                <c:pt idx="88">
                  <c:v>48.104347826086951</c:v>
                </c:pt>
                <c:pt idx="89">
                  <c:v>48.104347826086951</c:v>
                </c:pt>
                <c:pt idx="90">
                  <c:v>48.104347826086951</c:v>
                </c:pt>
                <c:pt idx="91">
                  <c:v>48.104347826086951</c:v>
                </c:pt>
                <c:pt idx="92">
                  <c:v>48.104347826086951</c:v>
                </c:pt>
                <c:pt idx="93">
                  <c:v>48.104347826086951</c:v>
                </c:pt>
                <c:pt idx="94">
                  <c:v>48.104347826086951</c:v>
                </c:pt>
                <c:pt idx="95">
                  <c:v>48.104347826086951</c:v>
                </c:pt>
                <c:pt idx="96">
                  <c:v>48.104347826086951</c:v>
                </c:pt>
                <c:pt idx="97">
                  <c:v>48.104347826086951</c:v>
                </c:pt>
                <c:pt idx="98">
                  <c:v>48.104347826086951</c:v>
                </c:pt>
                <c:pt idx="99">
                  <c:v>48.104347826086951</c:v>
                </c:pt>
                <c:pt idx="100">
                  <c:v>48.104347826086951</c:v>
                </c:pt>
                <c:pt idx="101">
                  <c:v>48.104347826086951</c:v>
                </c:pt>
                <c:pt idx="102">
                  <c:v>48.104347826086951</c:v>
                </c:pt>
                <c:pt idx="103">
                  <c:v>48.104347826086951</c:v>
                </c:pt>
                <c:pt idx="104">
                  <c:v>48.104347826086951</c:v>
                </c:pt>
                <c:pt idx="105">
                  <c:v>48.104347826086951</c:v>
                </c:pt>
                <c:pt idx="106">
                  <c:v>48.104347826086951</c:v>
                </c:pt>
                <c:pt idx="107">
                  <c:v>48.104347826086951</c:v>
                </c:pt>
                <c:pt idx="108">
                  <c:v>48.104347826086951</c:v>
                </c:pt>
                <c:pt idx="109">
                  <c:v>48.104347826086951</c:v>
                </c:pt>
                <c:pt idx="110">
                  <c:v>48.104347826086951</c:v>
                </c:pt>
                <c:pt idx="111">
                  <c:v>48.104347826086951</c:v>
                </c:pt>
                <c:pt idx="112">
                  <c:v>48.104347826086951</c:v>
                </c:pt>
                <c:pt idx="113">
                  <c:v>48.104347826086951</c:v>
                </c:pt>
                <c:pt idx="114">
                  <c:v>48.104347826086951</c:v>
                </c:pt>
                <c:pt idx="115">
                  <c:v>48.104347826086951</c:v>
                </c:pt>
                <c:pt idx="116">
                  <c:v>48.104347826086951</c:v>
                </c:pt>
                <c:pt idx="117">
                  <c:v>48.104347826086951</c:v>
                </c:pt>
                <c:pt idx="118">
                  <c:v>48.104347826086951</c:v>
                </c:pt>
                <c:pt idx="119">
                  <c:v>48.104347826086951</c:v>
                </c:pt>
                <c:pt idx="120">
                  <c:v>48.104347826086951</c:v>
                </c:pt>
                <c:pt idx="121">
                  <c:v>48.104347826086951</c:v>
                </c:pt>
                <c:pt idx="122">
                  <c:v>48.104347826086951</c:v>
                </c:pt>
                <c:pt idx="123">
                  <c:v>48.104347826086951</c:v>
                </c:pt>
                <c:pt idx="124">
                  <c:v>48.104347826086951</c:v>
                </c:pt>
                <c:pt idx="125">
                  <c:v>48.104347826086951</c:v>
                </c:pt>
                <c:pt idx="126">
                  <c:v>48.104347826086951</c:v>
                </c:pt>
                <c:pt idx="127">
                  <c:v>48.104347826086951</c:v>
                </c:pt>
                <c:pt idx="128">
                  <c:v>48.104347826086951</c:v>
                </c:pt>
                <c:pt idx="129">
                  <c:v>48.104347826086951</c:v>
                </c:pt>
                <c:pt idx="130">
                  <c:v>48.104347826086951</c:v>
                </c:pt>
                <c:pt idx="131">
                  <c:v>48.104347826086951</c:v>
                </c:pt>
                <c:pt idx="132">
                  <c:v>48.104347826086951</c:v>
                </c:pt>
                <c:pt idx="133">
                  <c:v>48.104347826086951</c:v>
                </c:pt>
                <c:pt idx="134">
                  <c:v>48.104347826086951</c:v>
                </c:pt>
                <c:pt idx="135">
                  <c:v>48.104347826086951</c:v>
                </c:pt>
                <c:pt idx="136">
                  <c:v>48.104347826086951</c:v>
                </c:pt>
                <c:pt idx="137">
                  <c:v>48.104347826086951</c:v>
                </c:pt>
                <c:pt idx="138">
                  <c:v>48.104347826086951</c:v>
                </c:pt>
                <c:pt idx="139">
                  <c:v>48.104347826086951</c:v>
                </c:pt>
                <c:pt idx="140">
                  <c:v>48.104347826086951</c:v>
                </c:pt>
                <c:pt idx="141">
                  <c:v>48.104347826086951</c:v>
                </c:pt>
                <c:pt idx="142">
                  <c:v>48.104347826086951</c:v>
                </c:pt>
                <c:pt idx="143">
                  <c:v>48.104347826086951</c:v>
                </c:pt>
                <c:pt idx="144">
                  <c:v>48.104347826086951</c:v>
                </c:pt>
                <c:pt idx="145">
                  <c:v>48.104347826086951</c:v>
                </c:pt>
                <c:pt idx="146">
                  <c:v>48.104347826086951</c:v>
                </c:pt>
                <c:pt idx="147">
                  <c:v>48.104347826086951</c:v>
                </c:pt>
                <c:pt idx="148">
                  <c:v>48.104347826086951</c:v>
                </c:pt>
                <c:pt idx="149">
                  <c:v>48.104347826086951</c:v>
                </c:pt>
                <c:pt idx="150">
                  <c:v>48.104347826086951</c:v>
                </c:pt>
                <c:pt idx="151">
                  <c:v>48.104347826086951</c:v>
                </c:pt>
                <c:pt idx="152">
                  <c:v>48.104347826086951</c:v>
                </c:pt>
                <c:pt idx="153">
                  <c:v>48.104347826086951</c:v>
                </c:pt>
                <c:pt idx="154">
                  <c:v>48.104347826086951</c:v>
                </c:pt>
                <c:pt idx="155">
                  <c:v>48.104347826086951</c:v>
                </c:pt>
                <c:pt idx="156">
                  <c:v>48.104347826086951</c:v>
                </c:pt>
                <c:pt idx="157">
                  <c:v>48.104347826086951</c:v>
                </c:pt>
                <c:pt idx="158">
                  <c:v>48.104347826086951</c:v>
                </c:pt>
                <c:pt idx="159">
                  <c:v>48.104347826086951</c:v>
                </c:pt>
                <c:pt idx="160">
                  <c:v>48.104347826086951</c:v>
                </c:pt>
                <c:pt idx="161">
                  <c:v>48.104347826086951</c:v>
                </c:pt>
                <c:pt idx="162">
                  <c:v>48.104347826086951</c:v>
                </c:pt>
                <c:pt idx="163">
                  <c:v>48.104347826086951</c:v>
                </c:pt>
                <c:pt idx="164">
                  <c:v>48.104347826086951</c:v>
                </c:pt>
                <c:pt idx="165">
                  <c:v>48.104347826086951</c:v>
                </c:pt>
                <c:pt idx="166">
                  <c:v>48.104347826086951</c:v>
                </c:pt>
                <c:pt idx="167">
                  <c:v>48.104347826086951</c:v>
                </c:pt>
                <c:pt idx="168">
                  <c:v>48.104347826086951</c:v>
                </c:pt>
                <c:pt idx="169">
                  <c:v>48.104347826086951</c:v>
                </c:pt>
                <c:pt idx="170">
                  <c:v>48.104347826086951</c:v>
                </c:pt>
                <c:pt idx="171">
                  <c:v>48.104347826086951</c:v>
                </c:pt>
                <c:pt idx="172">
                  <c:v>48.104347826086951</c:v>
                </c:pt>
                <c:pt idx="173">
                  <c:v>48.104347826086951</c:v>
                </c:pt>
                <c:pt idx="174">
                  <c:v>48.104347826086951</c:v>
                </c:pt>
                <c:pt idx="175">
                  <c:v>48.104347826086951</c:v>
                </c:pt>
                <c:pt idx="176">
                  <c:v>48.104347826086951</c:v>
                </c:pt>
                <c:pt idx="177">
                  <c:v>48.104347826086951</c:v>
                </c:pt>
                <c:pt idx="178">
                  <c:v>48.104347826086951</c:v>
                </c:pt>
                <c:pt idx="179">
                  <c:v>48.104347826086951</c:v>
                </c:pt>
                <c:pt idx="180">
                  <c:v>48.104347826086951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E00-8C6A-8252CB19B858}"/>
            </c:ext>
          </c:extLst>
        </c:ser>
        <c:ser>
          <c:idx val="2"/>
          <c:order val="2"/>
          <c:tx>
            <c:strRef>
              <c:f>Statistik!$AN$8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Statistik!$AN$9:$AN$192</c:f>
              <c:numCache>
                <c:formatCode>0.0</c:formatCode>
                <c:ptCount val="184"/>
                <c:pt idx="0">
                  <c:v>52.277593646348265</c:v>
                </c:pt>
                <c:pt idx="1">
                  <c:v>52.277593646348265</c:v>
                </c:pt>
                <c:pt idx="2">
                  <c:v>52.277593646348265</c:v>
                </c:pt>
                <c:pt idx="3">
                  <c:v>52.277593646348265</c:v>
                </c:pt>
                <c:pt idx="4">
                  <c:v>52.277593646348265</c:v>
                </c:pt>
                <c:pt idx="5">
                  <c:v>52.277593646348265</c:v>
                </c:pt>
                <c:pt idx="6">
                  <c:v>52.277593646348265</c:v>
                </c:pt>
                <c:pt idx="7">
                  <c:v>52.277593646348265</c:v>
                </c:pt>
                <c:pt idx="8">
                  <c:v>52.277593646348265</c:v>
                </c:pt>
                <c:pt idx="9">
                  <c:v>52.277593646348265</c:v>
                </c:pt>
                <c:pt idx="10">
                  <c:v>52.277593646348265</c:v>
                </c:pt>
                <c:pt idx="11">
                  <c:v>52.277593646348265</c:v>
                </c:pt>
                <c:pt idx="12">
                  <c:v>52.277593646348265</c:v>
                </c:pt>
                <c:pt idx="13">
                  <c:v>52.277593646348265</c:v>
                </c:pt>
                <c:pt idx="14">
                  <c:v>52.277593646348265</c:v>
                </c:pt>
                <c:pt idx="15">
                  <c:v>52.277593646348265</c:v>
                </c:pt>
                <c:pt idx="16">
                  <c:v>52.277593646348265</c:v>
                </c:pt>
                <c:pt idx="17">
                  <c:v>52.277593646348265</c:v>
                </c:pt>
                <c:pt idx="18">
                  <c:v>52.277593646348265</c:v>
                </c:pt>
                <c:pt idx="19">
                  <c:v>52.277593646348265</c:v>
                </c:pt>
                <c:pt idx="20">
                  <c:v>52.277593646348265</c:v>
                </c:pt>
                <c:pt idx="21">
                  <c:v>52.277593646348265</c:v>
                </c:pt>
                <c:pt idx="22">
                  <c:v>52.277593646348265</c:v>
                </c:pt>
                <c:pt idx="23">
                  <c:v>52.277593646348265</c:v>
                </c:pt>
                <c:pt idx="24">
                  <c:v>52.277593646348265</c:v>
                </c:pt>
                <c:pt idx="25">
                  <c:v>52.277593646348265</c:v>
                </c:pt>
                <c:pt idx="26">
                  <c:v>52.277593646348265</c:v>
                </c:pt>
                <c:pt idx="27">
                  <c:v>52.277593646348265</c:v>
                </c:pt>
                <c:pt idx="28">
                  <c:v>52.277593646348265</c:v>
                </c:pt>
                <c:pt idx="29">
                  <c:v>52.277593646348265</c:v>
                </c:pt>
                <c:pt idx="30">
                  <c:v>52.277593646348265</c:v>
                </c:pt>
                <c:pt idx="31">
                  <c:v>52.277593646348265</c:v>
                </c:pt>
                <c:pt idx="32">
                  <c:v>52.277593646348265</c:v>
                </c:pt>
                <c:pt idx="33">
                  <c:v>52.277593646348265</c:v>
                </c:pt>
                <c:pt idx="34">
                  <c:v>52.277593646348265</c:v>
                </c:pt>
                <c:pt idx="35">
                  <c:v>52.277593646348265</c:v>
                </c:pt>
                <c:pt idx="36">
                  <c:v>52.277593646348265</c:v>
                </c:pt>
                <c:pt idx="37">
                  <c:v>52.277593646348265</c:v>
                </c:pt>
                <c:pt idx="38">
                  <c:v>52.277593646348265</c:v>
                </c:pt>
                <c:pt idx="39">
                  <c:v>52.277593646348265</c:v>
                </c:pt>
                <c:pt idx="40">
                  <c:v>52.277593646348265</c:v>
                </c:pt>
                <c:pt idx="41">
                  <c:v>52.277593646348265</c:v>
                </c:pt>
                <c:pt idx="42">
                  <c:v>52.277593646348265</c:v>
                </c:pt>
                <c:pt idx="43">
                  <c:v>52.277593646348265</c:v>
                </c:pt>
                <c:pt idx="44">
                  <c:v>52.277593646348265</c:v>
                </c:pt>
                <c:pt idx="45">
                  <c:v>52.277593646348265</c:v>
                </c:pt>
                <c:pt idx="46">
                  <c:v>52.277593646348265</c:v>
                </c:pt>
                <c:pt idx="47">
                  <c:v>52.277593646348265</c:v>
                </c:pt>
                <c:pt idx="48">
                  <c:v>52.277593646348265</c:v>
                </c:pt>
                <c:pt idx="49">
                  <c:v>52.277593646348265</c:v>
                </c:pt>
                <c:pt idx="50">
                  <c:v>52.277593646348265</c:v>
                </c:pt>
                <c:pt idx="51">
                  <c:v>52.277593646348265</c:v>
                </c:pt>
                <c:pt idx="52">
                  <c:v>52.277593646348265</c:v>
                </c:pt>
                <c:pt idx="53">
                  <c:v>52.277593646348265</c:v>
                </c:pt>
                <c:pt idx="54">
                  <c:v>52.277593646348265</c:v>
                </c:pt>
                <c:pt idx="55">
                  <c:v>52.277593646348265</c:v>
                </c:pt>
                <c:pt idx="56">
                  <c:v>52.277593646348265</c:v>
                </c:pt>
                <c:pt idx="57">
                  <c:v>52.277593646348265</c:v>
                </c:pt>
                <c:pt idx="58">
                  <c:v>52.277593646348265</c:v>
                </c:pt>
                <c:pt idx="59">
                  <c:v>52.277593646348265</c:v>
                </c:pt>
                <c:pt idx="60">
                  <c:v>52.277593646348265</c:v>
                </c:pt>
                <c:pt idx="61">
                  <c:v>52.277593646348265</c:v>
                </c:pt>
                <c:pt idx="62">
                  <c:v>52.277593646348265</c:v>
                </c:pt>
                <c:pt idx="63">
                  <c:v>52.277593646348265</c:v>
                </c:pt>
                <c:pt idx="64">
                  <c:v>52.277593646348265</c:v>
                </c:pt>
                <c:pt idx="65">
                  <c:v>52.277593646348265</c:v>
                </c:pt>
                <c:pt idx="66">
                  <c:v>52.277593646348265</c:v>
                </c:pt>
                <c:pt idx="67">
                  <c:v>52.277593646348265</c:v>
                </c:pt>
                <c:pt idx="68">
                  <c:v>52.277593646348265</c:v>
                </c:pt>
                <c:pt idx="69">
                  <c:v>52.277593646348265</c:v>
                </c:pt>
                <c:pt idx="70">
                  <c:v>52.277593646348265</c:v>
                </c:pt>
                <c:pt idx="71">
                  <c:v>52.277593646348265</c:v>
                </c:pt>
                <c:pt idx="72">
                  <c:v>52.277593646348265</c:v>
                </c:pt>
                <c:pt idx="73">
                  <c:v>52.277593646348265</c:v>
                </c:pt>
                <c:pt idx="74">
                  <c:v>52.277593646348265</c:v>
                </c:pt>
                <c:pt idx="75">
                  <c:v>52.277593646348265</c:v>
                </c:pt>
                <c:pt idx="76">
                  <c:v>52.277593646348265</c:v>
                </c:pt>
                <c:pt idx="77">
                  <c:v>52.277593646348265</c:v>
                </c:pt>
                <c:pt idx="78">
                  <c:v>52.277593646348265</c:v>
                </c:pt>
                <c:pt idx="79">
                  <c:v>52.277593646348265</c:v>
                </c:pt>
                <c:pt idx="80">
                  <c:v>52.277593646348265</c:v>
                </c:pt>
                <c:pt idx="81">
                  <c:v>52.277593646348265</c:v>
                </c:pt>
                <c:pt idx="82">
                  <c:v>52.277593646348265</c:v>
                </c:pt>
                <c:pt idx="83">
                  <c:v>52.277593646348265</c:v>
                </c:pt>
                <c:pt idx="84">
                  <c:v>52.277593646348265</c:v>
                </c:pt>
                <c:pt idx="85">
                  <c:v>52.277593646348265</c:v>
                </c:pt>
                <c:pt idx="86">
                  <c:v>52.277593646348265</c:v>
                </c:pt>
                <c:pt idx="87">
                  <c:v>52.277593646348265</c:v>
                </c:pt>
                <c:pt idx="88">
                  <c:v>52.277593646348265</c:v>
                </c:pt>
                <c:pt idx="89">
                  <c:v>52.277593646348265</c:v>
                </c:pt>
                <c:pt idx="90">
                  <c:v>52.277593646348265</c:v>
                </c:pt>
                <c:pt idx="91">
                  <c:v>52.277593646348265</c:v>
                </c:pt>
                <c:pt idx="92">
                  <c:v>52.277593646348265</c:v>
                </c:pt>
                <c:pt idx="93">
                  <c:v>52.277593646348265</c:v>
                </c:pt>
                <c:pt idx="94">
                  <c:v>52.277593646348265</c:v>
                </c:pt>
                <c:pt idx="95">
                  <c:v>52.277593646348265</c:v>
                </c:pt>
                <c:pt idx="96">
                  <c:v>52.277593646348265</c:v>
                </c:pt>
                <c:pt idx="97">
                  <c:v>52.277593646348265</c:v>
                </c:pt>
                <c:pt idx="98">
                  <c:v>52.277593646348265</c:v>
                </c:pt>
                <c:pt idx="99">
                  <c:v>52.277593646348265</c:v>
                </c:pt>
                <c:pt idx="100">
                  <c:v>52.277593646348265</c:v>
                </c:pt>
                <c:pt idx="101">
                  <c:v>52.277593646348265</c:v>
                </c:pt>
                <c:pt idx="102">
                  <c:v>52.277593646348265</c:v>
                </c:pt>
                <c:pt idx="103">
                  <c:v>52.277593646348265</c:v>
                </c:pt>
                <c:pt idx="104">
                  <c:v>52.277593646348265</c:v>
                </c:pt>
                <c:pt idx="105">
                  <c:v>52.277593646348265</c:v>
                </c:pt>
                <c:pt idx="106">
                  <c:v>52.277593646348265</c:v>
                </c:pt>
                <c:pt idx="107">
                  <c:v>52.277593646348265</c:v>
                </c:pt>
                <c:pt idx="108">
                  <c:v>52.277593646348265</c:v>
                </c:pt>
                <c:pt idx="109">
                  <c:v>52.277593646348265</c:v>
                </c:pt>
                <c:pt idx="110">
                  <c:v>52.277593646348265</c:v>
                </c:pt>
                <c:pt idx="111">
                  <c:v>52.277593646348265</c:v>
                </c:pt>
                <c:pt idx="112">
                  <c:v>52.277593646348265</c:v>
                </c:pt>
                <c:pt idx="113">
                  <c:v>52.277593646348265</c:v>
                </c:pt>
                <c:pt idx="114">
                  <c:v>52.277593646348265</c:v>
                </c:pt>
                <c:pt idx="115">
                  <c:v>52.277593646348265</c:v>
                </c:pt>
                <c:pt idx="116">
                  <c:v>52.277593646348265</c:v>
                </c:pt>
                <c:pt idx="117">
                  <c:v>52.277593646348265</c:v>
                </c:pt>
                <c:pt idx="118">
                  <c:v>52.277593646348265</c:v>
                </c:pt>
                <c:pt idx="119">
                  <c:v>52.277593646348265</c:v>
                </c:pt>
                <c:pt idx="120">
                  <c:v>52.277593646348265</c:v>
                </c:pt>
                <c:pt idx="121">
                  <c:v>52.277593646348265</c:v>
                </c:pt>
                <c:pt idx="122">
                  <c:v>52.277593646348265</c:v>
                </c:pt>
                <c:pt idx="123">
                  <c:v>52.277593646348265</c:v>
                </c:pt>
                <c:pt idx="124">
                  <c:v>52.277593646348265</c:v>
                </c:pt>
                <c:pt idx="125">
                  <c:v>52.277593646348265</c:v>
                </c:pt>
                <c:pt idx="126">
                  <c:v>52.277593646348265</c:v>
                </c:pt>
                <c:pt idx="127">
                  <c:v>52.277593646348265</c:v>
                </c:pt>
                <c:pt idx="128">
                  <c:v>52.277593646348265</c:v>
                </c:pt>
                <c:pt idx="129">
                  <c:v>52.277593646348265</c:v>
                </c:pt>
                <c:pt idx="130">
                  <c:v>52.277593646348265</c:v>
                </c:pt>
                <c:pt idx="131">
                  <c:v>52.277593646348265</c:v>
                </c:pt>
                <c:pt idx="132">
                  <c:v>52.277593646348265</c:v>
                </c:pt>
                <c:pt idx="133">
                  <c:v>52.277593646348265</c:v>
                </c:pt>
                <c:pt idx="134">
                  <c:v>52.277593646348265</c:v>
                </c:pt>
                <c:pt idx="135">
                  <c:v>52.277593646348265</c:v>
                </c:pt>
                <c:pt idx="136">
                  <c:v>52.277593646348265</c:v>
                </c:pt>
                <c:pt idx="137">
                  <c:v>52.277593646348265</c:v>
                </c:pt>
                <c:pt idx="138">
                  <c:v>52.277593646348265</c:v>
                </c:pt>
                <c:pt idx="139">
                  <c:v>52.277593646348265</c:v>
                </c:pt>
                <c:pt idx="140">
                  <c:v>52.277593646348265</c:v>
                </c:pt>
                <c:pt idx="141">
                  <c:v>52.277593646348265</c:v>
                </c:pt>
                <c:pt idx="142">
                  <c:v>52.277593646348265</c:v>
                </c:pt>
                <c:pt idx="143">
                  <c:v>52.277593646348265</c:v>
                </c:pt>
                <c:pt idx="144">
                  <c:v>52.277593646348265</c:v>
                </c:pt>
                <c:pt idx="145">
                  <c:v>52.277593646348265</c:v>
                </c:pt>
                <c:pt idx="146">
                  <c:v>52.277593646348265</c:v>
                </c:pt>
                <c:pt idx="147">
                  <c:v>52.277593646348265</c:v>
                </c:pt>
                <c:pt idx="148">
                  <c:v>52.277593646348265</c:v>
                </c:pt>
                <c:pt idx="149">
                  <c:v>52.277593646348265</c:v>
                </c:pt>
                <c:pt idx="150">
                  <c:v>52.277593646348265</c:v>
                </c:pt>
                <c:pt idx="151">
                  <c:v>52.277593646348265</c:v>
                </c:pt>
                <c:pt idx="152">
                  <c:v>52.277593646348265</c:v>
                </c:pt>
                <c:pt idx="153">
                  <c:v>52.277593646348265</c:v>
                </c:pt>
                <c:pt idx="154">
                  <c:v>52.277593646348265</c:v>
                </c:pt>
                <c:pt idx="155">
                  <c:v>52.277593646348265</c:v>
                </c:pt>
                <c:pt idx="156">
                  <c:v>52.277593646348265</c:v>
                </c:pt>
                <c:pt idx="157">
                  <c:v>52.277593646348265</c:v>
                </c:pt>
                <c:pt idx="158">
                  <c:v>52.277593646348265</c:v>
                </c:pt>
                <c:pt idx="159">
                  <c:v>52.277593646348265</c:v>
                </c:pt>
                <c:pt idx="160">
                  <c:v>52.277593646348265</c:v>
                </c:pt>
                <c:pt idx="161">
                  <c:v>52.277593646348265</c:v>
                </c:pt>
                <c:pt idx="162">
                  <c:v>52.277593646348265</c:v>
                </c:pt>
                <c:pt idx="163">
                  <c:v>52.277593646348265</c:v>
                </c:pt>
                <c:pt idx="164">
                  <c:v>52.277593646348265</c:v>
                </c:pt>
                <c:pt idx="165">
                  <c:v>52.277593646348265</c:v>
                </c:pt>
                <c:pt idx="166">
                  <c:v>52.277593646348265</c:v>
                </c:pt>
                <c:pt idx="167">
                  <c:v>52.277593646348265</c:v>
                </c:pt>
                <c:pt idx="168">
                  <c:v>52.277593646348265</c:v>
                </c:pt>
                <c:pt idx="169">
                  <c:v>52.277593646348265</c:v>
                </c:pt>
                <c:pt idx="170">
                  <c:v>52.277593646348265</c:v>
                </c:pt>
                <c:pt idx="171">
                  <c:v>52.277593646348265</c:v>
                </c:pt>
                <c:pt idx="172">
                  <c:v>52.277593646348265</c:v>
                </c:pt>
                <c:pt idx="173">
                  <c:v>52.277593646348265</c:v>
                </c:pt>
                <c:pt idx="174">
                  <c:v>52.277593646348265</c:v>
                </c:pt>
                <c:pt idx="175">
                  <c:v>52.277593646348265</c:v>
                </c:pt>
                <c:pt idx="176">
                  <c:v>52.277593646348265</c:v>
                </c:pt>
                <c:pt idx="177">
                  <c:v>52.277593646348265</c:v>
                </c:pt>
                <c:pt idx="178">
                  <c:v>52.277593646348265</c:v>
                </c:pt>
                <c:pt idx="179">
                  <c:v>52.277593646348265</c:v>
                </c:pt>
                <c:pt idx="180">
                  <c:v>52.277593646348265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5-4E00-8C6A-8252CB19B858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Statistik!$AO$9:$AO$192</c:f>
              <c:numCache>
                <c:formatCode>0.0</c:formatCode>
                <c:ptCount val="184"/>
                <c:pt idx="0">
                  <c:v>43.931102005825636</c:v>
                </c:pt>
                <c:pt idx="1">
                  <c:v>43.931102005825636</c:v>
                </c:pt>
                <c:pt idx="2">
                  <c:v>43.931102005825636</c:v>
                </c:pt>
                <c:pt idx="3">
                  <c:v>43.931102005825636</c:v>
                </c:pt>
                <c:pt idx="4">
                  <c:v>43.931102005825636</c:v>
                </c:pt>
                <c:pt idx="5">
                  <c:v>43.931102005825636</c:v>
                </c:pt>
                <c:pt idx="6">
                  <c:v>43.931102005825636</c:v>
                </c:pt>
                <c:pt idx="7">
                  <c:v>43.931102005825636</c:v>
                </c:pt>
                <c:pt idx="8">
                  <c:v>43.931102005825636</c:v>
                </c:pt>
                <c:pt idx="9">
                  <c:v>43.931102005825636</c:v>
                </c:pt>
                <c:pt idx="10">
                  <c:v>43.931102005825636</c:v>
                </c:pt>
                <c:pt idx="11">
                  <c:v>43.931102005825636</c:v>
                </c:pt>
                <c:pt idx="12">
                  <c:v>43.931102005825636</c:v>
                </c:pt>
                <c:pt idx="13">
                  <c:v>43.931102005825636</c:v>
                </c:pt>
                <c:pt idx="14">
                  <c:v>43.931102005825636</c:v>
                </c:pt>
                <c:pt idx="15">
                  <c:v>43.931102005825636</c:v>
                </c:pt>
                <c:pt idx="16">
                  <c:v>43.931102005825636</c:v>
                </c:pt>
                <c:pt idx="17">
                  <c:v>43.931102005825636</c:v>
                </c:pt>
                <c:pt idx="18">
                  <c:v>43.931102005825636</c:v>
                </c:pt>
                <c:pt idx="19">
                  <c:v>43.931102005825636</c:v>
                </c:pt>
                <c:pt idx="20">
                  <c:v>43.931102005825636</c:v>
                </c:pt>
                <c:pt idx="21">
                  <c:v>43.931102005825636</c:v>
                </c:pt>
                <c:pt idx="22">
                  <c:v>43.931102005825636</c:v>
                </c:pt>
                <c:pt idx="23">
                  <c:v>43.931102005825636</c:v>
                </c:pt>
                <c:pt idx="24">
                  <c:v>43.931102005825636</c:v>
                </c:pt>
                <c:pt idx="25">
                  <c:v>43.931102005825636</c:v>
                </c:pt>
                <c:pt idx="26">
                  <c:v>43.931102005825636</c:v>
                </c:pt>
                <c:pt idx="27">
                  <c:v>43.931102005825636</c:v>
                </c:pt>
                <c:pt idx="28">
                  <c:v>43.931102005825636</c:v>
                </c:pt>
                <c:pt idx="29">
                  <c:v>43.931102005825636</c:v>
                </c:pt>
                <c:pt idx="30">
                  <c:v>43.931102005825636</c:v>
                </c:pt>
                <c:pt idx="31">
                  <c:v>43.931102005825636</c:v>
                </c:pt>
                <c:pt idx="32">
                  <c:v>43.931102005825636</c:v>
                </c:pt>
                <c:pt idx="33">
                  <c:v>43.931102005825636</c:v>
                </c:pt>
                <c:pt idx="34">
                  <c:v>43.931102005825636</c:v>
                </c:pt>
                <c:pt idx="35">
                  <c:v>43.931102005825636</c:v>
                </c:pt>
                <c:pt idx="36">
                  <c:v>43.931102005825636</c:v>
                </c:pt>
                <c:pt idx="37">
                  <c:v>43.931102005825636</c:v>
                </c:pt>
                <c:pt idx="38">
                  <c:v>43.931102005825636</c:v>
                </c:pt>
                <c:pt idx="39">
                  <c:v>43.931102005825636</c:v>
                </c:pt>
                <c:pt idx="40">
                  <c:v>43.931102005825636</c:v>
                </c:pt>
                <c:pt idx="41">
                  <c:v>43.931102005825636</c:v>
                </c:pt>
                <c:pt idx="42">
                  <c:v>43.931102005825636</c:v>
                </c:pt>
                <c:pt idx="43">
                  <c:v>43.931102005825636</c:v>
                </c:pt>
                <c:pt idx="44">
                  <c:v>43.931102005825636</c:v>
                </c:pt>
                <c:pt idx="45">
                  <c:v>43.931102005825636</c:v>
                </c:pt>
                <c:pt idx="46">
                  <c:v>43.931102005825636</c:v>
                </c:pt>
                <c:pt idx="47">
                  <c:v>43.931102005825636</c:v>
                </c:pt>
                <c:pt idx="48">
                  <c:v>43.931102005825636</c:v>
                </c:pt>
                <c:pt idx="49">
                  <c:v>43.931102005825636</c:v>
                </c:pt>
                <c:pt idx="50">
                  <c:v>43.931102005825636</c:v>
                </c:pt>
                <c:pt idx="51">
                  <c:v>43.931102005825636</c:v>
                </c:pt>
                <c:pt idx="52">
                  <c:v>43.931102005825636</c:v>
                </c:pt>
                <c:pt idx="53">
                  <c:v>43.931102005825636</c:v>
                </c:pt>
                <c:pt idx="54">
                  <c:v>43.931102005825636</c:v>
                </c:pt>
                <c:pt idx="55">
                  <c:v>43.931102005825636</c:v>
                </c:pt>
                <c:pt idx="56">
                  <c:v>43.931102005825636</c:v>
                </c:pt>
                <c:pt idx="57">
                  <c:v>43.931102005825636</c:v>
                </c:pt>
                <c:pt idx="58">
                  <c:v>43.931102005825636</c:v>
                </c:pt>
                <c:pt idx="59">
                  <c:v>43.931102005825636</c:v>
                </c:pt>
                <c:pt idx="60">
                  <c:v>43.931102005825636</c:v>
                </c:pt>
                <c:pt idx="61">
                  <c:v>43.931102005825636</c:v>
                </c:pt>
                <c:pt idx="62">
                  <c:v>43.931102005825636</c:v>
                </c:pt>
                <c:pt idx="63">
                  <c:v>43.931102005825636</c:v>
                </c:pt>
                <c:pt idx="64">
                  <c:v>43.931102005825636</c:v>
                </c:pt>
                <c:pt idx="65">
                  <c:v>43.931102005825636</c:v>
                </c:pt>
                <c:pt idx="66">
                  <c:v>43.931102005825636</c:v>
                </c:pt>
                <c:pt idx="67">
                  <c:v>43.931102005825636</c:v>
                </c:pt>
                <c:pt idx="68">
                  <c:v>43.931102005825636</c:v>
                </c:pt>
                <c:pt idx="69">
                  <c:v>43.931102005825636</c:v>
                </c:pt>
                <c:pt idx="70">
                  <c:v>43.931102005825636</c:v>
                </c:pt>
                <c:pt idx="71">
                  <c:v>43.931102005825636</c:v>
                </c:pt>
                <c:pt idx="72">
                  <c:v>43.931102005825636</c:v>
                </c:pt>
                <c:pt idx="73">
                  <c:v>43.931102005825636</c:v>
                </c:pt>
                <c:pt idx="74">
                  <c:v>43.931102005825636</c:v>
                </c:pt>
                <c:pt idx="75">
                  <c:v>43.931102005825636</c:v>
                </c:pt>
                <c:pt idx="76">
                  <c:v>43.931102005825636</c:v>
                </c:pt>
                <c:pt idx="77">
                  <c:v>43.931102005825636</c:v>
                </c:pt>
                <c:pt idx="78">
                  <c:v>43.931102005825636</c:v>
                </c:pt>
                <c:pt idx="79">
                  <c:v>43.931102005825636</c:v>
                </c:pt>
                <c:pt idx="80">
                  <c:v>43.931102005825636</c:v>
                </c:pt>
                <c:pt idx="81">
                  <c:v>43.931102005825636</c:v>
                </c:pt>
                <c:pt idx="82">
                  <c:v>43.931102005825636</c:v>
                </c:pt>
                <c:pt idx="83">
                  <c:v>43.931102005825636</c:v>
                </c:pt>
                <c:pt idx="84">
                  <c:v>43.931102005825636</c:v>
                </c:pt>
                <c:pt idx="85">
                  <c:v>43.931102005825636</c:v>
                </c:pt>
                <c:pt idx="86">
                  <c:v>43.931102005825636</c:v>
                </c:pt>
                <c:pt idx="87">
                  <c:v>43.931102005825636</c:v>
                </c:pt>
                <c:pt idx="88">
                  <c:v>43.931102005825636</c:v>
                </c:pt>
                <c:pt idx="89">
                  <c:v>43.931102005825636</c:v>
                </c:pt>
                <c:pt idx="90">
                  <c:v>43.931102005825636</c:v>
                </c:pt>
                <c:pt idx="91">
                  <c:v>43.931102005825636</c:v>
                </c:pt>
                <c:pt idx="92">
                  <c:v>43.931102005825636</c:v>
                </c:pt>
                <c:pt idx="93">
                  <c:v>43.931102005825636</c:v>
                </c:pt>
                <c:pt idx="94">
                  <c:v>43.931102005825636</c:v>
                </c:pt>
                <c:pt idx="95">
                  <c:v>43.931102005825636</c:v>
                </c:pt>
                <c:pt idx="96">
                  <c:v>43.931102005825636</c:v>
                </c:pt>
                <c:pt idx="97">
                  <c:v>43.931102005825636</c:v>
                </c:pt>
                <c:pt idx="98">
                  <c:v>43.931102005825636</c:v>
                </c:pt>
                <c:pt idx="99">
                  <c:v>43.931102005825636</c:v>
                </c:pt>
                <c:pt idx="100">
                  <c:v>43.931102005825636</c:v>
                </c:pt>
                <c:pt idx="101">
                  <c:v>43.931102005825636</c:v>
                </c:pt>
                <c:pt idx="102">
                  <c:v>43.931102005825636</c:v>
                </c:pt>
                <c:pt idx="103">
                  <c:v>43.931102005825636</c:v>
                </c:pt>
                <c:pt idx="104">
                  <c:v>43.931102005825636</c:v>
                </c:pt>
                <c:pt idx="105">
                  <c:v>43.931102005825636</c:v>
                </c:pt>
                <c:pt idx="106">
                  <c:v>43.931102005825636</c:v>
                </c:pt>
                <c:pt idx="107">
                  <c:v>43.931102005825636</c:v>
                </c:pt>
                <c:pt idx="108">
                  <c:v>43.931102005825636</c:v>
                </c:pt>
                <c:pt idx="109">
                  <c:v>43.931102005825636</c:v>
                </c:pt>
                <c:pt idx="110">
                  <c:v>43.931102005825636</c:v>
                </c:pt>
                <c:pt idx="111">
                  <c:v>43.931102005825636</c:v>
                </c:pt>
                <c:pt idx="112">
                  <c:v>43.931102005825636</c:v>
                </c:pt>
                <c:pt idx="113">
                  <c:v>43.931102005825636</c:v>
                </c:pt>
                <c:pt idx="114">
                  <c:v>43.931102005825636</c:v>
                </c:pt>
                <c:pt idx="115">
                  <c:v>43.931102005825636</c:v>
                </c:pt>
                <c:pt idx="116">
                  <c:v>43.931102005825636</c:v>
                </c:pt>
                <c:pt idx="117">
                  <c:v>43.931102005825636</c:v>
                </c:pt>
                <c:pt idx="118">
                  <c:v>43.931102005825636</c:v>
                </c:pt>
                <c:pt idx="119">
                  <c:v>43.931102005825636</c:v>
                </c:pt>
                <c:pt idx="120">
                  <c:v>43.931102005825636</c:v>
                </c:pt>
                <c:pt idx="121">
                  <c:v>43.931102005825636</c:v>
                </c:pt>
                <c:pt idx="122">
                  <c:v>43.931102005825636</c:v>
                </c:pt>
                <c:pt idx="123">
                  <c:v>43.931102005825636</c:v>
                </c:pt>
                <c:pt idx="124">
                  <c:v>43.931102005825636</c:v>
                </c:pt>
                <c:pt idx="125">
                  <c:v>43.931102005825636</c:v>
                </c:pt>
                <c:pt idx="126">
                  <c:v>43.931102005825636</c:v>
                </c:pt>
                <c:pt idx="127">
                  <c:v>43.931102005825636</c:v>
                </c:pt>
                <c:pt idx="128">
                  <c:v>43.931102005825636</c:v>
                </c:pt>
                <c:pt idx="129">
                  <c:v>43.931102005825636</c:v>
                </c:pt>
                <c:pt idx="130">
                  <c:v>43.931102005825636</c:v>
                </c:pt>
                <c:pt idx="131">
                  <c:v>43.931102005825636</c:v>
                </c:pt>
                <c:pt idx="132">
                  <c:v>43.931102005825636</c:v>
                </c:pt>
                <c:pt idx="133">
                  <c:v>43.931102005825636</c:v>
                </c:pt>
                <c:pt idx="134">
                  <c:v>43.931102005825636</c:v>
                </c:pt>
                <c:pt idx="135">
                  <c:v>43.931102005825636</c:v>
                </c:pt>
                <c:pt idx="136">
                  <c:v>43.931102005825636</c:v>
                </c:pt>
                <c:pt idx="137">
                  <c:v>43.931102005825636</c:v>
                </c:pt>
                <c:pt idx="138">
                  <c:v>43.931102005825636</c:v>
                </c:pt>
                <c:pt idx="139">
                  <c:v>43.931102005825636</c:v>
                </c:pt>
                <c:pt idx="140">
                  <c:v>43.931102005825636</c:v>
                </c:pt>
                <c:pt idx="141">
                  <c:v>43.931102005825636</c:v>
                </c:pt>
                <c:pt idx="142">
                  <c:v>43.931102005825636</c:v>
                </c:pt>
                <c:pt idx="143">
                  <c:v>43.931102005825636</c:v>
                </c:pt>
                <c:pt idx="144">
                  <c:v>43.931102005825636</c:v>
                </c:pt>
                <c:pt idx="145">
                  <c:v>43.931102005825636</c:v>
                </c:pt>
                <c:pt idx="146">
                  <c:v>43.931102005825636</c:v>
                </c:pt>
                <c:pt idx="147">
                  <c:v>43.931102005825636</c:v>
                </c:pt>
                <c:pt idx="148">
                  <c:v>43.931102005825636</c:v>
                </c:pt>
                <c:pt idx="149">
                  <c:v>43.931102005825636</c:v>
                </c:pt>
                <c:pt idx="150">
                  <c:v>43.931102005825636</c:v>
                </c:pt>
                <c:pt idx="151">
                  <c:v>43.931102005825636</c:v>
                </c:pt>
                <c:pt idx="152">
                  <c:v>43.931102005825636</c:v>
                </c:pt>
                <c:pt idx="153">
                  <c:v>43.931102005825636</c:v>
                </c:pt>
                <c:pt idx="154">
                  <c:v>43.931102005825636</c:v>
                </c:pt>
                <c:pt idx="155">
                  <c:v>43.931102005825636</c:v>
                </c:pt>
                <c:pt idx="156">
                  <c:v>43.931102005825636</c:v>
                </c:pt>
                <c:pt idx="157">
                  <c:v>43.931102005825636</c:v>
                </c:pt>
                <c:pt idx="158">
                  <c:v>43.931102005825636</c:v>
                </c:pt>
                <c:pt idx="159">
                  <c:v>43.931102005825636</c:v>
                </c:pt>
                <c:pt idx="160">
                  <c:v>43.931102005825636</c:v>
                </c:pt>
                <c:pt idx="161">
                  <c:v>43.931102005825636</c:v>
                </c:pt>
                <c:pt idx="162">
                  <c:v>43.931102005825636</c:v>
                </c:pt>
                <c:pt idx="163">
                  <c:v>43.931102005825636</c:v>
                </c:pt>
                <c:pt idx="164">
                  <c:v>43.931102005825636</c:v>
                </c:pt>
                <c:pt idx="165">
                  <c:v>43.931102005825636</c:v>
                </c:pt>
                <c:pt idx="166">
                  <c:v>43.931102005825636</c:v>
                </c:pt>
                <c:pt idx="167">
                  <c:v>43.931102005825636</c:v>
                </c:pt>
                <c:pt idx="168">
                  <c:v>43.931102005825636</c:v>
                </c:pt>
                <c:pt idx="169">
                  <c:v>43.931102005825636</c:v>
                </c:pt>
                <c:pt idx="170">
                  <c:v>43.931102005825636</c:v>
                </c:pt>
                <c:pt idx="171">
                  <c:v>43.931102005825636</c:v>
                </c:pt>
                <c:pt idx="172">
                  <c:v>43.931102005825636</c:v>
                </c:pt>
                <c:pt idx="173">
                  <c:v>43.931102005825636</c:v>
                </c:pt>
                <c:pt idx="174">
                  <c:v>43.931102005825636</c:v>
                </c:pt>
                <c:pt idx="175">
                  <c:v>43.931102005825636</c:v>
                </c:pt>
                <c:pt idx="176">
                  <c:v>43.931102005825636</c:v>
                </c:pt>
                <c:pt idx="177">
                  <c:v>43.931102005825636</c:v>
                </c:pt>
                <c:pt idx="178">
                  <c:v>43.931102005825636</c:v>
                </c:pt>
                <c:pt idx="179">
                  <c:v>43.931102005825636</c:v>
                </c:pt>
                <c:pt idx="180">
                  <c:v>43.931102005825636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5-4E00-8C6A-8252CB19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26688"/>
        <c:axId val="244244864"/>
      </c:lineChart>
      <c:dateAx>
        <c:axId val="244226688"/>
        <c:scaling>
          <c:orientation val="minMax"/>
          <c:min val="44197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244864"/>
        <c:crosses val="autoZero"/>
        <c:auto val="1"/>
        <c:lblOffset val="100"/>
        <c:baseTimeUnit val="days"/>
      </c:dateAx>
      <c:valAx>
        <c:axId val="24424486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226688"/>
        <c:crosses val="autoZero"/>
        <c:crossBetween val="between"/>
        <c:majorUnit val="2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572783063908596"/>
          <c:y val="2.7777777777777776E-2"/>
          <c:w val="0.14939709318784877"/>
          <c:h val="0.237743875765529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konduktivitet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Diagram!$AR$99:$AR$110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Diagram!$AS$99:$AS$110</c:f>
              <c:numCache>
                <c:formatCode>General</c:formatCode>
                <c:ptCount val="12"/>
                <c:pt idx="0">
                  <c:v>45.8</c:v>
                </c:pt>
                <c:pt idx="1">
                  <c:v>47.1</c:v>
                </c:pt>
                <c:pt idx="2">
                  <c:v>50</c:v>
                </c:pt>
                <c:pt idx="3">
                  <c:v>57.6</c:v>
                </c:pt>
                <c:pt idx="4">
                  <c:v>55.1</c:v>
                </c:pt>
                <c:pt idx="5">
                  <c:v>52.1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3-404F-934D-3DD36835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73920"/>
        <c:axId val="244275840"/>
      </c:lineChart>
      <c:dateAx>
        <c:axId val="24427392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275840"/>
        <c:crosses val="autoZero"/>
        <c:auto val="1"/>
        <c:lblOffset val="100"/>
        <c:baseTimeUnit val="days"/>
        <c:majorUnit val="1"/>
      </c:dateAx>
      <c:valAx>
        <c:axId val="244275840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27392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BOD-7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522751575245017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Statistik!$J$8</c:f>
              <c:strCache>
                <c:ptCount val="1"/>
                <c:pt idx="0">
                  <c:v>BOD7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Statistik!$CJ$9:$CJ$192</c:f>
              <c:numCache>
                <c:formatCode>General</c:formatCode>
                <c:ptCount val="184"/>
                <c:pt idx="0">
                  <c:v>0</c:v>
                </c:pt>
                <c:pt idx="1">
                  <c:v>3</c:v>
                </c:pt>
                <c:pt idx="2">
                  <c:v>3.2</c:v>
                </c:pt>
                <c:pt idx="3">
                  <c:v>4.4000000000000004</c:v>
                </c:pt>
                <c:pt idx="4">
                  <c:v>5.8</c:v>
                </c:pt>
                <c:pt idx="5">
                  <c:v>2.2999999999999998</c:v>
                </c:pt>
                <c:pt idx="6">
                  <c:v>1.8</c:v>
                </c:pt>
                <c:pt idx="7">
                  <c:v>2</c:v>
                </c:pt>
                <c:pt idx="8">
                  <c:v>1.5</c:v>
                </c:pt>
                <c:pt idx="9">
                  <c:v>2.2999999999999998</c:v>
                </c:pt>
                <c:pt idx="10">
                  <c:v>1.8</c:v>
                </c:pt>
                <c:pt idx="11">
                  <c:v>0.9</c:v>
                </c:pt>
                <c:pt idx="12">
                  <c:v>3.4</c:v>
                </c:pt>
                <c:pt idx="13">
                  <c:v>2.6</c:v>
                </c:pt>
                <c:pt idx="14">
                  <c:v>4.8</c:v>
                </c:pt>
                <c:pt idx="15">
                  <c:v>4.3</c:v>
                </c:pt>
                <c:pt idx="16">
                  <c:v>2.25</c:v>
                </c:pt>
                <c:pt idx="17">
                  <c:v>3.3</c:v>
                </c:pt>
                <c:pt idx="18">
                  <c:v>1.65</c:v>
                </c:pt>
                <c:pt idx="19">
                  <c:v>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1.6</c:v>
                </c:pt>
                <c:pt idx="23">
                  <c:v>2.2999999999999998</c:v>
                </c:pt>
                <c:pt idx="24">
                  <c:v>2.4500000000000002</c:v>
                </c:pt>
                <c:pt idx="25">
                  <c:v>2.5</c:v>
                </c:pt>
                <c:pt idx="26">
                  <c:v>0.5</c:v>
                </c:pt>
                <c:pt idx="27">
                  <c:v>2.2999999999999998</c:v>
                </c:pt>
                <c:pt idx="28">
                  <c:v>3</c:v>
                </c:pt>
                <c:pt idx="29">
                  <c:v>2.8</c:v>
                </c:pt>
                <c:pt idx="30">
                  <c:v>1.3</c:v>
                </c:pt>
                <c:pt idx="31">
                  <c:v>0.75</c:v>
                </c:pt>
                <c:pt idx="32">
                  <c:v>1.1000000000000001</c:v>
                </c:pt>
                <c:pt idx="33">
                  <c:v>0.85</c:v>
                </c:pt>
                <c:pt idx="34">
                  <c:v>1.4</c:v>
                </c:pt>
                <c:pt idx="35">
                  <c:v>1.4</c:v>
                </c:pt>
                <c:pt idx="36">
                  <c:v>2.5</c:v>
                </c:pt>
                <c:pt idx="37">
                  <c:v>2.2999999999999998</c:v>
                </c:pt>
                <c:pt idx="38">
                  <c:v>2.2999999999999998</c:v>
                </c:pt>
                <c:pt idx="39">
                  <c:v>2.5</c:v>
                </c:pt>
                <c:pt idx="40">
                  <c:v>2.4</c:v>
                </c:pt>
                <c:pt idx="41">
                  <c:v>3.7</c:v>
                </c:pt>
                <c:pt idx="42">
                  <c:v>1.4</c:v>
                </c:pt>
                <c:pt idx="43">
                  <c:v>0.88</c:v>
                </c:pt>
                <c:pt idx="44">
                  <c:v>0.8</c:v>
                </c:pt>
                <c:pt idx="45">
                  <c:v>1</c:v>
                </c:pt>
                <c:pt idx="46">
                  <c:v>0.5</c:v>
                </c:pt>
                <c:pt idx="47">
                  <c:v>1.6</c:v>
                </c:pt>
                <c:pt idx="48">
                  <c:v>1.8</c:v>
                </c:pt>
                <c:pt idx="49">
                  <c:v>2.4</c:v>
                </c:pt>
                <c:pt idx="50">
                  <c:v>2.4</c:v>
                </c:pt>
                <c:pt idx="51">
                  <c:v>2.2999999999999998</c:v>
                </c:pt>
                <c:pt idx="52">
                  <c:v>3.3</c:v>
                </c:pt>
                <c:pt idx="53">
                  <c:v>3</c:v>
                </c:pt>
                <c:pt idx="54">
                  <c:v>0.82</c:v>
                </c:pt>
                <c:pt idx="55">
                  <c:v>0</c:v>
                </c:pt>
                <c:pt idx="56">
                  <c:v>0.56999999999999995</c:v>
                </c:pt>
                <c:pt idx="57">
                  <c:v>1.1000000000000001</c:v>
                </c:pt>
                <c:pt idx="58">
                  <c:v>0.5</c:v>
                </c:pt>
                <c:pt idx="59">
                  <c:v>1.6</c:v>
                </c:pt>
                <c:pt idx="60">
                  <c:v>5.8</c:v>
                </c:pt>
                <c:pt idx="61">
                  <c:v>1.7</c:v>
                </c:pt>
                <c:pt idx="62">
                  <c:v>1.9</c:v>
                </c:pt>
                <c:pt idx="63">
                  <c:v>1.8</c:v>
                </c:pt>
                <c:pt idx="64">
                  <c:v>2.1</c:v>
                </c:pt>
                <c:pt idx="65">
                  <c:v>2.5</c:v>
                </c:pt>
                <c:pt idx="66">
                  <c:v>2</c:v>
                </c:pt>
                <c:pt idx="67">
                  <c:v>1.3</c:v>
                </c:pt>
                <c:pt idx="68">
                  <c:v>0.68</c:v>
                </c:pt>
                <c:pt idx="69">
                  <c:v>0.5</c:v>
                </c:pt>
                <c:pt idx="70">
                  <c:v>1.1000000000000001</c:v>
                </c:pt>
                <c:pt idx="71">
                  <c:v>1.5</c:v>
                </c:pt>
                <c:pt idx="72">
                  <c:v>1.6</c:v>
                </c:pt>
                <c:pt idx="73">
                  <c:v>1.8</c:v>
                </c:pt>
                <c:pt idx="74">
                  <c:v>2.6</c:v>
                </c:pt>
                <c:pt idx="75">
                  <c:v>2.2999999999999998</c:v>
                </c:pt>
                <c:pt idx="76">
                  <c:v>1.7</c:v>
                </c:pt>
                <c:pt idx="77">
                  <c:v>1.9</c:v>
                </c:pt>
                <c:pt idx="78">
                  <c:v>1</c:v>
                </c:pt>
                <c:pt idx="79">
                  <c:v>1.3</c:v>
                </c:pt>
                <c:pt idx="80">
                  <c:v>0.5</c:v>
                </c:pt>
                <c:pt idx="81">
                  <c:v>0.77</c:v>
                </c:pt>
                <c:pt idx="82">
                  <c:v>1.1000000000000001</c:v>
                </c:pt>
                <c:pt idx="83">
                  <c:v>2.4</c:v>
                </c:pt>
                <c:pt idx="84">
                  <c:v>1.6</c:v>
                </c:pt>
                <c:pt idx="85">
                  <c:v>1.8</c:v>
                </c:pt>
                <c:pt idx="86">
                  <c:v>1.8</c:v>
                </c:pt>
                <c:pt idx="87">
                  <c:v>2.6</c:v>
                </c:pt>
                <c:pt idx="88">
                  <c:v>1.6</c:v>
                </c:pt>
                <c:pt idx="89">
                  <c:v>2.7</c:v>
                </c:pt>
                <c:pt idx="90">
                  <c:v>1.0900000000000001</c:v>
                </c:pt>
                <c:pt idx="91">
                  <c:v>0.82</c:v>
                </c:pt>
                <c:pt idx="92">
                  <c:v>1.1000000000000001</c:v>
                </c:pt>
                <c:pt idx="93">
                  <c:v>1.4</c:v>
                </c:pt>
                <c:pt idx="94">
                  <c:v>1.2</c:v>
                </c:pt>
                <c:pt idx="95">
                  <c:v>1.6</c:v>
                </c:pt>
                <c:pt idx="96">
                  <c:v>1.4</c:v>
                </c:pt>
                <c:pt idx="97">
                  <c:v>3.1</c:v>
                </c:pt>
                <c:pt idx="98">
                  <c:v>3.7</c:v>
                </c:pt>
                <c:pt idx="99">
                  <c:v>5.9</c:v>
                </c:pt>
                <c:pt idx="100">
                  <c:v>5.6</c:v>
                </c:pt>
                <c:pt idx="101">
                  <c:v>3.2</c:v>
                </c:pt>
                <c:pt idx="102">
                  <c:v>2.1</c:v>
                </c:pt>
                <c:pt idx="103">
                  <c:v>2.5</c:v>
                </c:pt>
                <c:pt idx="104">
                  <c:v>2.4</c:v>
                </c:pt>
                <c:pt idx="105">
                  <c:v>1.7</c:v>
                </c:pt>
                <c:pt idx="106">
                  <c:v>1.8</c:v>
                </c:pt>
                <c:pt idx="107">
                  <c:v>3.1</c:v>
                </c:pt>
                <c:pt idx="108">
                  <c:v>2.2000000000000002</c:v>
                </c:pt>
                <c:pt idx="109">
                  <c:v>4.4000000000000004</c:v>
                </c:pt>
                <c:pt idx="110">
                  <c:v>3.7</c:v>
                </c:pt>
                <c:pt idx="111">
                  <c:v>4.5999999999999996</c:v>
                </c:pt>
                <c:pt idx="112">
                  <c:v>4.0999999999999996</c:v>
                </c:pt>
                <c:pt idx="113">
                  <c:v>3.8</c:v>
                </c:pt>
                <c:pt idx="114">
                  <c:v>2</c:v>
                </c:pt>
                <c:pt idx="115">
                  <c:v>1.2</c:v>
                </c:pt>
                <c:pt idx="116">
                  <c:v>3.7</c:v>
                </c:pt>
                <c:pt idx="117">
                  <c:v>3.27</c:v>
                </c:pt>
                <c:pt idx="118">
                  <c:v>2.2999999999999998</c:v>
                </c:pt>
                <c:pt idx="119">
                  <c:v>1.6</c:v>
                </c:pt>
                <c:pt idx="120">
                  <c:v>2.2999999999999998</c:v>
                </c:pt>
                <c:pt idx="121">
                  <c:v>2.2000000000000002</c:v>
                </c:pt>
                <c:pt idx="122">
                  <c:v>3.1</c:v>
                </c:pt>
                <c:pt idx="123">
                  <c:v>3.4</c:v>
                </c:pt>
                <c:pt idx="124">
                  <c:v>3.26</c:v>
                </c:pt>
                <c:pt idx="125">
                  <c:v>4</c:v>
                </c:pt>
                <c:pt idx="126">
                  <c:v>2.1</c:v>
                </c:pt>
                <c:pt idx="127">
                  <c:v>1</c:v>
                </c:pt>
                <c:pt idx="128">
                  <c:v>1.6</c:v>
                </c:pt>
                <c:pt idx="129">
                  <c:v>1.3</c:v>
                </c:pt>
                <c:pt idx="130">
                  <c:v>0.9</c:v>
                </c:pt>
                <c:pt idx="131">
                  <c:v>2</c:v>
                </c:pt>
                <c:pt idx="132">
                  <c:v>2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2.4</c:v>
                </c:pt>
                <c:pt idx="136">
                  <c:v>3.6</c:v>
                </c:pt>
                <c:pt idx="137">
                  <c:v>2.2999999999999998</c:v>
                </c:pt>
                <c:pt idx="138">
                  <c:v>1.4</c:v>
                </c:pt>
                <c:pt idx="139">
                  <c:v>0.86</c:v>
                </c:pt>
                <c:pt idx="140">
                  <c:v>0.74</c:v>
                </c:pt>
                <c:pt idx="141">
                  <c:v>0.73</c:v>
                </c:pt>
                <c:pt idx="142">
                  <c:v>3.6</c:v>
                </c:pt>
                <c:pt idx="143">
                  <c:v>2.2000000000000002</c:v>
                </c:pt>
                <c:pt idx="144">
                  <c:v>2.5</c:v>
                </c:pt>
                <c:pt idx="145">
                  <c:v>1.7</c:v>
                </c:pt>
                <c:pt idx="146">
                  <c:v>2.2000000000000002</c:v>
                </c:pt>
                <c:pt idx="147">
                  <c:v>2.2000000000000002</c:v>
                </c:pt>
                <c:pt idx="148">
                  <c:v>2.2999999999999998</c:v>
                </c:pt>
                <c:pt idx="149">
                  <c:v>2</c:v>
                </c:pt>
                <c:pt idx="150">
                  <c:v>1.2</c:v>
                </c:pt>
                <c:pt idx="151">
                  <c:v>1</c:v>
                </c:pt>
                <c:pt idx="152">
                  <c:v>0.5</c:v>
                </c:pt>
                <c:pt idx="153">
                  <c:v>0.78</c:v>
                </c:pt>
                <c:pt idx="154">
                  <c:v>1.1000000000000001</c:v>
                </c:pt>
                <c:pt idx="155">
                  <c:v>0.9</c:v>
                </c:pt>
                <c:pt idx="156">
                  <c:v>3.9</c:v>
                </c:pt>
                <c:pt idx="157">
                  <c:v>2.1</c:v>
                </c:pt>
                <c:pt idx="158">
                  <c:v>2.2000000000000002</c:v>
                </c:pt>
                <c:pt idx="159">
                  <c:v>2.6</c:v>
                </c:pt>
                <c:pt idx="160">
                  <c:v>2.4</c:v>
                </c:pt>
                <c:pt idx="161">
                  <c:v>2</c:v>
                </c:pt>
                <c:pt idx="162">
                  <c:v>0.89</c:v>
                </c:pt>
                <c:pt idx="163">
                  <c:v>0.72</c:v>
                </c:pt>
                <c:pt idx="164">
                  <c:v>1.1000000000000001</c:v>
                </c:pt>
                <c:pt idx="165">
                  <c:v>0.7</c:v>
                </c:pt>
                <c:pt idx="166">
                  <c:v>1.1000000000000001</c:v>
                </c:pt>
                <c:pt idx="167">
                  <c:v>1.6</c:v>
                </c:pt>
                <c:pt idx="168">
                  <c:v>2.2999999999999998</c:v>
                </c:pt>
                <c:pt idx="169">
                  <c:v>3</c:v>
                </c:pt>
                <c:pt idx="170">
                  <c:v>1.3</c:v>
                </c:pt>
                <c:pt idx="171">
                  <c:v>1.9</c:v>
                </c:pt>
                <c:pt idx="172">
                  <c:v>2.4</c:v>
                </c:pt>
                <c:pt idx="173">
                  <c:v>1.4</c:v>
                </c:pt>
                <c:pt idx="174">
                  <c:v>1.1000000000000001</c:v>
                </c:pt>
                <c:pt idx="175">
                  <c:v>0.86</c:v>
                </c:pt>
                <c:pt idx="176">
                  <c:v>0.72</c:v>
                </c:pt>
                <c:pt idx="177">
                  <c:v>0.93</c:v>
                </c:pt>
                <c:pt idx="178">
                  <c:v>1.8</c:v>
                </c:pt>
                <c:pt idx="179">
                  <c:v>1.7</c:v>
                </c:pt>
                <c:pt idx="18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7-442D-B5D2-CAE76EC48EAD}"/>
            </c:ext>
          </c:extLst>
        </c:ser>
        <c:ser>
          <c:idx val="1"/>
          <c:order val="1"/>
          <c:tx>
            <c:strRef>
              <c:f>Statistik!$AP$8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Statistik!$AP$9:$AP$192</c:f>
              <c:numCache>
                <c:formatCode>0.0</c:formatCode>
                <c:ptCount val="184"/>
                <c:pt idx="0">
                  <c:v>2.0655865921787711</c:v>
                </c:pt>
                <c:pt idx="1">
                  <c:v>2.0655865921787711</c:v>
                </c:pt>
                <c:pt idx="2">
                  <c:v>2.0655865921787711</c:v>
                </c:pt>
                <c:pt idx="3">
                  <c:v>2.0655865921787711</c:v>
                </c:pt>
                <c:pt idx="4">
                  <c:v>2.0655865921787711</c:v>
                </c:pt>
                <c:pt idx="5">
                  <c:v>2.0655865921787711</c:v>
                </c:pt>
                <c:pt idx="6">
                  <c:v>2.0655865921787711</c:v>
                </c:pt>
                <c:pt idx="7">
                  <c:v>2.0655865921787711</c:v>
                </c:pt>
                <c:pt idx="8">
                  <c:v>2.0655865921787711</c:v>
                </c:pt>
                <c:pt idx="9">
                  <c:v>2.0655865921787711</c:v>
                </c:pt>
                <c:pt idx="10">
                  <c:v>2.0655865921787711</c:v>
                </c:pt>
                <c:pt idx="11">
                  <c:v>2.0655865921787711</c:v>
                </c:pt>
                <c:pt idx="12">
                  <c:v>2.0655865921787711</c:v>
                </c:pt>
                <c:pt idx="13">
                  <c:v>2.0655865921787711</c:v>
                </c:pt>
                <c:pt idx="14">
                  <c:v>2.0655865921787711</c:v>
                </c:pt>
                <c:pt idx="15">
                  <c:v>2.0655865921787711</c:v>
                </c:pt>
                <c:pt idx="16">
                  <c:v>2.0655865921787711</c:v>
                </c:pt>
                <c:pt idx="17">
                  <c:v>2.0655865921787711</c:v>
                </c:pt>
                <c:pt idx="18">
                  <c:v>2.0655865921787711</c:v>
                </c:pt>
                <c:pt idx="19">
                  <c:v>2.0655865921787711</c:v>
                </c:pt>
                <c:pt idx="20">
                  <c:v>2.0655865921787711</c:v>
                </c:pt>
                <c:pt idx="21">
                  <c:v>2.0655865921787711</c:v>
                </c:pt>
                <c:pt idx="22">
                  <c:v>2.0655865921787711</c:v>
                </c:pt>
                <c:pt idx="23">
                  <c:v>2.0655865921787711</c:v>
                </c:pt>
                <c:pt idx="24">
                  <c:v>2.0655865921787711</c:v>
                </c:pt>
                <c:pt idx="25">
                  <c:v>2.0655865921787711</c:v>
                </c:pt>
                <c:pt idx="26">
                  <c:v>2.0655865921787711</c:v>
                </c:pt>
                <c:pt idx="27">
                  <c:v>2.0655865921787711</c:v>
                </c:pt>
                <c:pt idx="28">
                  <c:v>2.0655865921787711</c:v>
                </c:pt>
                <c:pt idx="29">
                  <c:v>2.0655865921787711</c:v>
                </c:pt>
                <c:pt idx="30">
                  <c:v>2.0655865921787711</c:v>
                </c:pt>
                <c:pt idx="31">
                  <c:v>2.0655865921787711</c:v>
                </c:pt>
                <c:pt idx="32">
                  <c:v>2.0655865921787711</c:v>
                </c:pt>
                <c:pt idx="33">
                  <c:v>2.0655865921787711</c:v>
                </c:pt>
                <c:pt idx="34">
                  <c:v>2.0655865921787711</c:v>
                </c:pt>
                <c:pt idx="35">
                  <c:v>2.0655865921787711</c:v>
                </c:pt>
                <c:pt idx="36">
                  <c:v>2.0655865921787711</c:v>
                </c:pt>
                <c:pt idx="37">
                  <c:v>2.0655865921787711</c:v>
                </c:pt>
                <c:pt idx="38">
                  <c:v>2.0655865921787711</c:v>
                </c:pt>
                <c:pt idx="39">
                  <c:v>2.0655865921787711</c:v>
                </c:pt>
                <c:pt idx="40">
                  <c:v>2.0655865921787711</c:v>
                </c:pt>
                <c:pt idx="41">
                  <c:v>2.0655865921787711</c:v>
                </c:pt>
                <c:pt idx="42">
                  <c:v>2.0655865921787711</c:v>
                </c:pt>
                <c:pt idx="43">
                  <c:v>2.0655865921787711</c:v>
                </c:pt>
                <c:pt idx="44">
                  <c:v>2.0655865921787711</c:v>
                </c:pt>
                <c:pt idx="45">
                  <c:v>2.0655865921787711</c:v>
                </c:pt>
                <c:pt idx="46">
                  <c:v>2.0655865921787711</c:v>
                </c:pt>
                <c:pt idx="47">
                  <c:v>2.0655865921787711</c:v>
                </c:pt>
                <c:pt idx="48">
                  <c:v>2.0655865921787711</c:v>
                </c:pt>
                <c:pt idx="49">
                  <c:v>2.0655865921787711</c:v>
                </c:pt>
                <c:pt idx="50">
                  <c:v>2.0655865921787711</c:v>
                </c:pt>
                <c:pt idx="51">
                  <c:v>2.0655865921787711</c:v>
                </c:pt>
                <c:pt idx="52">
                  <c:v>2.0655865921787711</c:v>
                </c:pt>
                <c:pt idx="53">
                  <c:v>2.0655865921787711</c:v>
                </c:pt>
                <c:pt idx="54">
                  <c:v>2.0655865921787711</c:v>
                </c:pt>
                <c:pt idx="55">
                  <c:v>2.0655865921787711</c:v>
                </c:pt>
                <c:pt idx="56">
                  <c:v>2.0655865921787711</c:v>
                </c:pt>
                <c:pt idx="57">
                  <c:v>2.0655865921787711</c:v>
                </c:pt>
                <c:pt idx="58">
                  <c:v>2.0655865921787711</c:v>
                </c:pt>
                <c:pt idx="59">
                  <c:v>2.0655865921787711</c:v>
                </c:pt>
                <c:pt idx="60">
                  <c:v>2.0655865921787711</c:v>
                </c:pt>
                <c:pt idx="61">
                  <c:v>2.0655865921787711</c:v>
                </c:pt>
                <c:pt idx="62">
                  <c:v>2.0655865921787711</c:v>
                </c:pt>
                <c:pt idx="63">
                  <c:v>2.0655865921787711</c:v>
                </c:pt>
                <c:pt idx="64">
                  <c:v>2.0655865921787711</c:v>
                </c:pt>
                <c:pt idx="65">
                  <c:v>2.0655865921787711</c:v>
                </c:pt>
                <c:pt idx="66">
                  <c:v>2.0655865921787711</c:v>
                </c:pt>
                <c:pt idx="67">
                  <c:v>2.0655865921787711</c:v>
                </c:pt>
                <c:pt idx="68">
                  <c:v>2.0655865921787711</c:v>
                </c:pt>
                <c:pt idx="69">
                  <c:v>2.0655865921787711</c:v>
                </c:pt>
                <c:pt idx="70">
                  <c:v>2.0655865921787711</c:v>
                </c:pt>
                <c:pt idx="71">
                  <c:v>2.0655865921787711</c:v>
                </c:pt>
                <c:pt idx="72">
                  <c:v>2.0655865921787711</c:v>
                </c:pt>
                <c:pt idx="73">
                  <c:v>2.0655865921787711</c:v>
                </c:pt>
                <c:pt idx="74">
                  <c:v>2.0655865921787711</c:v>
                </c:pt>
                <c:pt idx="75">
                  <c:v>2.0655865921787711</c:v>
                </c:pt>
                <c:pt idx="76">
                  <c:v>2.0655865921787711</c:v>
                </c:pt>
                <c:pt idx="77">
                  <c:v>2.0655865921787711</c:v>
                </c:pt>
                <c:pt idx="78">
                  <c:v>2.0655865921787711</c:v>
                </c:pt>
                <c:pt idx="79">
                  <c:v>2.0655865921787711</c:v>
                </c:pt>
                <c:pt idx="80">
                  <c:v>2.0655865921787711</c:v>
                </c:pt>
                <c:pt idx="81">
                  <c:v>2.0655865921787711</c:v>
                </c:pt>
                <c:pt idx="82">
                  <c:v>2.0655865921787711</c:v>
                </c:pt>
                <c:pt idx="83">
                  <c:v>2.0655865921787711</c:v>
                </c:pt>
                <c:pt idx="84">
                  <c:v>2.0655865921787711</c:v>
                </c:pt>
                <c:pt idx="85">
                  <c:v>2.0655865921787711</c:v>
                </c:pt>
                <c:pt idx="86">
                  <c:v>2.0655865921787711</c:v>
                </c:pt>
                <c:pt idx="87">
                  <c:v>2.0655865921787711</c:v>
                </c:pt>
                <c:pt idx="88">
                  <c:v>2.0655865921787711</c:v>
                </c:pt>
                <c:pt idx="89">
                  <c:v>2.0655865921787711</c:v>
                </c:pt>
                <c:pt idx="90">
                  <c:v>2.0655865921787711</c:v>
                </c:pt>
                <c:pt idx="91">
                  <c:v>2.0655865921787711</c:v>
                </c:pt>
                <c:pt idx="92">
                  <c:v>2.0655865921787711</c:v>
                </c:pt>
                <c:pt idx="93">
                  <c:v>2.0655865921787711</c:v>
                </c:pt>
                <c:pt idx="94">
                  <c:v>2.0655865921787711</c:v>
                </c:pt>
                <c:pt idx="95">
                  <c:v>2.0655865921787711</c:v>
                </c:pt>
                <c:pt idx="96">
                  <c:v>2.0655865921787711</c:v>
                </c:pt>
                <c:pt idx="97">
                  <c:v>2.0655865921787711</c:v>
                </c:pt>
                <c:pt idx="98">
                  <c:v>2.0655865921787711</c:v>
                </c:pt>
                <c:pt idx="99">
                  <c:v>2.0655865921787711</c:v>
                </c:pt>
                <c:pt idx="100">
                  <c:v>2.0655865921787711</c:v>
                </c:pt>
                <c:pt idx="101">
                  <c:v>2.0655865921787711</c:v>
                </c:pt>
                <c:pt idx="102">
                  <c:v>2.0655865921787711</c:v>
                </c:pt>
                <c:pt idx="103">
                  <c:v>2.0655865921787711</c:v>
                </c:pt>
                <c:pt idx="104">
                  <c:v>2.0655865921787711</c:v>
                </c:pt>
                <c:pt idx="105">
                  <c:v>2.0655865921787711</c:v>
                </c:pt>
                <c:pt idx="106">
                  <c:v>2.0655865921787711</c:v>
                </c:pt>
                <c:pt idx="107">
                  <c:v>2.0655865921787711</c:v>
                </c:pt>
                <c:pt idx="108">
                  <c:v>2.0655865921787711</c:v>
                </c:pt>
                <c:pt idx="109">
                  <c:v>2.0655865921787711</c:v>
                </c:pt>
                <c:pt idx="110">
                  <c:v>2.0655865921787711</c:v>
                </c:pt>
                <c:pt idx="111">
                  <c:v>2.0655865921787711</c:v>
                </c:pt>
                <c:pt idx="112">
                  <c:v>2.0655865921787711</c:v>
                </c:pt>
                <c:pt idx="113">
                  <c:v>2.0655865921787711</c:v>
                </c:pt>
                <c:pt idx="114">
                  <c:v>2.0655865921787711</c:v>
                </c:pt>
                <c:pt idx="115">
                  <c:v>2.0655865921787711</c:v>
                </c:pt>
                <c:pt idx="116">
                  <c:v>2.0655865921787711</c:v>
                </c:pt>
                <c:pt idx="117">
                  <c:v>2.0655865921787711</c:v>
                </c:pt>
                <c:pt idx="118">
                  <c:v>2.0655865921787711</c:v>
                </c:pt>
                <c:pt idx="119">
                  <c:v>2.0655865921787711</c:v>
                </c:pt>
                <c:pt idx="120">
                  <c:v>2.0655865921787711</c:v>
                </c:pt>
                <c:pt idx="121">
                  <c:v>2.0655865921787711</c:v>
                </c:pt>
                <c:pt idx="122">
                  <c:v>2.0655865921787711</c:v>
                </c:pt>
                <c:pt idx="123">
                  <c:v>2.0655865921787711</c:v>
                </c:pt>
                <c:pt idx="124">
                  <c:v>2.0655865921787711</c:v>
                </c:pt>
                <c:pt idx="125">
                  <c:v>2.0655865921787711</c:v>
                </c:pt>
                <c:pt idx="126">
                  <c:v>2.0655865921787711</c:v>
                </c:pt>
                <c:pt idx="127">
                  <c:v>2.0655865921787711</c:v>
                </c:pt>
                <c:pt idx="128">
                  <c:v>2.0655865921787711</c:v>
                </c:pt>
                <c:pt idx="129">
                  <c:v>2.0655865921787711</c:v>
                </c:pt>
                <c:pt idx="130">
                  <c:v>2.0655865921787711</c:v>
                </c:pt>
                <c:pt idx="131">
                  <c:v>2.0655865921787711</c:v>
                </c:pt>
                <c:pt idx="132">
                  <c:v>2.0655865921787711</c:v>
                </c:pt>
                <c:pt idx="133">
                  <c:v>2.0655865921787711</c:v>
                </c:pt>
                <c:pt idx="134">
                  <c:v>2.0655865921787711</c:v>
                </c:pt>
                <c:pt idx="135">
                  <c:v>2.0655865921787711</c:v>
                </c:pt>
                <c:pt idx="136">
                  <c:v>2.0655865921787711</c:v>
                </c:pt>
                <c:pt idx="137">
                  <c:v>2.0655865921787711</c:v>
                </c:pt>
                <c:pt idx="138">
                  <c:v>2.0655865921787711</c:v>
                </c:pt>
                <c:pt idx="139">
                  <c:v>2.0655865921787711</c:v>
                </c:pt>
                <c:pt idx="140">
                  <c:v>2.0655865921787711</c:v>
                </c:pt>
                <c:pt idx="141">
                  <c:v>2.0655865921787711</c:v>
                </c:pt>
                <c:pt idx="142">
                  <c:v>2.0655865921787711</c:v>
                </c:pt>
                <c:pt idx="143">
                  <c:v>2.0655865921787711</c:v>
                </c:pt>
                <c:pt idx="144">
                  <c:v>2.0655865921787711</c:v>
                </c:pt>
                <c:pt idx="145">
                  <c:v>2.0655865921787711</c:v>
                </c:pt>
                <c:pt idx="146">
                  <c:v>2.0655865921787711</c:v>
                </c:pt>
                <c:pt idx="147">
                  <c:v>2.0655865921787711</c:v>
                </c:pt>
                <c:pt idx="148">
                  <c:v>2.0655865921787711</c:v>
                </c:pt>
                <c:pt idx="149">
                  <c:v>2.0655865921787711</c:v>
                </c:pt>
                <c:pt idx="150">
                  <c:v>2.0655865921787711</c:v>
                </c:pt>
                <c:pt idx="151">
                  <c:v>2.0655865921787711</c:v>
                </c:pt>
                <c:pt idx="152">
                  <c:v>2.0655865921787711</c:v>
                </c:pt>
                <c:pt idx="153">
                  <c:v>2.0655865921787711</c:v>
                </c:pt>
                <c:pt idx="154">
                  <c:v>2.0655865921787711</c:v>
                </c:pt>
                <c:pt idx="155">
                  <c:v>2.0655865921787711</c:v>
                </c:pt>
                <c:pt idx="156">
                  <c:v>2.0655865921787711</c:v>
                </c:pt>
                <c:pt idx="157">
                  <c:v>2.0655865921787711</c:v>
                </c:pt>
                <c:pt idx="158">
                  <c:v>2.0655865921787711</c:v>
                </c:pt>
                <c:pt idx="159">
                  <c:v>2.0655865921787711</c:v>
                </c:pt>
                <c:pt idx="160">
                  <c:v>2.0655865921787711</c:v>
                </c:pt>
                <c:pt idx="161">
                  <c:v>2.0655865921787711</c:v>
                </c:pt>
                <c:pt idx="162">
                  <c:v>2.0655865921787711</c:v>
                </c:pt>
                <c:pt idx="163">
                  <c:v>2.0655865921787711</c:v>
                </c:pt>
                <c:pt idx="164">
                  <c:v>2.0655865921787711</c:v>
                </c:pt>
                <c:pt idx="165">
                  <c:v>2.0655865921787711</c:v>
                </c:pt>
                <c:pt idx="166">
                  <c:v>2.0655865921787711</c:v>
                </c:pt>
                <c:pt idx="167">
                  <c:v>2.0655865921787711</c:v>
                </c:pt>
                <c:pt idx="168">
                  <c:v>2.0655865921787711</c:v>
                </c:pt>
                <c:pt idx="169">
                  <c:v>2.0655865921787711</c:v>
                </c:pt>
                <c:pt idx="170">
                  <c:v>2.0655865921787711</c:v>
                </c:pt>
                <c:pt idx="171">
                  <c:v>2.0655865921787711</c:v>
                </c:pt>
                <c:pt idx="172">
                  <c:v>2.0655865921787711</c:v>
                </c:pt>
                <c:pt idx="173">
                  <c:v>2.0655865921787711</c:v>
                </c:pt>
                <c:pt idx="174">
                  <c:v>2.0655865921787711</c:v>
                </c:pt>
                <c:pt idx="175">
                  <c:v>2.0655865921787711</c:v>
                </c:pt>
                <c:pt idx="176">
                  <c:v>2.0655865921787711</c:v>
                </c:pt>
                <c:pt idx="177">
                  <c:v>2.0655865921787711</c:v>
                </c:pt>
                <c:pt idx="178">
                  <c:v>2.0655865921787711</c:v>
                </c:pt>
                <c:pt idx="179">
                  <c:v>2.0655865921787711</c:v>
                </c:pt>
                <c:pt idx="180">
                  <c:v>2.0655865921787711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7-442D-B5D2-CAE76EC48EAD}"/>
            </c:ext>
          </c:extLst>
        </c:ser>
        <c:ser>
          <c:idx val="2"/>
          <c:order val="2"/>
          <c:tx>
            <c:strRef>
              <c:f>Statistik!$AQ$8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Statistik!$AQ$9:$AQ$192</c:f>
              <c:numCache>
                <c:formatCode>0.0</c:formatCode>
                <c:ptCount val="184"/>
                <c:pt idx="0">
                  <c:v>3.1665882132978602</c:v>
                </c:pt>
                <c:pt idx="1">
                  <c:v>3.1665882132978602</c:v>
                </c:pt>
                <c:pt idx="2">
                  <c:v>3.1665882132978602</c:v>
                </c:pt>
                <c:pt idx="3">
                  <c:v>3.1665882132978602</c:v>
                </c:pt>
                <c:pt idx="4">
                  <c:v>3.1665882132978602</c:v>
                </c:pt>
                <c:pt idx="5">
                  <c:v>3.1665882132978602</c:v>
                </c:pt>
                <c:pt idx="6">
                  <c:v>3.1665882132978602</c:v>
                </c:pt>
                <c:pt idx="7">
                  <c:v>3.1665882132978602</c:v>
                </c:pt>
                <c:pt idx="8">
                  <c:v>3.1665882132978602</c:v>
                </c:pt>
                <c:pt idx="9">
                  <c:v>3.1665882132978602</c:v>
                </c:pt>
                <c:pt idx="10">
                  <c:v>3.1665882132978602</c:v>
                </c:pt>
                <c:pt idx="11">
                  <c:v>3.1665882132978602</c:v>
                </c:pt>
                <c:pt idx="12">
                  <c:v>3.1665882132978602</c:v>
                </c:pt>
                <c:pt idx="13">
                  <c:v>3.1665882132978602</c:v>
                </c:pt>
                <c:pt idx="14">
                  <c:v>3.1665882132978602</c:v>
                </c:pt>
                <c:pt idx="15">
                  <c:v>3.1665882132978602</c:v>
                </c:pt>
                <c:pt idx="16">
                  <c:v>3.1665882132978602</c:v>
                </c:pt>
                <c:pt idx="17">
                  <c:v>3.1665882132978602</c:v>
                </c:pt>
                <c:pt idx="18">
                  <c:v>3.1665882132978602</c:v>
                </c:pt>
                <c:pt idx="19">
                  <c:v>3.1665882132978602</c:v>
                </c:pt>
                <c:pt idx="20">
                  <c:v>3.1665882132978602</c:v>
                </c:pt>
                <c:pt idx="21">
                  <c:v>3.1665882132978602</c:v>
                </c:pt>
                <c:pt idx="22">
                  <c:v>3.1665882132978602</c:v>
                </c:pt>
                <c:pt idx="23">
                  <c:v>3.1665882132978602</c:v>
                </c:pt>
                <c:pt idx="24">
                  <c:v>3.1665882132978602</c:v>
                </c:pt>
                <c:pt idx="25">
                  <c:v>3.1665882132978602</c:v>
                </c:pt>
                <c:pt idx="26">
                  <c:v>3.1665882132978602</c:v>
                </c:pt>
                <c:pt idx="27">
                  <c:v>3.1665882132978602</c:v>
                </c:pt>
                <c:pt idx="28">
                  <c:v>3.1665882132978602</c:v>
                </c:pt>
                <c:pt idx="29">
                  <c:v>3.1665882132978602</c:v>
                </c:pt>
                <c:pt idx="30">
                  <c:v>3.1665882132978602</c:v>
                </c:pt>
                <c:pt idx="31">
                  <c:v>3.1665882132978602</c:v>
                </c:pt>
                <c:pt idx="32">
                  <c:v>3.1665882132978602</c:v>
                </c:pt>
                <c:pt idx="33">
                  <c:v>3.1665882132978602</c:v>
                </c:pt>
                <c:pt idx="34">
                  <c:v>3.1665882132978602</c:v>
                </c:pt>
                <c:pt idx="35">
                  <c:v>3.1665882132978602</c:v>
                </c:pt>
                <c:pt idx="36">
                  <c:v>3.1665882132978602</c:v>
                </c:pt>
                <c:pt idx="37">
                  <c:v>3.1665882132978602</c:v>
                </c:pt>
                <c:pt idx="38">
                  <c:v>3.1665882132978602</c:v>
                </c:pt>
                <c:pt idx="39">
                  <c:v>3.1665882132978602</c:v>
                </c:pt>
                <c:pt idx="40">
                  <c:v>3.1665882132978602</c:v>
                </c:pt>
                <c:pt idx="41">
                  <c:v>3.1665882132978602</c:v>
                </c:pt>
                <c:pt idx="42">
                  <c:v>3.1665882132978602</c:v>
                </c:pt>
                <c:pt idx="43">
                  <c:v>3.1665882132978602</c:v>
                </c:pt>
                <c:pt idx="44">
                  <c:v>3.1665882132978602</c:v>
                </c:pt>
                <c:pt idx="45">
                  <c:v>3.1665882132978602</c:v>
                </c:pt>
                <c:pt idx="46">
                  <c:v>3.1665882132978602</c:v>
                </c:pt>
                <c:pt idx="47">
                  <c:v>3.1665882132978602</c:v>
                </c:pt>
                <c:pt idx="48">
                  <c:v>3.1665882132978602</c:v>
                </c:pt>
                <c:pt idx="49">
                  <c:v>3.1665882132978602</c:v>
                </c:pt>
                <c:pt idx="50">
                  <c:v>3.1665882132978602</c:v>
                </c:pt>
                <c:pt idx="51">
                  <c:v>3.1665882132978602</c:v>
                </c:pt>
                <c:pt idx="52">
                  <c:v>3.1665882132978602</c:v>
                </c:pt>
                <c:pt idx="53">
                  <c:v>3.1665882132978602</c:v>
                </c:pt>
                <c:pt idx="54">
                  <c:v>3.1665882132978602</c:v>
                </c:pt>
                <c:pt idx="55">
                  <c:v>3.1665882132978602</c:v>
                </c:pt>
                <c:pt idx="56">
                  <c:v>3.1665882132978602</c:v>
                </c:pt>
                <c:pt idx="57">
                  <c:v>3.1665882132978602</c:v>
                </c:pt>
                <c:pt idx="58">
                  <c:v>3.1665882132978602</c:v>
                </c:pt>
                <c:pt idx="59">
                  <c:v>3.1665882132978602</c:v>
                </c:pt>
                <c:pt idx="60">
                  <c:v>3.1665882132978602</c:v>
                </c:pt>
                <c:pt idx="61">
                  <c:v>3.1665882132978602</c:v>
                </c:pt>
                <c:pt idx="62">
                  <c:v>3.1665882132978602</c:v>
                </c:pt>
                <c:pt idx="63">
                  <c:v>3.1665882132978602</c:v>
                </c:pt>
                <c:pt idx="64">
                  <c:v>3.1665882132978602</c:v>
                </c:pt>
                <c:pt idx="65">
                  <c:v>3.1665882132978602</c:v>
                </c:pt>
                <c:pt idx="66">
                  <c:v>3.1665882132978602</c:v>
                </c:pt>
                <c:pt idx="67">
                  <c:v>3.1665882132978602</c:v>
                </c:pt>
                <c:pt idx="68">
                  <c:v>3.1665882132978602</c:v>
                </c:pt>
                <c:pt idx="69">
                  <c:v>3.1665882132978602</c:v>
                </c:pt>
                <c:pt idx="70">
                  <c:v>3.1665882132978602</c:v>
                </c:pt>
                <c:pt idx="71">
                  <c:v>3.1665882132978602</c:v>
                </c:pt>
                <c:pt idx="72">
                  <c:v>3.1665882132978602</c:v>
                </c:pt>
                <c:pt idx="73">
                  <c:v>3.1665882132978602</c:v>
                </c:pt>
                <c:pt idx="74">
                  <c:v>3.1665882132978602</c:v>
                </c:pt>
                <c:pt idx="75">
                  <c:v>3.1665882132978602</c:v>
                </c:pt>
                <c:pt idx="76">
                  <c:v>3.1665882132978602</c:v>
                </c:pt>
                <c:pt idx="77">
                  <c:v>3.1665882132978602</c:v>
                </c:pt>
                <c:pt idx="78">
                  <c:v>3.1665882132978602</c:v>
                </c:pt>
                <c:pt idx="79">
                  <c:v>3.1665882132978602</c:v>
                </c:pt>
                <c:pt idx="80">
                  <c:v>3.1665882132978602</c:v>
                </c:pt>
                <c:pt idx="81">
                  <c:v>3.1665882132978602</c:v>
                </c:pt>
                <c:pt idx="82">
                  <c:v>3.1665882132978602</c:v>
                </c:pt>
                <c:pt idx="83">
                  <c:v>3.1665882132978602</c:v>
                </c:pt>
                <c:pt idx="84">
                  <c:v>3.1665882132978602</c:v>
                </c:pt>
                <c:pt idx="85">
                  <c:v>3.1665882132978602</c:v>
                </c:pt>
                <c:pt idx="86">
                  <c:v>3.1665882132978602</c:v>
                </c:pt>
                <c:pt idx="87">
                  <c:v>3.1665882132978602</c:v>
                </c:pt>
                <c:pt idx="88">
                  <c:v>3.1665882132978602</c:v>
                </c:pt>
                <c:pt idx="89">
                  <c:v>3.1665882132978602</c:v>
                </c:pt>
                <c:pt idx="90">
                  <c:v>3.1665882132978602</c:v>
                </c:pt>
                <c:pt idx="91">
                  <c:v>3.1665882132978602</c:v>
                </c:pt>
                <c:pt idx="92">
                  <c:v>3.1665882132978602</c:v>
                </c:pt>
                <c:pt idx="93">
                  <c:v>3.1665882132978602</c:v>
                </c:pt>
                <c:pt idx="94">
                  <c:v>3.1665882132978602</c:v>
                </c:pt>
                <c:pt idx="95">
                  <c:v>3.1665882132978602</c:v>
                </c:pt>
                <c:pt idx="96">
                  <c:v>3.1665882132978602</c:v>
                </c:pt>
                <c:pt idx="97">
                  <c:v>3.1665882132978602</c:v>
                </c:pt>
                <c:pt idx="98">
                  <c:v>3.1665882132978602</c:v>
                </c:pt>
                <c:pt idx="99">
                  <c:v>3.1665882132978602</c:v>
                </c:pt>
                <c:pt idx="100">
                  <c:v>3.1665882132978602</c:v>
                </c:pt>
                <c:pt idx="101">
                  <c:v>3.1665882132978602</c:v>
                </c:pt>
                <c:pt idx="102">
                  <c:v>3.1665882132978602</c:v>
                </c:pt>
                <c:pt idx="103">
                  <c:v>3.1665882132978602</c:v>
                </c:pt>
                <c:pt idx="104">
                  <c:v>3.1665882132978602</c:v>
                </c:pt>
                <c:pt idx="105">
                  <c:v>3.1665882132978602</c:v>
                </c:pt>
                <c:pt idx="106">
                  <c:v>3.1665882132978602</c:v>
                </c:pt>
                <c:pt idx="107">
                  <c:v>3.1665882132978602</c:v>
                </c:pt>
                <c:pt idx="108">
                  <c:v>3.1665882132978602</c:v>
                </c:pt>
                <c:pt idx="109">
                  <c:v>3.1665882132978602</c:v>
                </c:pt>
                <c:pt idx="110">
                  <c:v>3.1665882132978602</c:v>
                </c:pt>
                <c:pt idx="111">
                  <c:v>3.1665882132978602</c:v>
                </c:pt>
                <c:pt idx="112">
                  <c:v>3.1665882132978602</c:v>
                </c:pt>
                <c:pt idx="113">
                  <c:v>3.1665882132978602</c:v>
                </c:pt>
                <c:pt idx="114">
                  <c:v>3.1665882132978602</c:v>
                </c:pt>
                <c:pt idx="115">
                  <c:v>3.1665882132978602</c:v>
                </c:pt>
                <c:pt idx="116">
                  <c:v>3.1665882132978602</c:v>
                </c:pt>
                <c:pt idx="117">
                  <c:v>3.1665882132978602</c:v>
                </c:pt>
                <c:pt idx="118">
                  <c:v>3.1665882132978602</c:v>
                </c:pt>
                <c:pt idx="119">
                  <c:v>3.1665882132978602</c:v>
                </c:pt>
                <c:pt idx="120">
                  <c:v>3.1665882132978602</c:v>
                </c:pt>
                <c:pt idx="121">
                  <c:v>3.1665882132978602</c:v>
                </c:pt>
                <c:pt idx="122">
                  <c:v>3.1665882132978602</c:v>
                </c:pt>
                <c:pt idx="123">
                  <c:v>3.1665882132978602</c:v>
                </c:pt>
                <c:pt idx="124">
                  <c:v>3.1665882132978602</c:v>
                </c:pt>
                <c:pt idx="125">
                  <c:v>3.1665882132978602</c:v>
                </c:pt>
                <c:pt idx="126">
                  <c:v>3.1665882132978602</c:v>
                </c:pt>
                <c:pt idx="127">
                  <c:v>3.1665882132978602</c:v>
                </c:pt>
                <c:pt idx="128">
                  <c:v>3.1665882132978602</c:v>
                </c:pt>
                <c:pt idx="129">
                  <c:v>3.1665882132978602</c:v>
                </c:pt>
                <c:pt idx="130">
                  <c:v>3.1665882132978602</c:v>
                </c:pt>
                <c:pt idx="131">
                  <c:v>3.1665882132978602</c:v>
                </c:pt>
                <c:pt idx="132">
                  <c:v>3.1665882132978602</c:v>
                </c:pt>
                <c:pt idx="133">
                  <c:v>3.1665882132978602</c:v>
                </c:pt>
                <c:pt idx="134">
                  <c:v>3.1665882132978602</c:v>
                </c:pt>
                <c:pt idx="135">
                  <c:v>3.1665882132978602</c:v>
                </c:pt>
                <c:pt idx="136">
                  <c:v>3.1665882132978602</c:v>
                </c:pt>
                <c:pt idx="137">
                  <c:v>3.1665882132978602</c:v>
                </c:pt>
                <c:pt idx="138">
                  <c:v>3.1665882132978602</c:v>
                </c:pt>
                <c:pt idx="139">
                  <c:v>3.1665882132978602</c:v>
                </c:pt>
                <c:pt idx="140">
                  <c:v>3.1665882132978602</c:v>
                </c:pt>
                <c:pt idx="141">
                  <c:v>3.1665882132978602</c:v>
                </c:pt>
                <c:pt idx="142">
                  <c:v>3.1665882132978602</c:v>
                </c:pt>
                <c:pt idx="143">
                  <c:v>3.1665882132978602</c:v>
                </c:pt>
                <c:pt idx="144">
                  <c:v>3.1665882132978602</c:v>
                </c:pt>
                <c:pt idx="145">
                  <c:v>3.1665882132978602</c:v>
                </c:pt>
                <c:pt idx="146">
                  <c:v>3.1665882132978602</c:v>
                </c:pt>
                <c:pt idx="147">
                  <c:v>3.1665882132978602</c:v>
                </c:pt>
                <c:pt idx="148">
                  <c:v>3.1665882132978602</c:v>
                </c:pt>
                <c:pt idx="149">
                  <c:v>3.1665882132978602</c:v>
                </c:pt>
                <c:pt idx="150">
                  <c:v>3.1665882132978602</c:v>
                </c:pt>
                <c:pt idx="151">
                  <c:v>3.1665882132978602</c:v>
                </c:pt>
                <c:pt idx="152">
                  <c:v>3.1665882132978602</c:v>
                </c:pt>
                <c:pt idx="153">
                  <c:v>3.1665882132978602</c:v>
                </c:pt>
                <c:pt idx="154">
                  <c:v>3.1665882132978602</c:v>
                </c:pt>
                <c:pt idx="155">
                  <c:v>3.1665882132978602</c:v>
                </c:pt>
                <c:pt idx="156">
                  <c:v>3.1665882132978602</c:v>
                </c:pt>
                <c:pt idx="157">
                  <c:v>3.1665882132978602</c:v>
                </c:pt>
                <c:pt idx="158">
                  <c:v>3.1665882132978602</c:v>
                </c:pt>
                <c:pt idx="159">
                  <c:v>3.1665882132978602</c:v>
                </c:pt>
                <c:pt idx="160">
                  <c:v>3.1665882132978602</c:v>
                </c:pt>
                <c:pt idx="161">
                  <c:v>3.1665882132978602</c:v>
                </c:pt>
                <c:pt idx="162">
                  <c:v>3.1665882132978602</c:v>
                </c:pt>
                <c:pt idx="163">
                  <c:v>3.1665882132978602</c:v>
                </c:pt>
                <c:pt idx="164">
                  <c:v>3.1665882132978602</c:v>
                </c:pt>
                <c:pt idx="165">
                  <c:v>3.1665882132978602</c:v>
                </c:pt>
                <c:pt idx="166">
                  <c:v>3.1665882132978602</c:v>
                </c:pt>
                <c:pt idx="167">
                  <c:v>3.1665882132978602</c:v>
                </c:pt>
                <c:pt idx="168">
                  <c:v>3.1665882132978602</c:v>
                </c:pt>
                <c:pt idx="169">
                  <c:v>3.1665882132978602</c:v>
                </c:pt>
                <c:pt idx="170">
                  <c:v>3.1665882132978602</c:v>
                </c:pt>
                <c:pt idx="171">
                  <c:v>3.1665882132978602</c:v>
                </c:pt>
                <c:pt idx="172">
                  <c:v>3.1665882132978602</c:v>
                </c:pt>
                <c:pt idx="173">
                  <c:v>3.1665882132978602</c:v>
                </c:pt>
                <c:pt idx="174">
                  <c:v>3.1665882132978602</c:v>
                </c:pt>
                <c:pt idx="175">
                  <c:v>3.1665882132978602</c:v>
                </c:pt>
                <c:pt idx="176">
                  <c:v>3.1665882132978602</c:v>
                </c:pt>
                <c:pt idx="177">
                  <c:v>3.1665882132978602</c:v>
                </c:pt>
                <c:pt idx="178">
                  <c:v>3.1665882132978602</c:v>
                </c:pt>
                <c:pt idx="179">
                  <c:v>3.1665882132978602</c:v>
                </c:pt>
                <c:pt idx="180">
                  <c:v>3.1665882132978602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7-442D-B5D2-CAE76EC48EAD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Statistik!$AR$9:$AR$192</c:f>
              <c:numCache>
                <c:formatCode>0.0</c:formatCode>
                <c:ptCount val="184"/>
                <c:pt idx="0">
                  <c:v>0.96458497105968211</c:v>
                </c:pt>
                <c:pt idx="1">
                  <c:v>0.96458497105968211</c:v>
                </c:pt>
                <c:pt idx="2">
                  <c:v>0.96458497105968211</c:v>
                </c:pt>
                <c:pt idx="3">
                  <c:v>0.96458497105968211</c:v>
                </c:pt>
                <c:pt idx="4">
                  <c:v>0.96458497105968211</c:v>
                </c:pt>
                <c:pt idx="5">
                  <c:v>0.96458497105968211</c:v>
                </c:pt>
                <c:pt idx="6">
                  <c:v>0.96458497105968211</c:v>
                </c:pt>
                <c:pt idx="7">
                  <c:v>0.96458497105968211</c:v>
                </c:pt>
                <c:pt idx="8">
                  <c:v>0.96458497105968211</c:v>
                </c:pt>
                <c:pt idx="9">
                  <c:v>0.96458497105968211</c:v>
                </c:pt>
                <c:pt idx="10">
                  <c:v>0.96458497105968211</c:v>
                </c:pt>
                <c:pt idx="11">
                  <c:v>0.96458497105968211</c:v>
                </c:pt>
                <c:pt idx="12">
                  <c:v>0.96458497105968211</c:v>
                </c:pt>
                <c:pt idx="13">
                  <c:v>0.96458497105968211</c:v>
                </c:pt>
                <c:pt idx="14">
                  <c:v>0.96458497105968211</c:v>
                </c:pt>
                <c:pt idx="15">
                  <c:v>0.96458497105968211</c:v>
                </c:pt>
                <c:pt idx="16">
                  <c:v>0.96458497105968211</c:v>
                </c:pt>
                <c:pt idx="17">
                  <c:v>0.96458497105968211</c:v>
                </c:pt>
                <c:pt idx="18">
                  <c:v>0.96458497105968211</c:v>
                </c:pt>
                <c:pt idx="19">
                  <c:v>0.96458497105968211</c:v>
                </c:pt>
                <c:pt idx="20">
                  <c:v>0.96458497105968211</c:v>
                </c:pt>
                <c:pt idx="21">
                  <c:v>0.96458497105968211</c:v>
                </c:pt>
                <c:pt idx="22">
                  <c:v>0.96458497105968211</c:v>
                </c:pt>
                <c:pt idx="23">
                  <c:v>0.96458497105968211</c:v>
                </c:pt>
                <c:pt idx="24">
                  <c:v>0.96458497105968211</c:v>
                </c:pt>
                <c:pt idx="25">
                  <c:v>0.96458497105968211</c:v>
                </c:pt>
                <c:pt idx="26">
                  <c:v>0.96458497105968211</c:v>
                </c:pt>
                <c:pt idx="27">
                  <c:v>0.96458497105968211</c:v>
                </c:pt>
                <c:pt idx="28">
                  <c:v>0.96458497105968211</c:v>
                </c:pt>
                <c:pt idx="29">
                  <c:v>0.96458497105968211</c:v>
                </c:pt>
                <c:pt idx="30">
                  <c:v>0.96458497105968211</c:v>
                </c:pt>
                <c:pt idx="31">
                  <c:v>0.96458497105968211</c:v>
                </c:pt>
                <c:pt idx="32">
                  <c:v>0.96458497105968211</c:v>
                </c:pt>
                <c:pt idx="33">
                  <c:v>0.96458497105968211</c:v>
                </c:pt>
                <c:pt idx="34">
                  <c:v>0.96458497105968211</c:v>
                </c:pt>
                <c:pt idx="35">
                  <c:v>0.96458497105968211</c:v>
                </c:pt>
                <c:pt idx="36">
                  <c:v>0.96458497105968211</c:v>
                </c:pt>
                <c:pt idx="37">
                  <c:v>0.96458497105968211</c:v>
                </c:pt>
                <c:pt idx="38">
                  <c:v>0.96458497105968211</c:v>
                </c:pt>
                <c:pt idx="39">
                  <c:v>0.96458497105968211</c:v>
                </c:pt>
                <c:pt idx="40">
                  <c:v>0.96458497105968211</c:v>
                </c:pt>
                <c:pt idx="41">
                  <c:v>0.96458497105968211</c:v>
                </c:pt>
                <c:pt idx="42">
                  <c:v>0.96458497105968211</c:v>
                </c:pt>
                <c:pt idx="43">
                  <c:v>0.96458497105968211</c:v>
                </c:pt>
                <c:pt idx="44">
                  <c:v>0.96458497105968211</c:v>
                </c:pt>
                <c:pt idx="45">
                  <c:v>0.96458497105968211</c:v>
                </c:pt>
                <c:pt idx="46">
                  <c:v>0.96458497105968211</c:v>
                </c:pt>
                <c:pt idx="47">
                  <c:v>0.96458497105968211</c:v>
                </c:pt>
                <c:pt idx="48">
                  <c:v>0.96458497105968211</c:v>
                </c:pt>
                <c:pt idx="49">
                  <c:v>0.96458497105968211</c:v>
                </c:pt>
                <c:pt idx="50">
                  <c:v>0.96458497105968211</c:v>
                </c:pt>
                <c:pt idx="51">
                  <c:v>0.96458497105968211</c:v>
                </c:pt>
                <c:pt idx="52">
                  <c:v>0.96458497105968211</c:v>
                </c:pt>
                <c:pt idx="53">
                  <c:v>0.96458497105968211</c:v>
                </c:pt>
                <c:pt idx="54">
                  <c:v>0.96458497105968211</c:v>
                </c:pt>
                <c:pt idx="55">
                  <c:v>0.96458497105968211</c:v>
                </c:pt>
                <c:pt idx="56">
                  <c:v>0.96458497105968211</c:v>
                </c:pt>
                <c:pt idx="57">
                  <c:v>0.96458497105968211</c:v>
                </c:pt>
                <c:pt idx="58">
                  <c:v>0.96458497105968211</c:v>
                </c:pt>
                <c:pt idx="59">
                  <c:v>0.96458497105968211</c:v>
                </c:pt>
                <c:pt idx="60">
                  <c:v>0.96458497105968211</c:v>
                </c:pt>
                <c:pt idx="61">
                  <c:v>0.96458497105968211</c:v>
                </c:pt>
                <c:pt idx="62">
                  <c:v>0.96458497105968211</c:v>
                </c:pt>
                <c:pt idx="63">
                  <c:v>0.96458497105968211</c:v>
                </c:pt>
                <c:pt idx="64">
                  <c:v>0.96458497105968211</c:v>
                </c:pt>
                <c:pt idx="65">
                  <c:v>0.96458497105968211</c:v>
                </c:pt>
                <c:pt idx="66">
                  <c:v>0.96458497105968211</c:v>
                </c:pt>
                <c:pt idx="67">
                  <c:v>0.96458497105968211</c:v>
                </c:pt>
                <c:pt idx="68">
                  <c:v>0.96458497105968211</c:v>
                </c:pt>
                <c:pt idx="69">
                  <c:v>0.96458497105968211</c:v>
                </c:pt>
                <c:pt idx="70">
                  <c:v>0.96458497105968211</c:v>
                </c:pt>
                <c:pt idx="71">
                  <c:v>0.96458497105968211</c:v>
                </c:pt>
                <c:pt idx="72">
                  <c:v>0.96458497105968211</c:v>
                </c:pt>
                <c:pt idx="73">
                  <c:v>0.96458497105968211</c:v>
                </c:pt>
                <c:pt idx="74">
                  <c:v>0.96458497105968211</c:v>
                </c:pt>
                <c:pt idx="75">
                  <c:v>0.96458497105968211</c:v>
                </c:pt>
                <c:pt idx="76">
                  <c:v>0.96458497105968211</c:v>
                </c:pt>
                <c:pt idx="77">
                  <c:v>0.96458497105968211</c:v>
                </c:pt>
                <c:pt idx="78">
                  <c:v>0.96458497105968211</c:v>
                </c:pt>
                <c:pt idx="79">
                  <c:v>0.96458497105968211</c:v>
                </c:pt>
                <c:pt idx="80">
                  <c:v>0.96458497105968211</c:v>
                </c:pt>
                <c:pt idx="81">
                  <c:v>0.96458497105968211</c:v>
                </c:pt>
                <c:pt idx="82">
                  <c:v>0.96458497105968211</c:v>
                </c:pt>
                <c:pt idx="83">
                  <c:v>0.96458497105968211</c:v>
                </c:pt>
                <c:pt idx="84">
                  <c:v>0.96458497105968211</c:v>
                </c:pt>
                <c:pt idx="85">
                  <c:v>0.96458497105968211</c:v>
                </c:pt>
                <c:pt idx="86">
                  <c:v>0.96458497105968211</c:v>
                </c:pt>
                <c:pt idx="87">
                  <c:v>0.96458497105968211</c:v>
                </c:pt>
                <c:pt idx="88">
                  <c:v>0.96458497105968211</c:v>
                </c:pt>
                <c:pt idx="89">
                  <c:v>0.96458497105968211</c:v>
                </c:pt>
                <c:pt idx="90">
                  <c:v>0.96458497105968211</c:v>
                </c:pt>
                <c:pt idx="91">
                  <c:v>0.96458497105968211</c:v>
                </c:pt>
                <c:pt idx="92">
                  <c:v>0.96458497105968211</c:v>
                </c:pt>
                <c:pt idx="93">
                  <c:v>0.96458497105968211</c:v>
                </c:pt>
                <c:pt idx="94">
                  <c:v>0.96458497105968211</c:v>
                </c:pt>
                <c:pt idx="95">
                  <c:v>0.96458497105968211</c:v>
                </c:pt>
                <c:pt idx="96">
                  <c:v>0.96458497105968211</c:v>
                </c:pt>
                <c:pt idx="97">
                  <c:v>0.96458497105968211</c:v>
                </c:pt>
                <c:pt idx="98">
                  <c:v>0.96458497105968211</c:v>
                </c:pt>
                <c:pt idx="99">
                  <c:v>0.96458497105968211</c:v>
                </c:pt>
                <c:pt idx="100">
                  <c:v>0.96458497105968211</c:v>
                </c:pt>
                <c:pt idx="101">
                  <c:v>0.96458497105968211</c:v>
                </c:pt>
                <c:pt idx="102">
                  <c:v>0.96458497105968211</c:v>
                </c:pt>
                <c:pt idx="103">
                  <c:v>0.96458497105968211</c:v>
                </c:pt>
                <c:pt idx="104">
                  <c:v>0.96458497105968211</c:v>
                </c:pt>
                <c:pt idx="105">
                  <c:v>0.96458497105968211</c:v>
                </c:pt>
                <c:pt idx="106">
                  <c:v>0.96458497105968211</c:v>
                </c:pt>
                <c:pt idx="107">
                  <c:v>0.96458497105968211</c:v>
                </c:pt>
                <c:pt idx="108">
                  <c:v>0.96458497105968211</c:v>
                </c:pt>
                <c:pt idx="109">
                  <c:v>0.96458497105968211</c:v>
                </c:pt>
                <c:pt idx="110">
                  <c:v>0.96458497105968211</c:v>
                </c:pt>
                <c:pt idx="111">
                  <c:v>0.96458497105968211</c:v>
                </c:pt>
                <c:pt idx="112">
                  <c:v>0.96458497105968211</c:v>
                </c:pt>
                <c:pt idx="113">
                  <c:v>0.96458497105968211</c:v>
                </c:pt>
                <c:pt idx="114">
                  <c:v>0.96458497105968211</c:v>
                </c:pt>
                <c:pt idx="115">
                  <c:v>0.96458497105968211</c:v>
                </c:pt>
                <c:pt idx="116">
                  <c:v>0.96458497105968211</c:v>
                </c:pt>
                <c:pt idx="117">
                  <c:v>0.96458497105968211</c:v>
                </c:pt>
                <c:pt idx="118">
                  <c:v>0.96458497105968211</c:v>
                </c:pt>
                <c:pt idx="119">
                  <c:v>0.96458497105968211</c:v>
                </c:pt>
                <c:pt idx="120">
                  <c:v>0.96458497105968211</c:v>
                </c:pt>
                <c:pt idx="121">
                  <c:v>0.96458497105968211</c:v>
                </c:pt>
                <c:pt idx="122">
                  <c:v>0.96458497105968211</c:v>
                </c:pt>
                <c:pt idx="123">
                  <c:v>0.96458497105968211</c:v>
                </c:pt>
                <c:pt idx="124">
                  <c:v>0.96458497105968211</c:v>
                </c:pt>
                <c:pt idx="125">
                  <c:v>0.96458497105968211</c:v>
                </c:pt>
                <c:pt idx="126">
                  <c:v>0.96458497105968211</c:v>
                </c:pt>
                <c:pt idx="127">
                  <c:v>0.96458497105968211</c:v>
                </c:pt>
                <c:pt idx="128">
                  <c:v>0.96458497105968211</c:v>
                </c:pt>
                <c:pt idx="129">
                  <c:v>0.96458497105968211</c:v>
                </c:pt>
                <c:pt idx="130">
                  <c:v>0.96458497105968211</c:v>
                </c:pt>
                <c:pt idx="131">
                  <c:v>0.96458497105968211</c:v>
                </c:pt>
                <c:pt idx="132">
                  <c:v>0.96458497105968211</c:v>
                </c:pt>
                <c:pt idx="133">
                  <c:v>0.96458497105968211</c:v>
                </c:pt>
                <c:pt idx="134">
                  <c:v>0.96458497105968211</c:v>
                </c:pt>
                <c:pt idx="135">
                  <c:v>0.96458497105968211</c:v>
                </c:pt>
                <c:pt idx="136">
                  <c:v>0.96458497105968211</c:v>
                </c:pt>
                <c:pt idx="137">
                  <c:v>0.96458497105968211</c:v>
                </c:pt>
                <c:pt idx="138">
                  <c:v>0.96458497105968211</c:v>
                </c:pt>
                <c:pt idx="139">
                  <c:v>0.96458497105968211</c:v>
                </c:pt>
                <c:pt idx="140">
                  <c:v>0.96458497105968211</c:v>
                </c:pt>
                <c:pt idx="141">
                  <c:v>0.96458497105968211</c:v>
                </c:pt>
                <c:pt idx="142">
                  <c:v>0.96458497105968211</c:v>
                </c:pt>
                <c:pt idx="143">
                  <c:v>0.96458497105968211</c:v>
                </c:pt>
                <c:pt idx="144">
                  <c:v>0.96458497105968211</c:v>
                </c:pt>
                <c:pt idx="145">
                  <c:v>0.96458497105968211</c:v>
                </c:pt>
                <c:pt idx="146">
                  <c:v>0.96458497105968211</c:v>
                </c:pt>
                <c:pt idx="147">
                  <c:v>0.96458497105968211</c:v>
                </c:pt>
                <c:pt idx="148">
                  <c:v>0.96458497105968211</c:v>
                </c:pt>
                <c:pt idx="149">
                  <c:v>0.96458497105968211</c:v>
                </c:pt>
                <c:pt idx="150">
                  <c:v>0.96458497105968211</c:v>
                </c:pt>
                <c:pt idx="151">
                  <c:v>0.96458497105968211</c:v>
                </c:pt>
                <c:pt idx="152">
                  <c:v>0.96458497105968211</c:v>
                </c:pt>
                <c:pt idx="153">
                  <c:v>0.96458497105968211</c:v>
                </c:pt>
                <c:pt idx="154">
                  <c:v>0.96458497105968211</c:v>
                </c:pt>
                <c:pt idx="155">
                  <c:v>0.96458497105968211</c:v>
                </c:pt>
                <c:pt idx="156">
                  <c:v>0.96458497105968211</c:v>
                </c:pt>
                <c:pt idx="157">
                  <c:v>0.96458497105968211</c:v>
                </c:pt>
                <c:pt idx="158">
                  <c:v>0.96458497105968211</c:v>
                </c:pt>
                <c:pt idx="159">
                  <c:v>0.96458497105968211</c:v>
                </c:pt>
                <c:pt idx="160">
                  <c:v>0.96458497105968211</c:v>
                </c:pt>
                <c:pt idx="161">
                  <c:v>0.96458497105968211</c:v>
                </c:pt>
                <c:pt idx="162">
                  <c:v>0.96458497105968211</c:v>
                </c:pt>
                <c:pt idx="163">
                  <c:v>0.96458497105968211</c:v>
                </c:pt>
                <c:pt idx="164">
                  <c:v>0.96458497105968211</c:v>
                </c:pt>
                <c:pt idx="165">
                  <c:v>0.96458497105968211</c:v>
                </c:pt>
                <c:pt idx="166">
                  <c:v>0.96458497105968211</c:v>
                </c:pt>
                <c:pt idx="167">
                  <c:v>0.96458497105968211</c:v>
                </c:pt>
                <c:pt idx="168">
                  <c:v>0.96458497105968211</c:v>
                </c:pt>
                <c:pt idx="169">
                  <c:v>0.96458497105968211</c:v>
                </c:pt>
                <c:pt idx="170">
                  <c:v>0.96458497105968211</c:v>
                </c:pt>
                <c:pt idx="171">
                  <c:v>0.96458497105968211</c:v>
                </c:pt>
                <c:pt idx="172">
                  <c:v>0.96458497105968211</c:v>
                </c:pt>
                <c:pt idx="173">
                  <c:v>0.96458497105968211</c:v>
                </c:pt>
                <c:pt idx="174">
                  <c:v>0.96458497105968211</c:v>
                </c:pt>
                <c:pt idx="175">
                  <c:v>0.96458497105968211</c:v>
                </c:pt>
                <c:pt idx="176">
                  <c:v>0.96458497105968211</c:v>
                </c:pt>
                <c:pt idx="177">
                  <c:v>0.96458497105968211</c:v>
                </c:pt>
                <c:pt idx="178">
                  <c:v>0.96458497105968211</c:v>
                </c:pt>
                <c:pt idx="179">
                  <c:v>0.96458497105968211</c:v>
                </c:pt>
                <c:pt idx="180">
                  <c:v>0.96458497105968211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F7-442D-B5D2-CAE76EC4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295936"/>
        <c:axId val="244314112"/>
      </c:lineChart>
      <c:dateAx>
        <c:axId val="2442959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314112"/>
        <c:crosses val="autoZero"/>
        <c:auto val="0"/>
        <c:lblOffset val="100"/>
        <c:baseTimeUnit val="months"/>
        <c:majorUnit val="1"/>
        <c:majorTimeUnit val="years"/>
      </c:dateAx>
      <c:valAx>
        <c:axId val="244314112"/>
        <c:scaling>
          <c:orientation val="minMax"/>
          <c:max val="8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295936"/>
        <c:crosses val="autoZero"/>
        <c:crossBetween val="between"/>
        <c:majorUnit val="2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BOD-7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Diagram!$AR$117:$AR$128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Diagram!$AS$117:$AS$128</c:f>
              <c:numCache>
                <c:formatCode>General</c:formatCode>
                <c:ptCount val="12"/>
                <c:pt idx="0">
                  <c:v>1.5</c:v>
                </c:pt>
                <c:pt idx="1">
                  <c:v>1.1000000000000001</c:v>
                </c:pt>
                <c:pt idx="2">
                  <c:v>2.4</c:v>
                </c:pt>
                <c:pt idx="3">
                  <c:v>1.7</c:v>
                </c:pt>
                <c:pt idx="4">
                  <c:v>1</c:v>
                </c:pt>
                <c:pt idx="5">
                  <c:v>0.89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1-4752-97F9-A6A9F117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78336"/>
        <c:axId val="244480256"/>
      </c:lineChart>
      <c:dateAx>
        <c:axId val="24447833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480256"/>
        <c:crosses val="autoZero"/>
        <c:auto val="1"/>
        <c:lblOffset val="100"/>
        <c:baseTimeUnit val="days"/>
        <c:majorUnit val="1"/>
      </c:dateAx>
      <c:valAx>
        <c:axId val="244480256"/>
        <c:scaling>
          <c:orientation val="minMax"/>
          <c:max val="4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47833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NO</a:t>
            </a:r>
            <a:r>
              <a:rPr lang="sv-SE" baseline="-25000"/>
              <a:t>2,3</a:t>
            </a:r>
            <a:r>
              <a:rPr lang="sv-SE"/>
              <a:t>-N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522751575245017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Statistik!$M$8</c:f>
              <c:strCache>
                <c:ptCount val="1"/>
                <c:pt idx="0">
                  <c:v> NO3+2-N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Statistik!$CM$9:$CM$192</c:f>
              <c:numCache>
                <c:formatCode>General</c:formatCode>
                <c:ptCount val="184"/>
                <c:pt idx="0">
                  <c:v>0</c:v>
                </c:pt>
                <c:pt idx="1">
                  <c:v>3500</c:v>
                </c:pt>
                <c:pt idx="2">
                  <c:v>2200</c:v>
                </c:pt>
                <c:pt idx="3">
                  <c:v>3200</c:v>
                </c:pt>
                <c:pt idx="4">
                  <c:v>2100</c:v>
                </c:pt>
                <c:pt idx="5">
                  <c:v>2000</c:v>
                </c:pt>
                <c:pt idx="6">
                  <c:v>1800</c:v>
                </c:pt>
                <c:pt idx="7">
                  <c:v>1100</c:v>
                </c:pt>
                <c:pt idx="8">
                  <c:v>4400</c:v>
                </c:pt>
                <c:pt idx="9">
                  <c:v>4500</c:v>
                </c:pt>
                <c:pt idx="10">
                  <c:v>2300</c:v>
                </c:pt>
                <c:pt idx="11">
                  <c:v>7200</c:v>
                </c:pt>
                <c:pt idx="12">
                  <c:v>5100</c:v>
                </c:pt>
                <c:pt idx="13">
                  <c:v>4400</c:v>
                </c:pt>
                <c:pt idx="14">
                  <c:v>3800</c:v>
                </c:pt>
                <c:pt idx="15">
                  <c:v>3100</c:v>
                </c:pt>
                <c:pt idx="16">
                  <c:v>2900</c:v>
                </c:pt>
                <c:pt idx="17">
                  <c:v>1500</c:v>
                </c:pt>
                <c:pt idx="18">
                  <c:v>1100</c:v>
                </c:pt>
                <c:pt idx="19">
                  <c:v>1400</c:v>
                </c:pt>
                <c:pt idx="20">
                  <c:v>2200</c:v>
                </c:pt>
                <c:pt idx="21">
                  <c:v>1800</c:v>
                </c:pt>
                <c:pt idx="22">
                  <c:v>3200</c:v>
                </c:pt>
                <c:pt idx="23">
                  <c:v>2000</c:v>
                </c:pt>
                <c:pt idx="24">
                  <c:v>5400</c:v>
                </c:pt>
                <c:pt idx="25">
                  <c:v>3300</c:v>
                </c:pt>
                <c:pt idx="26">
                  <c:v>2900</c:v>
                </c:pt>
                <c:pt idx="27">
                  <c:v>3100</c:v>
                </c:pt>
                <c:pt idx="28">
                  <c:v>2000</c:v>
                </c:pt>
                <c:pt idx="29">
                  <c:v>1300</c:v>
                </c:pt>
                <c:pt idx="30">
                  <c:v>1200</c:v>
                </c:pt>
                <c:pt idx="31">
                  <c:v>1200</c:v>
                </c:pt>
                <c:pt idx="32">
                  <c:v>690</c:v>
                </c:pt>
                <c:pt idx="33">
                  <c:v>860</c:v>
                </c:pt>
                <c:pt idx="34">
                  <c:v>3000</c:v>
                </c:pt>
                <c:pt idx="35">
                  <c:v>3600</c:v>
                </c:pt>
                <c:pt idx="36">
                  <c:v>7000</c:v>
                </c:pt>
                <c:pt idx="37">
                  <c:v>4300</c:v>
                </c:pt>
                <c:pt idx="38">
                  <c:v>3500</c:v>
                </c:pt>
                <c:pt idx="39">
                  <c:v>3700</c:v>
                </c:pt>
                <c:pt idx="40">
                  <c:v>1900</c:v>
                </c:pt>
                <c:pt idx="41">
                  <c:v>920</c:v>
                </c:pt>
                <c:pt idx="42">
                  <c:v>870</c:v>
                </c:pt>
                <c:pt idx="43">
                  <c:v>800</c:v>
                </c:pt>
                <c:pt idx="44">
                  <c:v>1700</c:v>
                </c:pt>
                <c:pt idx="45">
                  <c:v>1000</c:v>
                </c:pt>
                <c:pt idx="46">
                  <c:v>5600</c:v>
                </c:pt>
                <c:pt idx="47">
                  <c:v>8100</c:v>
                </c:pt>
                <c:pt idx="48">
                  <c:v>7100</c:v>
                </c:pt>
                <c:pt idx="49">
                  <c:v>4100</c:v>
                </c:pt>
                <c:pt idx="50">
                  <c:v>5100</c:v>
                </c:pt>
                <c:pt idx="51">
                  <c:v>3100</c:v>
                </c:pt>
                <c:pt idx="52">
                  <c:v>2100</c:v>
                </c:pt>
                <c:pt idx="53">
                  <c:v>1600</c:v>
                </c:pt>
                <c:pt idx="54">
                  <c:v>1100</c:v>
                </c:pt>
                <c:pt idx="55">
                  <c:v>710</c:v>
                </c:pt>
                <c:pt idx="56">
                  <c:v>770</c:v>
                </c:pt>
                <c:pt idx="57">
                  <c:v>920</c:v>
                </c:pt>
                <c:pt idx="58">
                  <c:v>4700</c:v>
                </c:pt>
                <c:pt idx="59">
                  <c:v>3100</c:v>
                </c:pt>
                <c:pt idx="60">
                  <c:v>6100</c:v>
                </c:pt>
                <c:pt idx="61">
                  <c:v>4600</c:v>
                </c:pt>
                <c:pt idx="62">
                  <c:v>4000</c:v>
                </c:pt>
                <c:pt idx="63">
                  <c:v>3600</c:v>
                </c:pt>
                <c:pt idx="64">
                  <c:v>2700</c:v>
                </c:pt>
                <c:pt idx="65">
                  <c:v>2700</c:v>
                </c:pt>
                <c:pt idx="66">
                  <c:v>1600</c:v>
                </c:pt>
                <c:pt idx="67">
                  <c:v>1200</c:v>
                </c:pt>
                <c:pt idx="68">
                  <c:v>820</c:v>
                </c:pt>
                <c:pt idx="69">
                  <c:v>1000</c:v>
                </c:pt>
                <c:pt idx="70">
                  <c:v>350</c:v>
                </c:pt>
                <c:pt idx="71">
                  <c:v>5100</c:v>
                </c:pt>
                <c:pt idx="72">
                  <c:v>4600</c:v>
                </c:pt>
                <c:pt idx="73">
                  <c:v>3400</c:v>
                </c:pt>
                <c:pt idx="74">
                  <c:v>4000</c:v>
                </c:pt>
                <c:pt idx="75">
                  <c:v>3500</c:v>
                </c:pt>
                <c:pt idx="76">
                  <c:v>1900</c:v>
                </c:pt>
                <c:pt idx="77">
                  <c:v>1900</c:v>
                </c:pt>
                <c:pt idx="78">
                  <c:v>1400</c:v>
                </c:pt>
                <c:pt idx="79">
                  <c:v>3200</c:v>
                </c:pt>
                <c:pt idx="80">
                  <c:v>850</c:v>
                </c:pt>
                <c:pt idx="81">
                  <c:v>1000</c:v>
                </c:pt>
                <c:pt idx="82">
                  <c:v>2700</c:v>
                </c:pt>
                <c:pt idx="83">
                  <c:v>4000</c:v>
                </c:pt>
                <c:pt idx="84">
                  <c:v>5400</c:v>
                </c:pt>
                <c:pt idx="85">
                  <c:v>3900</c:v>
                </c:pt>
                <c:pt idx="86">
                  <c:v>3900</c:v>
                </c:pt>
                <c:pt idx="87">
                  <c:v>4000</c:v>
                </c:pt>
                <c:pt idx="88">
                  <c:v>2500</c:v>
                </c:pt>
                <c:pt idx="89">
                  <c:v>1300</c:v>
                </c:pt>
                <c:pt idx="90">
                  <c:v>1300</c:v>
                </c:pt>
                <c:pt idx="91">
                  <c:v>1000</c:v>
                </c:pt>
                <c:pt idx="92">
                  <c:v>690</c:v>
                </c:pt>
                <c:pt idx="93">
                  <c:v>6400</c:v>
                </c:pt>
                <c:pt idx="94">
                  <c:v>4000</c:v>
                </c:pt>
                <c:pt idx="95">
                  <c:v>3100</c:v>
                </c:pt>
                <c:pt idx="96">
                  <c:v>3800</c:v>
                </c:pt>
                <c:pt idx="97">
                  <c:v>3900</c:v>
                </c:pt>
                <c:pt idx="98">
                  <c:v>4200</c:v>
                </c:pt>
                <c:pt idx="99">
                  <c:v>3000</c:v>
                </c:pt>
                <c:pt idx="100">
                  <c:v>2800</c:v>
                </c:pt>
                <c:pt idx="101">
                  <c:v>1400</c:v>
                </c:pt>
                <c:pt idx="102">
                  <c:v>1400</c:v>
                </c:pt>
                <c:pt idx="103">
                  <c:v>1000</c:v>
                </c:pt>
                <c:pt idx="104">
                  <c:v>910</c:v>
                </c:pt>
                <c:pt idx="105">
                  <c:v>1100</c:v>
                </c:pt>
                <c:pt idx="106">
                  <c:v>2800</c:v>
                </c:pt>
                <c:pt idx="107">
                  <c:v>4200</c:v>
                </c:pt>
                <c:pt idx="108">
                  <c:v>12000</c:v>
                </c:pt>
                <c:pt idx="109">
                  <c:v>7000</c:v>
                </c:pt>
                <c:pt idx="110">
                  <c:v>6000</c:v>
                </c:pt>
                <c:pt idx="111">
                  <c:v>6500</c:v>
                </c:pt>
                <c:pt idx="112">
                  <c:v>2200</c:v>
                </c:pt>
                <c:pt idx="113">
                  <c:v>1300</c:v>
                </c:pt>
                <c:pt idx="114">
                  <c:v>1500</c:v>
                </c:pt>
                <c:pt idx="115">
                  <c:v>700</c:v>
                </c:pt>
                <c:pt idx="116">
                  <c:v>740</c:v>
                </c:pt>
                <c:pt idx="117">
                  <c:v>1300</c:v>
                </c:pt>
                <c:pt idx="118">
                  <c:v>2000</c:v>
                </c:pt>
                <c:pt idx="119">
                  <c:v>7800</c:v>
                </c:pt>
                <c:pt idx="120">
                  <c:v>12000</c:v>
                </c:pt>
                <c:pt idx="121">
                  <c:v>8700</c:v>
                </c:pt>
                <c:pt idx="122">
                  <c:v>6500</c:v>
                </c:pt>
                <c:pt idx="123">
                  <c:v>4700</c:v>
                </c:pt>
                <c:pt idx="124">
                  <c:v>2000</c:v>
                </c:pt>
                <c:pt idx="125">
                  <c:v>1300</c:v>
                </c:pt>
                <c:pt idx="126">
                  <c:v>1400</c:v>
                </c:pt>
                <c:pt idx="127">
                  <c:v>1100</c:v>
                </c:pt>
                <c:pt idx="128">
                  <c:v>500</c:v>
                </c:pt>
                <c:pt idx="129">
                  <c:v>1100</c:v>
                </c:pt>
                <c:pt idx="130">
                  <c:v>3000</c:v>
                </c:pt>
                <c:pt idx="131">
                  <c:v>3900</c:v>
                </c:pt>
                <c:pt idx="132">
                  <c:v>3200</c:v>
                </c:pt>
                <c:pt idx="133">
                  <c:v>5700</c:v>
                </c:pt>
                <c:pt idx="134">
                  <c:v>5100</c:v>
                </c:pt>
                <c:pt idx="135">
                  <c:v>3300</c:v>
                </c:pt>
                <c:pt idx="136">
                  <c:v>2000</c:v>
                </c:pt>
                <c:pt idx="137">
                  <c:v>1400</c:v>
                </c:pt>
                <c:pt idx="138">
                  <c:v>1200</c:v>
                </c:pt>
                <c:pt idx="139">
                  <c:v>1200</c:v>
                </c:pt>
                <c:pt idx="140">
                  <c:v>1500</c:v>
                </c:pt>
                <c:pt idx="141">
                  <c:v>1200</c:v>
                </c:pt>
                <c:pt idx="142">
                  <c:v>3400</c:v>
                </c:pt>
                <c:pt idx="143">
                  <c:v>6900</c:v>
                </c:pt>
                <c:pt idx="144">
                  <c:v>4500</c:v>
                </c:pt>
                <c:pt idx="145">
                  <c:v>3800</c:v>
                </c:pt>
                <c:pt idx="146">
                  <c:v>4100</c:v>
                </c:pt>
                <c:pt idx="147">
                  <c:v>2700</c:v>
                </c:pt>
                <c:pt idx="148">
                  <c:v>2400</c:v>
                </c:pt>
                <c:pt idx="149">
                  <c:v>1400</c:v>
                </c:pt>
                <c:pt idx="150">
                  <c:v>1200</c:v>
                </c:pt>
                <c:pt idx="151">
                  <c:v>750</c:v>
                </c:pt>
                <c:pt idx="152">
                  <c:v>1100</c:v>
                </c:pt>
                <c:pt idx="153">
                  <c:v>1200</c:v>
                </c:pt>
                <c:pt idx="154">
                  <c:v>2200</c:v>
                </c:pt>
                <c:pt idx="155">
                  <c:v>2700</c:v>
                </c:pt>
                <c:pt idx="156">
                  <c:v>3600</c:v>
                </c:pt>
                <c:pt idx="157">
                  <c:v>5600</c:v>
                </c:pt>
                <c:pt idx="158">
                  <c:v>4300</c:v>
                </c:pt>
                <c:pt idx="159">
                  <c:v>4700</c:v>
                </c:pt>
                <c:pt idx="160">
                  <c:v>2400</c:v>
                </c:pt>
                <c:pt idx="161">
                  <c:v>1400</c:v>
                </c:pt>
                <c:pt idx="162">
                  <c:v>1200</c:v>
                </c:pt>
                <c:pt idx="163">
                  <c:v>1000</c:v>
                </c:pt>
                <c:pt idx="164">
                  <c:v>3400</c:v>
                </c:pt>
                <c:pt idx="165">
                  <c:v>1400</c:v>
                </c:pt>
                <c:pt idx="166">
                  <c:v>3500</c:v>
                </c:pt>
                <c:pt idx="167">
                  <c:v>4300</c:v>
                </c:pt>
                <c:pt idx="168">
                  <c:v>4400</c:v>
                </c:pt>
                <c:pt idx="169">
                  <c:v>3800</c:v>
                </c:pt>
                <c:pt idx="170">
                  <c:v>3700</c:v>
                </c:pt>
                <c:pt idx="171">
                  <c:v>2600</c:v>
                </c:pt>
                <c:pt idx="172">
                  <c:v>2700</c:v>
                </c:pt>
                <c:pt idx="173">
                  <c:v>2000</c:v>
                </c:pt>
                <c:pt idx="174">
                  <c:v>1200</c:v>
                </c:pt>
                <c:pt idx="175">
                  <c:v>1200</c:v>
                </c:pt>
                <c:pt idx="176">
                  <c:v>660</c:v>
                </c:pt>
                <c:pt idx="177">
                  <c:v>990</c:v>
                </c:pt>
                <c:pt idx="178">
                  <c:v>1900</c:v>
                </c:pt>
                <c:pt idx="179">
                  <c:v>1800</c:v>
                </c:pt>
                <c:pt idx="180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F-42FC-B835-F96B154D934A}"/>
            </c:ext>
          </c:extLst>
        </c:ser>
        <c:ser>
          <c:idx val="1"/>
          <c:order val="1"/>
          <c:tx>
            <c:strRef>
              <c:f>Statistik!$AZ$8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Statistik!$AZ$9:$AZ$192</c:f>
              <c:numCache>
                <c:formatCode>0</c:formatCode>
                <c:ptCount val="184"/>
                <c:pt idx="0">
                  <c:v>2941.6666666666665</c:v>
                </c:pt>
                <c:pt idx="1">
                  <c:v>2941.6666666666665</c:v>
                </c:pt>
                <c:pt idx="2">
                  <c:v>2941.6666666666665</c:v>
                </c:pt>
                <c:pt idx="3">
                  <c:v>2941.6666666666665</c:v>
                </c:pt>
                <c:pt idx="4">
                  <c:v>2941.6666666666665</c:v>
                </c:pt>
                <c:pt idx="5">
                  <c:v>2941.6666666666665</c:v>
                </c:pt>
                <c:pt idx="6">
                  <c:v>2941.6666666666665</c:v>
                </c:pt>
                <c:pt idx="7">
                  <c:v>2941.6666666666665</c:v>
                </c:pt>
                <c:pt idx="8">
                  <c:v>2941.6666666666665</c:v>
                </c:pt>
                <c:pt idx="9">
                  <c:v>2941.6666666666665</c:v>
                </c:pt>
                <c:pt idx="10">
                  <c:v>2941.6666666666665</c:v>
                </c:pt>
                <c:pt idx="11">
                  <c:v>2941.6666666666665</c:v>
                </c:pt>
                <c:pt idx="12">
                  <c:v>2941.6666666666665</c:v>
                </c:pt>
                <c:pt idx="13">
                  <c:v>2941.6666666666665</c:v>
                </c:pt>
                <c:pt idx="14">
                  <c:v>2941.6666666666665</c:v>
                </c:pt>
                <c:pt idx="15">
                  <c:v>2941.6666666666665</c:v>
                </c:pt>
                <c:pt idx="16">
                  <c:v>2941.6666666666665</c:v>
                </c:pt>
                <c:pt idx="17">
                  <c:v>2941.6666666666665</c:v>
                </c:pt>
                <c:pt idx="18">
                  <c:v>2941.6666666666665</c:v>
                </c:pt>
                <c:pt idx="19">
                  <c:v>2941.6666666666665</c:v>
                </c:pt>
                <c:pt idx="20">
                  <c:v>2941.6666666666665</c:v>
                </c:pt>
                <c:pt idx="21">
                  <c:v>2941.6666666666665</c:v>
                </c:pt>
                <c:pt idx="22">
                  <c:v>2941.6666666666665</c:v>
                </c:pt>
                <c:pt idx="23">
                  <c:v>2941.6666666666665</c:v>
                </c:pt>
                <c:pt idx="24">
                  <c:v>2941.6666666666665</c:v>
                </c:pt>
                <c:pt idx="25">
                  <c:v>2941.6666666666665</c:v>
                </c:pt>
                <c:pt idx="26">
                  <c:v>2941.6666666666665</c:v>
                </c:pt>
                <c:pt idx="27">
                  <c:v>2941.6666666666665</c:v>
                </c:pt>
                <c:pt idx="28">
                  <c:v>2941.6666666666665</c:v>
                </c:pt>
                <c:pt idx="29">
                  <c:v>2941.6666666666665</c:v>
                </c:pt>
                <c:pt idx="30">
                  <c:v>2941.6666666666665</c:v>
                </c:pt>
                <c:pt idx="31">
                  <c:v>2941.6666666666665</c:v>
                </c:pt>
                <c:pt idx="32">
                  <c:v>2941.6666666666665</c:v>
                </c:pt>
                <c:pt idx="33">
                  <c:v>2941.6666666666665</c:v>
                </c:pt>
                <c:pt idx="34">
                  <c:v>2941.6666666666665</c:v>
                </c:pt>
                <c:pt idx="35">
                  <c:v>2941.6666666666665</c:v>
                </c:pt>
                <c:pt idx="36">
                  <c:v>2941.6666666666665</c:v>
                </c:pt>
                <c:pt idx="37">
                  <c:v>2941.6666666666665</c:v>
                </c:pt>
                <c:pt idx="38">
                  <c:v>2941.6666666666665</c:v>
                </c:pt>
                <c:pt idx="39">
                  <c:v>2941.6666666666665</c:v>
                </c:pt>
                <c:pt idx="40">
                  <c:v>2941.6666666666665</c:v>
                </c:pt>
                <c:pt idx="41">
                  <c:v>2941.6666666666665</c:v>
                </c:pt>
                <c:pt idx="42">
                  <c:v>2941.6666666666665</c:v>
                </c:pt>
                <c:pt idx="43">
                  <c:v>2941.6666666666665</c:v>
                </c:pt>
                <c:pt idx="44">
                  <c:v>2941.6666666666665</c:v>
                </c:pt>
                <c:pt idx="45">
                  <c:v>2941.6666666666665</c:v>
                </c:pt>
                <c:pt idx="46">
                  <c:v>2941.6666666666665</c:v>
                </c:pt>
                <c:pt idx="47">
                  <c:v>2941.6666666666665</c:v>
                </c:pt>
                <c:pt idx="48">
                  <c:v>2941.6666666666665</c:v>
                </c:pt>
                <c:pt idx="49">
                  <c:v>2941.6666666666665</c:v>
                </c:pt>
                <c:pt idx="50">
                  <c:v>2941.6666666666665</c:v>
                </c:pt>
                <c:pt idx="51">
                  <c:v>2941.6666666666665</c:v>
                </c:pt>
                <c:pt idx="52">
                  <c:v>2941.6666666666665</c:v>
                </c:pt>
                <c:pt idx="53">
                  <c:v>2941.6666666666665</c:v>
                </c:pt>
                <c:pt idx="54">
                  <c:v>2941.6666666666665</c:v>
                </c:pt>
                <c:pt idx="55">
                  <c:v>2941.6666666666665</c:v>
                </c:pt>
                <c:pt idx="56">
                  <c:v>2941.6666666666665</c:v>
                </c:pt>
                <c:pt idx="57">
                  <c:v>2941.6666666666665</c:v>
                </c:pt>
                <c:pt idx="58">
                  <c:v>2941.6666666666665</c:v>
                </c:pt>
                <c:pt idx="59">
                  <c:v>2941.6666666666665</c:v>
                </c:pt>
                <c:pt idx="60">
                  <c:v>2941.6666666666665</c:v>
                </c:pt>
                <c:pt idx="61">
                  <c:v>2941.6666666666665</c:v>
                </c:pt>
                <c:pt idx="62">
                  <c:v>2941.6666666666665</c:v>
                </c:pt>
                <c:pt idx="63">
                  <c:v>2941.6666666666665</c:v>
                </c:pt>
                <c:pt idx="64">
                  <c:v>2941.6666666666665</c:v>
                </c:pt>
                <c:pt idx="65">
                  <c:v>2941.6666666666665</c:v>
                </c:pt>
                <c:pt idx="66">
                  <c:v>2941.6666666666665</c:v>
                </c:pt>
                <c:pt idx="67">
                  <c:v>2941.6666666666665</c:v>
                </c:pt>
                <c:pt idx="68">
                  <c:v>2941.6666666666665</c:v>
                </c:pt>
                <c:pt idx="69">
                  <c:v>2941.6666666666665</c:v>
                </c:pt>
                <c:pt idx="70">
                  <c:v>2941.6666666666665</c:v>
                </c:pt>
                <c:pt idx="71">
                  <c:v>2941.6666666666665</c:v>
                </c:pt>
                <c:pt idx="72">
                  <c:v>2941.6666666666665</c:v>
                </c:pt>
                <c:pt idx="73">
                  <c:v>2941.6666666666665</c:v>
                </c:pt>
                <c:pt idx="74">
                  <c:v>2941.6666666666665</c:v>
                </c:pt>
                <c:pt idx="75">
                  <c:v>2941.6666666666665</c:v>
                </c:pt>
                <c:pt idx="76">
                  <c:v>2941.6666666666665</c:v>
                </c:pt>
                <c:pt idx="77">
                  <c:v>2941.6666666666665</c:v>
                </c:pt>
                <c:pt idx="78">
                  <c:v>2941.6666666666665</c:v>
                </c:pt>
                <c:pt idx="79">
                  <c:v>2941.6666666666665</c:v>
                </c:pt>
                <c:pt idx="80">
                  <c:v>2941.6666666666665</c:v>
                </c:pt>
                <c:pt idx="81">
                  <c:v>2941.6666666666665</c:v>
                </c:pt>
                <c:pt idx="82">
                  <c:v>2941.6666666666665</c:v>
                </c:pt>
                <c:pt idx="83">
                  <c:v>2941.6666666666665</c:v>
                </c:pt>
                <c:pt idx="84">
                  <c:v>2941.6666666666665</c:v>
                </c:pt>
                <c:pt idx="85">
                  <c:v>2941.6666666666665</c:v>
                </c:pt>
                <c:pt idx="86">
                  <c:v>2941.6666666666665</c:v>
                </c:pt>
                <c:pt idx="87">
                  <c:v>2941.6666666666665</c:v>
                </c:pt>
                <c:pt idx="88">
                  <c:v>2941.6666666666665</c:v>
                </c:pt>
                <c:pt idx="89">
                  <c:v>2941.6666666666665</c:v>
                </c:pt>
                <c:pt idx="90">
                  <c:v>2941.6666666666665</c:v>
                </c:pt>
                <c:pt idx="91">
                  <c:v>2941.6666666666665</c:v>
                </c:pt>
                <c:pt idx="92">
                  <c:v>2941.6666666666665</c:v>
                </c:pt>
                <c:pt idx="93">
                  <c:v>2941.6666666666665</c:v>
                </c:pt>
                <c:pt idx="94">
                  <c:v>2941.6666666666665</c:v>
                </c:pt>
                <c:pt idx="95">
                  <c:v>2941.6666666666665</c:v>
                </c:pt>
                <c:pt idx="96">
                  <c:v>2941.6666666666665</c:v>
                </c:pt>
                <c:pt idx="97">
                  <c:v>2941.6666666666665</c:v>
                </c:pt>
                <c:pt idx="98">
                  <c:v>2941.6666666666665</c:v>
                </c:pt>
                <c:pt idx="99">
                  <c:v>2941.6666666666665</c:v>
                </c:pt>
                <c:pt idx="100">
                  <c:v>2941.6666666666665</c:v>
                </c:pt>
                <c:pt idx="101">
                  <c:v>2941.6666666666665</c:v>
                </c:pt>
                <c:pt idx="102">
                  <c:v>2941.6666666666665</c:v>
                </c:pt>
                <c:pt idx="103">
                  <c:v>2941.6666666666665</c:v>
                </c:pt>
                <c:pt idx="104">
                  <c:v>2941.6666666666665</c:v>
                </c:pt>
                <c:pt idx="105">
                  <c:v>2941.6666666666665</c:v>
                </c:pt>
                <c:pt idx="106">
                  <c:v>2941.6666666666665</c:v>
                </c:pt>
                <c:pt idx="107">
                  <c:v>2941.6666666666665</c:v>
                </c:pt>
                <c:pt idx="108">
                  <c:v>2941.6666666666665</c:v>
                </c:pt>
                <c:pt idx="109">
                  <c:v>2941.6666666666665</c:v>
                </c:pt>
                <c:pt idx="110">
                  <c:v>2941.6666666666665</c:v>
                </c:pt>
                <c:pt idx="111">
                  <c:v>2941.6666666666665</c:v>
                </c:pt>
                <c:pt idx="112">
                  <c:v>2941.6666666666665</c:v>
                </c:pt>
                <c:pt idx="113">
                  <c:v>2941.6666666666665</c:v>
                </c:pt>
                <c:pt idx="114">
                  <c:v>2941.6666666666665</c:v>
                </c:pt>
                <c:pt idx="115">
                  <c:v>2941.6666666666665</c:v>
                </c:pt>
                <c:pt idx="116">
                  <c:v>2941.6666666666665</c:v>
                </c:pt>
                <c:pt idx="117">
                  <c:v>2941.6666666666665</c:v>
                </c:pt>
                <c:pt idx="118">
                  <c:v>2941.6666666666665</c:v>
                </c:pt>
                <c:pt idx="119">
                  <c:v>2941.6666666666665</c:v>
                </c:pt>
                <c:pt idx="120">
                  <c:v>2941.6666666666665</c:v>
                </c:pt>
                <c:pt idx="121">
                  <c:v>2941.6666666666665</c:v>
                </c:pt>
                <c:pt idx="122">
                  <c:v>2941.6666666666665</c:v>
                </c:pt>
                <c:pt idx="123">
                  <c:v>2941.6666666666665</c:v>
                </c:pt>
                <c:pt idx="124">
                  <c:v>2941.6666666666665</c:v>
                </c:pt>
                <c:pt idx="125">
                  <c:v>2941.6666666666665</c:v>
                </c:pt>
                <c:pt idx="126">
                  <c:v>2941.6666666666665</c:v>
                </c:pt>
                <c:pt idx="127">
                  <c:v>2941.6666666666665</c:v>
                </c:pt>
                <c:pt idx="128">
                  <c:v>2941.6666666666665</c:v>
                </c:pt>
                <c:pt idx="129">
                  <c:v>2941.6666666666665</c:v>
                </c:pt>
                <c:pt idx="130">
                  <c:v>2941.6666666666665</c:v>
                </c:pt>
                <c:pt idx="131">
                  <c:v>2941.6666666666665</c:v>
                </c:pt>
                <c:pt idx="132">
                  <c:v>2941.6666666666665</c:v>
                </c:pt>
                <c:pt idx="133">
                  <c:v>2941.6666666666665</c:v>
                </c:pt>
                <c:pt idx="134">
                  <c:v>2941.6666666666665</c:v>
                </c:pt>
                <c:pt idx="135">
                  <c:v>2941.6666666666665</c:v>
                </c:pt>
                <c:pt idx="136">
                  <c:v>2941.6666666666665</c:v>
                </c:pt>
                <c:pt idx="137">
                  <c:v>2941.6666666666665</c:v>
                </c:pt>
                <c:pt idx="138">
                  <c:v>2941.6666666666665</c:v>
                </c:pt>
                <c:pt idx="139">
                  <c:v>2941.6666666666665</c:v>
                </c:pt>
                <c:pt idx="140">
                  <c:v>2941.6666666666665</c:v>
                </c:pt>
                <c:pt idx="141">
                  <c:v>2941.6666666666665</c:v>
                </c:pt>
                <c:pt idx="142">
                  <c:v>2941.6666666666665</c:v>
                </c:pt>
                <c:pt idx="143">
                  <c:v>2941.6666666666665</c:v>
                </c:pt>
                <c:pt idx="144">
                  <c:v>2941.6666666666665</c:v>
                </c:pt>
                <c:pt idx="145">
                  <c:v>2941.6666666666665</c:v>
                </c:pt>
                <c:pt idx="146">
                  <c:v>2941.6666666666665</c:v>
                </c:pt>
                <c:pt idx="147">
                  <c:v>2941.6666666666665</c:v>
                </c:pt>
                <c:pt idx="148">
                  <c:v>2941.6666666666665</c:v>
                </c:pt>
                <c:pt idx="149">
                  <c:v>2941.6666666666665</c:v>
                </c:pt>
                <c:pt idx="150">
                  <c:v>2941.6666666666665</c:v>
                </c:pt>
                <c:pt idx="151">
                  <c:v>2941.6666666666665</c:v>
                </c:pt>
                <c:pt idx="152">
                  <c:v>2941.6666666666665</c:v>
                </c:pt>
                <c:pt idx="153">
                  <c:v>2941.6666666666665</c:v>
                </c:pt>
                <c:pt idx="154">
                  <c:v>2941.6666666666665</c:v>
                </c:pt>
                <c:pt idx="155">
                  <c:v>2941.6666666666665</c:v>
                </c:pt>
                <c:pt idx="156">
                  <c:v>2941.6666666666665</c:v>
                </c:pt>
                <c:pt idx="157">
                  <c:v>2941.6666666666665</c:v>
                </c:pt>
                <c:pt idx="158">
                  <c:v>2941.6666666666665</c:v>
                </c:pt>
                <c:pt idx="159">
                  <c:v>2941.6666666666665</c:v>
                </c:pt>
                <c:pt idx="160">
                  <c:v>2941.6666666666665</c:v>
                </c:pt>
                <c:pt idx="161">
                  <c:v>2941.6666666666665</c:v>
                </c:pt>
                <c:pt idx="162">
                  <c:v>2941.6666666666665</c:v>
                </c:pt>
                <c:pt idx="163">
                  <c:v>2941.6666666666665</c:v>
                </c:pt>
                <c:pt idx="164">
                  <c:v>2941.6666666666665</c:v>
                </c:pt>
                <c:pt idx="165">
                  <c:v>2941.6666666666665</c:v>
                </c:pt>
                <c:pt idx="166">
                  <c:v>2941.6666666666665</c:v>
                </c:pt>
                <c:pt idx="167">
                  <c:v>2941.6666666666665</c:v>
                </c:pt>
                <c:pt idx="168">
                  <c:v>2941.6666666666665</c:v>
                </c:pt>
                <c:pt idx="169">
                  <c:v>2941.6666666666665</c:v>
                </c:pt>
                <c:pt idx="170">
                  <c:v>2941.6666666666665</c:v>
                </c:pt>
                <c:pt idx="171">
                  <c:v>2941.6666666666665</c:v>
                </c:pt>
                <c:pt idx="172">
                  <c:v>2941.6666666666665</c:v>
                </c:pt>
                <c:pt idx="173">
                  <c:v>2941.6666666666665</c:v>
                </c:pt>
                <c:pt idx="174">
                  <c:v>2941.6666666666665</c:v>
                </c:pt>
                <c:pt idx="175">
                  <c:v>2941.6666666666665</c:v>
                </c:pt>
                <c:pt idx="176">
                  <c:v>2941.6666666666665</c:v>
                </c:pt>
                <c:pt idx="177">
                  <c:v>2941.6666666666665</c:v>
                </c:pt>
                <c:pt idx="178">
                  <c:v>2941.6666666666665</c:v>
                </c:pt>
                <c:pt idx="179">
                  <c:v>2941.6666666666665</c:v>
                </c:pt>
                <c:pt idx="180">
                  <c:v>2941.6666666666665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F-42FC-B835-F96B154D934A}"/>
            </c:ext>
          </c:extLst>
        </c:ser>
        <c:ser>
          <c:idx val="2"/>
          <c:order val="2"/>
          <c:tx>
            <c:strRef>
              <c:f>Statistik!$BA$8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Statistik!$BA$9:$BA$192</c:f>
              <c:numCache>
                <c:formatCode>0</c:formatCode>
                <c:ptCount val="184"/>
                <c:pt idx="0">
                  <c:v>4966.9775952753826</c:v>
                </c:pt>
                <c:pt idx="1">
                  <c:v>4966.9775952753826</c:v>
                </c:pt>
                <c:pt idx="2">
                  <c:v>4966.9775952753826</c:v>
                </c:pt>
                <c:pt idx="3">
                  <c:v>4966.9775952753826</c:v>
                </c:pt>
                <c:pt idx="4">
                  <c:v>4966.9775952753826</c:v>
                </c:pt>
                <c:pt idx="5">
                  <c:v>4966.9775952753826</c:v>
                </c:pt>
                <c:pt idx="6">
                  <c:v>4966.9775952753826</c:v>
                </c:pt>
                <c:pt idx="7">
                  <c:v>4966.9775952753826</c:v>
                </c:pt>
                <c:pt idx="8">
                  <c:v>4966.9775952753826</c:v>
                </c:pt>
                <c:pt idx="9">
                  <c:v>4966.9775952753826</c:v>
                </c:pt>
                <c:pt idx="10">
                  <c:v>4966.9775952753826</c:v>
                </c:pt>
                <c:pt idx="11">
                  <c:v>4966.9775952753826</c:v>
                </c:pt>
                <c:pt idx="12">
                  <c:v>4966.9775952753826</c:v>
                </c:pt>
                <c:pt idx="13">
                  <c:v>4966.9775952753826</c:v>
                </c:pt>
                <c:pt idx="14">
                  <c:v>4966.9775952753826</c:v>
                </c:pt>
                <c:pt idx="15">
                  <c:v>4966.9775952753826</c:v>
                </c:pt>
                <c:pt idx="16">
                  <c:v>4966.9775952753826</c:v>
                </c:pt>
                <c:pt idx="17">
                  <c:v>4966.9775952753826</c:v>
                </c:pt>
                <c:pt idx="18">
                  <c:v>4966.9775952753826</c:v>
                </c:pt>
                <c:pt idx="19">
                  <c:v>4966.9775952753826</c:v>
                </c:pt>
                <c:pt idx="20">
                  <c:v>4966.9775952753826</c:v>
                </c:pt>
                <c:pt idx="21">
                  <c:v>4966.9775952753826</c:v>
                </c:pt>
                <c:pt idx="22">
                  <c:v>4966.9775952753826</c:v>
                </c:pt>
                <c:pt idx="23">
                  <c:v>4966.9775952753826</c:v>
                </c:pt>
                <c:pt idx="24">
                  <c:v>4966.9775952753826</c:v>
                </c:pt>
                <c:pt idx="25">
                  <c:v>4966.9775952753826</c:v>
                </c:pt>
                <c:pt idx="26">
                  <c:v>4966.9775952753826</c:v>
                </c:pt>
                <c:pt idx="27">
                  <c:v>4966.9775952753826</c:v>
                </c:pt>
                <c:pt idx="28">
                  <c:v>4966.9775952753826</c:v>
                </c:pt>
                <c:pt idx="29">
                  <c:v>4966.9775952753826</c:v>
                </c:pt>
                <c:pt idx="30">
                  <c:v>4966.9775952753826</c:v>
                </c:pt>
                <c:pt idx="31">
                  <c:v>4966.9775952753826</c:v>
                </c:pt>
                <c:pt idx="32">
                  <c:v>4966.9775952753826</c:v>
                </c:pt>
                <c:pt idx="33">
                  <c:v>4966.9775952753826</c:v>
                </c:pt>
                <c:pt idx="34">
                  <c:v>4966.9775952753826</c:v>
                </c:pt>
                <c:pt idx="35">
                  <c:v>4966.9775952753826</c:v>
                </c:pt>
                <c:pt idx="36">
                  <c:v>4966.9775952753826</c:v>
                </c:pt>
                <c:pt idx="37">
                  <c:v>4966.9775952753826</c:v>
                </c:pt>
                <c:pt idx="38">
                  <c:v>4966.9775952753826</c:v>
                </c:pt>
                <c:pt idx="39">
                  <c:v>4966.9775952753826</c:v>
                </c:pt>
                <c:pt idx="40">
                  <c:v>4966.9775952753826</c:v>
                </c:pt>
                <c:pt idx="41">
                  <c:v>4966.9775952753826</c:v>
                </c:pt>
                <c:pt idx="42">
                  <c:v>4966.9775952753826</c:v>
                </c:pt>
                <c:pt idx="43">
                  <c:v>4966.9775952753826</c:v>
                </c:pt>
                <c:pt idx="44">
                  <c:v>4966.9775952753826</c:v>
                </c:pt>
                <c:pt idx="45">
                  <c:v>4966.9775952753826</c:v>
                </c:pt>
                <c:pt idx="46">
                  <c:v>4966.9775952753826</c:v>
                </c:pt>
                <c:pt idx="47">
                  <c:v>4966.9775952753826</c:v>
                </c:pt>
                <c:pt idx="48">
                  <c:v>4966.9775952753826</c:v>
                </c:pt>
                <c:pt idx="49">
                  <c:v>4966.9775952753826</c:v>
                </c:pt>
                <c:pt idx="50">
                  <c:v>4966.9775952753826</c:v>
                </c:pt>
                <c:pt idx="51">
                  <c:v>4966.9775952753826</c:v>
                </c:pt>
                <c:pt idx="52">
                  <c:v>4966.9775952753826</c:v>
                </c:pt>
                <c:pt idx="53">
                  <c:v>4966.9775952753826</c:v>
                </c:pt>
                <c:pt idx="54">
                  <c:v>4966.9775952753826</c:v>
                </c:pt>
                <c:pt idx="55">
                  <c:v>4966.9775952753826</c:v>
                </c:pt>
                <c:pt idx="56">
                  <c:v>4966.9775952753826</c:v>
                </c:pt>
                <c:pt idx="57">
                  <c:v>4966.9775952753826</c:v>
                </c:pt>
                <c:pt idx="58">
                  <c:v>4966.9775952753826</c:v>
                </c:pt>
                <c:pt idx="59">
                  <c:v>4966.9775952753826</c:v>
                </c:pt>
                <c:pt idx="60">
                  <c:v>4966.9775952753826</c:v>
                </c:pt>
                <c:pt idx="61">
                  <c:v>4966.9775952753826</c:v>
                </c:pt>
                <c:pt idx="62">
                  <c:v>4966.9775952753826</c:v>
                </c:pt>
                <c:pt idx="63">
                  <c:v>4966.9775952753826</c:v>
                </c:pt>
                <c:pt idx="64">
                  <c:v>4966.9775952753826</c:v>
                </c:pt>
                <c:pt idx="65">
                  <c:v>4966.9775952753826</c:v>
                </c:pt>
                <c:pt idx="66">
                  <c:v>4966.9775952753826</c:v>
                </c:pt>
                <c:pt idx="67">
                  <c:v>4966.9775952753826</c:v>
                </c:pt>
                <c:pt idx="68">
                  <c:v>4966.9775952753826</c:v>
                </c:pt>
                <c:pt idx="69">
                  <c:v>4966.9775952753826</c:v>
                </c:pt>
                <c:pt idx="70">
                  <c:v>4966.9775952753826</c:v>
                </c:pt>
                <c:pt idx="71">
                  <c:v>4966.9775952753826</c:v>
                </c:pt>
                <c:pt idx="72">
                  <c:v>4966.9775952753826</c:v>
                </c:pt>
                <c:pt idx="73">
                  <c:v>4966.9775952753826</c:v>
                </c:pt>
                <c:pt idx="74">
                  <c:v>4966.9775952753826</c:v>
                </c:pt>
                <c:pt idx="75">
                  <c:v>4966.9775952753826</c:v>
                </c:pt>
                <c:pt idx="76">
                  <c:v>4966.9775952753826</c:v>
                </c:pt>
                <c:pt idx="77">
                  <c:v>4966.9775952753826</c:v>
                </c:pt>
                <c:pt idx="78">
                  <c:v>4966.9775952753826</c:v>
                </c:pt>
                <c:pt idx="79">
                  <c:v>4966.9775952753826</c:v>
                </c:pt>
                <c:pt idx="80">
                  <c:v>4966.9775952753826</c:v>
                </c:pt>
                <c:pt idx="81">
                  <c:v>4966.9775952753826</c:v>
                </c:pt>
                <c:pt idx="82">
                  <c:v>4966.9775952753826</c:v>
                </c:pt>
                <c:pt idx="83">
                  <c:v>4966.9775952753826</c:v>
                </c:pt>
                <c:pt idx="84">
                  <c:v>4966.9775952753826</c:v>
                </c:pt>
                <c:pt idx="85">
                  <c:v>4966.9775952753826</c:v>
                </c:pt>
                <c:pt idx="86">
                  <c:v>4966.9775952753826</c:v>
                </c:pt>
                <c:pt idx="87">
                  <c:v>4966.9775952753826</c:v>
                </c:pt>
                <c:pt idx="88">
                  <c:v>4966.9775952753826</c:v>
                </c:pt>
                <c:pt idx="89">
                  <c:v>4966.9775952753826</c:v>
                </c:pt>
                <c:pt idx="90">
                  <c:v>4966.9775952753826</c:v>
                </c:pt>
                <c:pt idx="91">
                  <c:v>4966.9775952753826</c:v>
                </c:pt>
                <c:pt idx="92">
                  <c:v>4966.9775952753826</c:v>
                </c:pt>
                <c:pt idx="93">
                  <c:v>4966.9775952753826</c:v>
                </c:pt>
                <c:pt idx="94">
                  <c:v>4966.9775952753826</c:v>
                </c:pt>
                <c:pt idx="95">
                  <c:v>4966.9775952753826</c:v>
                </c:pt>
                <c:pt idx="96">
                  <c:v>4966.9775952753826</c:v>
                </c:pt>
                <c:pt idx="97">
                  <c:v>4966.9775952753826</c:v>
                </c:pt>
                <c:pt idx="98">
                  <c:v>4966.9775952753826</c:v>
                </c:pt>
                <c:pt idx="99">
                  <c:v>4966.9775952753826</c:v>
                </c:pt>
                <c:pt idx="100">
                  <c:v>4966.9775952753826</c:v>
                </c:pt>
                <c:pt idx="101">
                  <c:v>4966.9775952753826</c:v>
                </c:pt>
                <c:pt idx="102">
                  <c:v>4966.9775952753826</c:v>
                </c:pt>
                <c:pt idx="103">
                  <c:v>4966.9775952753826</c:v>
                </c:pt>
                <c:pt idx="104">
                  <c:v>4966.9775952753826</c:v>
                </c:pt>
                <c:pt idx="105">
                  <c:v>4966.9775952753826</c:v>
                </c:pt>
                <c:pt idx="106">
                  <c:v>4966.9775952753826</c:v>
                </c:pt>
                <c:pt idx="107">
                  <c:v>4966.9775952753826</c:v>
                </c:pt>
                <c:pt idx="108">
                  <c:v>4966.9775952753826</c:v>
                </c:pt>
                <c:pt idx="109">
                  <c:v>4966.9775952753826</c:v>
                </c:pt>
                <c:pt idx="110">
                  <c:v>4966.9775952753826</c:v>
                </c:pt>
                <c:pt idx="111">
                  <c:v>4966.9775952753826</c:v>
                </c:pt>
                <c:pt idx="112">
                  <c:v>4966.9775952753826</c:v>
                </c:pt>
                <c:pt idx="113">
                  <c:v>4966.9775952753826</c:v>
                </c:pt>
                <c:pt idx="114">
                  <c:v>4966.9775952753826</c:v>
                </c:pt>
                <c:pt idx="115">
                  <c:v>4966.9775952753826</c:v>
                </c:pt>
                <c:pt idx="116">
                  <c:v>4966.9775952753826</c:v>
                </c:pt>
                <c:pt idx="117">
                  <c:v>4966.9775952753826</c:v>
                </c:pt>
                <c:pt idx="118">
                  <c:v>4966.9775952753826</c:v>
                </c:pt>
                <c:pt idx="119">
                  <c:v>4966.9775952753826</c:v>
                </c:pt>
                <c:pt idx="120">
                  <c:v>4966.9775952753826</c:v>
                </c:pt>
                <c:pt idx="121">
                  <c:v>4966.9775952753826</c:v>
                </c:pt>
                <c:pt idx="122">
                  <c:v>4966.9775952753826</c:v>
                </c:pt>
                <c:pt idx="123">
                  <c:v>4966.9775952753826</c:v>
                </c:pt>
                <c:pt idx="124">
                  <c:v>4966.9775952753826</c:v>
                </c:pt>
                <c:pt idx="125">
                  <c:v>4966.9775952753826</c:v>
                </c:pt>
                <c:pt idx="126">
                  <c:v>4966.9775952753826</c:v>
                </c:pt>
                <c:pt idx="127">
                  <c:v>4966.9775952753826</c:v>
                </c:pt>
                <c:pt idx="128">
                  <c:v>4966.9775952753826</c:v>
                </c:pt>
                <c:pt idx="129">
                  <c:v>4966.9775952753826</c:v>
                </c:pt>
                <c:pt idx="130">
                  <c:v>4966.9775952753826</c:v>
                </c:pt>
                <c:pt idx="131">
                  <c:v>4966.9775952753826</c:v>
                </c:pt>
                <c:pt idx="132">
                  <c:v>4966.9775952753826</c:v>
                </c:pt>
                <c:pt idx="133">
                  <c:v>4966.9775952753826</c:v>
                </c:pt>
                <c:pt idx="134">
                  <c:v>4966.9775952753826</c:v>
                </c:pt>
                <c:pt idx="135">
                  <c:v>4966.9775952753826</c:v>
                </c:pt>
                <c:pt idx="136">
                  <c:v>4966.9775952753826</c:v>
                </c:pt>
                <c:pt idx="137">
                  <c:v>4966.9775952753826</c:v>
                </c:pt>
                <c:pt idx="138">
                  <c:v>4966.9775952753826</c:v>
                </c:pt>
                <c:pt idx="139">
                  <c:v>4966.9775952753826</c:v>
                </c:pt>
                <c:pt idx="140">
                  <c:v>4966.9775952753826</c:v>
                </c:pt>
                <c:pt idx="141">
                  <c:v>4966.9775952753826</c:v>
                </c:pt>
                <c:pt idx="142">
                  <c:v>4966.9775952753826</c:v>
                </c:pt>
                <c:pt idx="143">
                  <c:v>4966.9775952753826</c:v>
                </c:pt>
                <c:pt idx="144">
                  <c:v>4966.9775952753826</c:v>
                </c:pt>
                <c:pt idx="145">
                  <c:v>4966.9775952753826</c:v>
                </c:pt>
                <c:pt idx="146">
                  <c:v>4966.9775952753826</c:v>
                </c:pt>
                <c:pt idx="147">
                  <c:v>4966.9775952753826</c:v>
                </c:pt>
                <c:pt idx="148">
                  <c:v>4966.9775952753826</c:v>
                </c:pt>
                <c:pt idx="149">
                  <c:v>4966.9775952753826</c:v>
                </c:pt>
                <c:pt idx="150">
                  <c:v>4966.9775952753826</c:v>
                </c:pt>
                <c:pt idx="151">
                  <c:v>4966.9775952753826</c:v>
                </c:pt>
                <c:pt idx="152">
                  <c:v>4966.9775952753826</c:v>
                </c:pt>
                <c:pt idx="153">
                  <c:v>4966.9775952753826</c:v>
                </c:pt>
                <c:pt idx="154">
                  <c:v>4966.9775952753826</c:v>
                </c:pt>
                <c:pt idx="155">
                  <c:v>4966.9775952753826</c:v>
                </c:pt>
                <c:pt idx="156">
                  <c:v>4966.9775952753826</c:v>
                </c:pt>
                <c:pt idx="157">
                  <c:v>4966.9775952753826</c:v>
                </c:pt>
                <c:pt idx="158">
                  <c:v>4966.9775952753826</c:v>
                </c:pt>
                <c:pt idx="159">
                  <c:v>4966.9775952753826</c:v>
                </c:pt>
                <c:pt idx="160">
                  <c:v>4966.9775952753826</c:v>
                </c:pt>
                <c:pt idx="161">
                  <c:v>4966.9775952753826</c:v>
                </c:pt>
                <c:pt idx="162">
                  <c:v>4966.9775952753826</c:v>
                </c:pt>
                <c:pt idx="163">
                  <c:v>4966.9775952753826</c:v>
                </c:pt>
                <c:pt idx="164">
                  <c:v>4966.9775952753826</c:v>
                </c:pt>
                <c:pt idx="165">
                  <c:v>4966.9775952753826</c:v>
                </c:pt>
                <c:pt idx="166">
                  <c:v>4966.9775952753826</c:v>
                </c:pt>
                <c:pt idx="167">
                  <c:v>4966.9775952753826</c:v>
                </c:pt>
                <c:pt idx="168">
                  <c:v>4966.9775952753826</c:v>
                </c:pt>
                <c:pt idx="169">
                  <c:v>4966.9775952753826</c:v>
                </c:pt>
                <c:pt idx="170">
                  <c:v>4966.9775952753826</c:v>
                </c:pt>
                <c:pt idx="171">
                  <c:v>4966.9775952753826</c:v>
                </c:pt>
                <c:pt idx="172">
                  <c:v>4966.9775952753826</c:v>
                </c:pt>
                <c:pt idx="173">
                  <c:v>4966.9775952753826</c:v>
                </c:pt>
                <c:pt idx="174">
                  <c:v>4966.9775952753826</c:v>
                </c:pt>
                <c:pt idx="175">
                  <c:v>4966.9775952753826</c:v>
                </c:pt>
                <c:pt idx="176">
                  <c:v>4966.9775952753826</c:v>
                </c:pt>
                <c:pt idx="177">
                  <c:v>4966.9775952753826</c:v>
                </c:pt>
                <c:pt idx="178">
                  <c:v>4966.9775952753826</c:v>
                </c:pt>
                <c:pt idx="179">
                  <c:v>4966.9775952753826</c:v>
                </c:pt>
                <c:pt idx="180">
                  <c:v>4966.9775952753826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F-42FC-B835-F96B154D934A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Statistik!$BB$9:$BB$192</c:f>
              <c:numCache>
                <c:formatCode>0</c:formatCode>
                <c:ptCount val="184"/>
                <c:pt idx="0">
                  <c:v>916.35573805795048</c:v>
                </c:pt>
                <c:pt idx="1">
                  <c:v>916.35573805795048</c:v>
                </c:pt>
                <c:pt idx="2">
                  <c:v>916.35573805795048</c:v>
                </c:pt>
                <c:pt idx="3">
                  <c:v>916.35573805795048</c:v>
                </c:pt>
                <c:pt idx="4">
                  <c:v>916.35573805795048</c:v>
                </c:pt>
                <c:pt idx="5">
                  <c:v>916.35573805795048</c:v>
                </c:pt>
                <c:pt idx="6">
                  <c:v>916.35573805795048</c:v>
                </c:pt>
                <c:pt idx="7">
                  <c:v>916.35573805795048</c:v>
                </c:pt>
                <c:pt idx="8">
                  <c:v>916.35573805795048</c:v>
                </c:pt>
                <c:pt idx="9">
                  <c:v>916.35573805795048</c:v>
                </c:pt>
                <c:pt idx="10">
                  <c:v>916.35573805795048</c:v>
                </c:pt>
                <c:pt idx="11">
                  <c:v>916.35573805795048</c:v>
                </c:pt>
                <c:pt idx="12">
                  <c:v>916.35573805795048</c:v>
                </c:pt>
                <c:pt idx="13">
                  <c:v>916.35573805795048</c:v>
                </c:pt>
                <c:pt idx="14">
                  <c:v>916.35573805795048</c:v>
                </c:pt>
                <c:pt idx="15">
                  <c:v>916.35573805795048</c:v>
                </c:pt>
                <c:pt idx="16">
                  <c:v>916.35573805795048</c:v>
                </c:pt>
                <c:pt idx="17">
                  <c:v>916.35573805795048</c:v>
                </c:pt>
                <c:pt idx="18">
                  <c:v>916.35573805795048</c:v>
                </c:pt>
                <c:pt idx="19">
                  <c:v>916.35573805795048</c:v>
                </c:pt>
                <c:pt idx="20">
                  <c:v>916.35573805795048</c:v>
                </c:pt>
                <c:pt idx="21">
                  <c:v>916.35573805795048</c:v>
                </c:pt>
                <c:pt idx="22">
                  <c:v>916.35573805795048</c:v>
                </c:pt>
                <c:pt idx="23">
                  <c:v>916.35573805795048</c:v>
                </c:pt>
                <c:pt idx="24">
                  <c:v>916.35573805795048</c:v>
                </c:pt>
                <c:pt idx="25">
                  <c:v>916.35573805795048</c:v>
                </c:pt>
                <c:pt idx="26">
                  <c:v>916.35573805795048</c:v>
                </c:pt>
                <c:pt idx="27">
                  <c:v>916.35573805795048</c:v>
                </c:pt>
                <c:pt idx="28">
                  <c:v>916.35573805795048</c:v>
                </c:pt>
                <c:pt idx="29">
                  <c:v>916.35573805795048</c:v>
                </c:pt>
                <c:pt idx="30">
                  <c:v>916.35573805795048</c:v>
                </c:pt>
                <c:pt idx="31">
                  <c:v>916.35573805795048</c:v>
                </c:pt>
                <c:pt idx="32">
                  <c:v>916.35573805795048</c:v>
                </c:pt>
                <c:pt idx="33">
                  <c:v>916.35573805795048</c:v>
                </c:pt>
                <c:pt idx="34">
                  <c:v>916.35573805795048</c:v>
                </c:pt>
                <c:pt idx="35">
                  <c:v>916.35573805795048</c:v>
                </c:pt>
                <c:pt idx="36">
                  <c:v>916.35573805795048</c:v>
                </c:pt>
                <c:pt idx="37">
                  <c:v>916.35573805795048</c:v>
                </c:pt>
                <c:pt idx="38">
                  <c:v>916.35573805795048</c:v>
                </c:pt>
                <c:pt idx="39">
                  <c:v>916.35573805795048</c:v>
                </c:pt>
                <c:pt idx="40">
                  <c:v>916.35573805795048</c:v>
                </c:pt>
                <c:pt idx="41">
                  <c:v>916.35573805795048</c:v>
                </c:pt>
                <c:pt idx="42">
                  <c:v>916.35573805795048</c:v>
                </c:pt>
                <c:pt idx="43">
                  <c:v>916.35573805795048</c:v>
                </c:pt>
                <c:pt idx="44">
                  <c:v>916.35573805795048</c:v>
                </c:pt>
                <c:pt idx="45">
                  <c:v>916.35573805795048</c:v>
                </c:pt>
                <c:pt idx="46">
                  <c:v>916.35573805795048</c:v>
                </c:pt>
                <c:pt idx="47">
                  <c:v>916.35573805795048</c:v>
                </c:pt>
                <c:pt idx="48">
                  <c:v>916.35573805795048</c:v>
                </c:pt>
                <c:pt idx="49">
                  <c:v>916.35573805795048</c:v>
                </c:pt>
                <c:pt idx="50">
                  <c:v>916.35573805795048</c:v>
                </c:pt>
                <c:pt idx="51">
                  <c:v>916.35573805795048</c:v>
                </c:pt>
                <c:pt idx="52">
                  <c:v>916.35573805795048</c:v>
                </c:pt>
                <c:pt idx="53">
                  <c:v>916.35573805795048</c:v>
                </c:pt>
                <c:pt idx="54">
                  <c:v>916.35573805795048</c:v>
                </c:pt>
                <c:pt idx="55">
                  <c:v>916.35573805795048</c:v>
                </c:pt>
                <c:pt idx="56">
                  <c:v>916.35573805795048</c:v>
                </c:pt>
                <c:pt idx="57">
                  <c:v>916.35573805795048</c:v>
                </c:pt>
                <c:pt idx="58">
                  <c:v>916.35573805795048</c:v>
                </c:pt>
                <c:pt idx="59">
                  <c:v>916.35573805795048</c:v>
                </c:pt>
                <c:pt idx="60">
                  <c:v>916.35573805795048</c:v>
                </c:pt>
                <c:pt idx="61">
                  <c:v>916.35573805795048</c:v>
                </c:pt>
                <c:pt idx="62">
                  <c:v>916.35573805795048</c:v>
                </c:pt>
                <c:pt idx="63">
                  <c:v>916.35573805795048</c:v>
                </c:pt>
                <c:pt idx="64">
                  <c:v>916.35573805795048</c:v>
                </c:pt>
                <c:pt idx="65">
                  <c:v>916.35573805795048</c:v>
                </c:pt>
                <c:pt idx="66">
                  <c:v>916.35573805795048</c:v>
                </c:pt>
                <c:pt idx="67">
                  <c:v>916.35573805795048</c:v>
                </c:pt>
                <c:pt idx="68">
                  <c:v>916.35573805795048</c:v>
                </c:pt>
                <c:pt idx="69">
                  <c:v>916.35573805795048</c:v>
                </c:pt>
                <c:pt idx="70">
                  <c:v>916.35573805795048</c:v>
                </c:pt>
                <c:pt idx="71">
                  <c:v>916.35573805795048</c:v>
                </c:pt>
                <c:pt idx="72">
                  <c:v>916.35573805795048</c:v>
                </c:pt>
                <c:pt idx="73">
                  <c:v>916.35573805795048</c:v>
                </c:pt>
                <c:pt idx="74">
                  <c:v>916.35573805795048</c:v>
                </c:pt>
                <c:pt idx="75">
                  <c:v>916.35573805795048</c:v>
                </c:pt>
                <c:pt idx="76">
                  <c:v>916.35573805795048</c:v>
                </c:pt>
                <c:pt idx="77">
                  <c:v>916.35573805795048</c:v>
                </c:pt>
                <c:pt idx="78">
                  <c:v>916.35573805795048</c:v>
                </c:pt>
                <c:pt idx="79">
                  <c:v>916.35573805795048</c:v>
                </c:pt>
                <c:pt idx="80">
                  <c:v>916.35573805795048</c:v>
                </c:pt>
                <c:pt idx="81">
                  <c:v>916.35573805795048</c:v>
                </c:pt>
                <c:pt idx="82">
                  <c:v>916.35573805795048</c:v>
                </c:pt>
                <c:pt idx="83">
                  <c:v>916.35573805795048</c:v>
                </c:pt>
                <c:pt idx="84">
                  <c:v>916.35573805795048</c:v>
                </c:pt>
                <c:pt idx="85">
                  <c:v>916.35573805795048</c:v>
                </c:pt>
                <c:pt idx="86">
                  <c:v>916.35573805795048</c:v>
                </c:pt>
                <c:pt idx="87">
                  <c:v>916.35573805795048</c:v>
                </c:pt>
                <c:pt idx="88">
                  <c:v>916.35573805795048</c:v>
                </c:pt>
                <c:pt idx="89">
                  <c:v>916.35573805795048</c:v>
                </c:pt>
                <c:pt idx="90">
                  <c:v>916.35573805795048</c:v>
                </c:pt>
                <c:pt idx="91">
                  <c:v>916.35573805795048</c:v>
                </c:pt>
                <c:pt idx="92">
                  <c:v>916.35573805795048</c:v>
                </c:pt>
                <c:pt idx="93">
                  <c:v>916.35573805795048</c:v>
                </c:pt>
                <c:pt idx="94">
                  <c:v>916.35573805795048</c:v>
                </c:pt>
                <c:pt idx="95">
                  <c:v>916.35573805795048</c:v>
                </c:pt>
                <c:pt idx="96">
                  <c:v>916.35573805795048</c:v>
                </c:pt>
                <c:pt idx="97">
                  <c:v>916.35573805795048</c:v>
                </c:pt>
                <c:pt idx="98">
                  <c:v>916.35573805795048</c:v>
                </c:pt>
                <c:pt idx="99">
                  <c:v>916.35573805795048</c:v>
                </c:pt>
                <c:pt idx="100">
                  <c:v>916.35573805795048</c:v>
                </c:pt>
                <c:pt idx="101">
                  <c:v>916.35573805795048</c:v>
                </c:pt>
                <c:pt idx="102">
                  <c:v>916.35573805795048</c:v>
                </c:pt>
                <c:pt idx="103">
                  <c:v>916.35573805795048</c:v>
                </c:pt>
                <c:pt idx="104">
                  <c:v>916.35573805795048</c:v>
                </c:pt>
                <c:pt idx="105">
                  <c:v>916.35573805795048</c:v>
                </c:pt>
                <c:pt idx="106">
                  <c:v>916.35573805795048</c:v>
                </c:pt>
                <c:pt idx="107">
                  <c:v>916.35573805795048</c:v>
                </c:pt>
                <c:pt idx="108">
                  <c:v>916.35573805795048</c:v>
                </c:pt>
                <c:pt idx="109">
                  <c:v>916.35573805795048</c:v>
                </c:pt>
                <c:pt idx="110">
                  <c:v>916.35573805795048</c:v>
                </c:pt>
                <c:pt idx="111">
                  <c:v>916.35573805795048</c:v>
                </c:pt>
                <c:pt idx="112">
                  <c:v>916.35573805795048</c:v>
                </c:pt>
                <c:pt idx="113">
                  <c:v>916.35573805795048</c:v>
                </c:pt>
                <c:pt idx="114">
                  <c:v>916.35573805795048</c:v>
                </c:pt>
                <c:pt idx="115">
                  <c:v>916.35573805795048</c:v>
                </c:pt>
                <c:pt idx="116">
                  <c:v>916.35573805795048</c:v>
                </c:pt>
                <c:pt idx="117">
                  <c:v>916.35573805795048</c:v>
                </c:pt>
                <c:pt idx="118">
                  <c:v>916.35573805795048</c:v>
                </c:pt>
                <c:pt idx="119">
                  <c:v>916.35573805795048</c:v>
                </c:pt>
                <c:pt idx="120">
                  <c:v>916.35573805795048</c:v>
                </c:pt>
                <c:pt idx="121">
                  <c:v>916.35573805795048</c:v>
                </c:pt>
                <c:pt idx="122">
                  <c:v>916.35573805795048</c:v>
                </c:pt>
                <c:pt idx="123">
                  <c:v>916.35573805795048</c:v>
                </c:pt>
                <c:pt idx="124">
                  <c:v>916.35573805795048</c:v>
                </c:pt>
                <c:pt idx="125">
                  <c:v>916.35573805795048</c:v>
                </c:pt>
                <c:pt idx="126">
                  <c:v>916.35573805795048</c:v>
                </c:pt>
                <c:pt idx="127">
                  <c:v>916.35573805795048</c:v>
                </c:pt>
                <c:pt idx="128">
                  <c:v>916.35573805795048</c:v>
                </c:pt>
                <c:pt idx="129">
                  <c:v>916.35573805795048</c:v>
                </c:pt>
                <c:pt idx="130">
                  <c:v>916.35573805795048</c:v>
                </c:pt>
                <c:pt idx="131">
                  <c:v>916.35573805795048</c:v>
                </c:pt>
                <c:pt idx="132">
                  <c:v>916.35573805795048</c:v>
                </c:pt>
                <c:pt idx="133">
                  <c:v>916.35573805795048</c:v>
                </c:pt>
                <c:pt idx="134">
                  <c:v>916.35573805795048</c:v>
                </c:pt>
                <c:pt idx="135">
                  <c:v>916.35573805795048</c:v>
                </c:pt>
                <c:pt idx="136">
                  <c:v>916.35573805795048</c:v>
                </c:pt>
                <c:pt idx="137">
                  <c:v>916.35573805795048</c:v>
                </c:pt>
                <c:pt idx="138">
                  <c:v>916.35573805795048</c:v>
                </c:pt>
                <c:pt idx="139">
                  <c:v>916.35573805795048</c:v>
                </c:pt>
                <c:pt idx="140">
                  <c:v>916.35573805795048</c:v>
                </c:pt>
                <c:pt idx="141">
                  <c:v>916.35573805795048</c:v>
                </c:pt>
                <c:pt idx="142">
                  <c:v>916.35573805795048</c:v>
                </c:pt>
                <c:pt idx="143">
                  <c:v>916.35573805795048</c:v>
                </c:pt>
                <c:pt idx="144">
                  <c:v>916.35573805795048</c:v>
                </c:pt>
                <c:pt idx="145">
                  <c:v>916.35573805795048</c:v>
                </c:pt>
                <c:pt idx="146">
                  <c:v>916.35573805795048</c:v>
                </c:pt>
                <c:pt idx="147">
                  <c:v>916.35573805795048</c:v>
                </c:pt>
                <c:pt idx="148">
                  <c:v>916.35573805795048</c:v>
                </c:pt>
                <c:pt idx="149">
                  <c:v>916.35573805795048</c:v>
                </c:pt>
                <c:pt idx="150">
                  <c:v>916.35573805795048</c:v>
                </c:pt>
                <c:pt idx="151">
                  <c:v>916.35573805795048</c:v>
                </c:pt>
                <c:pt idx="152">
                  <c:v>916.35573805795048</c:v>
                </c:pt>
                <c:pt idx="153">
                  <c:v>916.35573805795048</c:v>
                </c:pt>
                <c:pt idx="154">
                  <c:v>916.35573805795048</c:v>
                </c:pt>
                <c:pt idx="155">
                  <c:v>916.35573805795048</c:v>
                </c:pt>
                <c:pt idx="156">
                  <c:v>916.35573805795048</c:v>
                </c:pt>
                <c:pt idx="157">
                  <c:v>916.35573805795048</c:v>
                </c:pt>
                <c:pt idx="158">
                  <c:v>916.35573805795048</c:v>
                </c:pt>
                <c:pt idx="159">
                  <c:v>916.35573805795048</c:v>
                </c:pt>
                <c:pt idx="160">
                  <c:v>916.35573805795048</c:v>
                </c:pt>
                <c:pt idx="161">
                  <c:v>916.35573805795048</c:v>
                </c:pt>
                <c:pt idx="162">
                  <c:v>916.35573805795048</c:v>
                </c:pt>
                <c:pt idx="163">
                  <c:v>916.35573805795048</c:v>
                </c:pt>
                <c:pt idx="164">
                  <c:v>916.35573805795048</c:v>
                </c:pt>
                <c:pt idx="165">
                  <c:v>916.35573805795048</c:v>
                </c:pt>
                <c:pt idx="166">
                  <c:v>916.35573805795048</c:v>
                </c:pt>
                <c:pt idx="167">
                  <c:v>916.35573805795048</c:v>
                </c:pt>
                <c:pt idx="168">
                  <c:v>916.35573805795048</c:v>
                </c:pt>
                <c:pt idx="169">
                  <c:v>916.35573805795048</c:v>
                </c:pt>
                <c:pt idx="170">
                  <c:v>916.35573805795048</c:v>
                </c:pt>
                <c:pt idx="171">
                  <c:v>916.35573805795048</c:v>
                </c:pt>
                <c:pt idx="172">
                  <c:v>916.35573805795048</c:v>
                </c:pt>
                <c:pt idx="173">
                  <c:v>916.35573805795048</c:v>
                </c:pt>
                <c:pt idx="174">
                  <c:v>916.35573805795048</c:v>
                </c:pt>
                <c:pt idx="175">
                  <c:v>916.35573805795048</c:v>
                </c:pt>
                <c:pt idx="176">
                  <c:v>916.35573805795048</c:v>
                </c:pt>
                <c:pt idx="177">
                  <c:v>916.35573805795048</c:v>
                </c:pt>
                <c:pt idx="178">
                  <c:v>916.35573805795048</c:v>
                </c:pt>
                <c:pt idx="179">
                  <c:v>916.35573805795048</c:v>
                </c:pt>
                <c:pt idx="180">
                  <c:v>916.35573805795048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7F-42FC-B835-F96B154D9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20832"/>
        <c:axId val="244522368"/>
      </c:lineChart>
      <c:dateAx>
        <c:axId val="244520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522368"/>
        <c:crosses val="autoZero"/>
        <c:auto val="0"/>
        <c:lblOffset val="100"/>
        <c:baseTimeUnit val="months"/>
        <c:majorUnit val="1"/>
        <c:majorTimeUnit val="years"/>
      </c:dateAx>
      <c:valAx>
        <c:axId val="244522368"/>
        <c:scaling>
          <c:orientation val="minMax"/>
          <c:max val="140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520832"/>
        <c:crosses val="autoZero"/>
        <c:crossBetween val="between"/>
        <c:majorUnit val="200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NO2,3-N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Diagram!$AR$135:$AR$146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Diagram!$AS$135:$AS$146</c:f>
              <c:numCache>
                <c:formatCode>General</c:formatCode>
                <c:ptCount val="12"/>
                <c:pt idx="0">
                  <c:v>4000</c:v>
                </c:pt>
                <c:pt idx="1">
                  <c:v>3500</c:v>
                </c:pt>
                <c:pt idx="2">
                  <c:v>2700</c:v>
                </c:pt>
                <c:pt idx="3">
                  <c:v>1800</c:v>
                </c:pt>
                <c:pt idx="4">
                  <c:v>1100</c:v>
                </c:pt>
                <c:pt idx="5">
                  <c:v>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0-4AEA-B1BD-CDDCCC5E3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59872"/>
        <c:axId val="244561792"/>
      </c:lineChart>
      <c:dateAx>
        <c:axId val="244559872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561792"/>
        <c:crosses val="autoZero"/>
        <c:auto val="1"/>
        <c:lblOffset val="100"/>
        <c:baseTimeUnit val="days"/>
        <c:majorUnit val="1"/>
      </c:dateAx>
      <c:valAx>
        <c:axId val="244561792"/>
        <c:scaling>
          <c:orientation val="minMax"/>
          <c:max val="140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559872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1391179620309"/>
          <c:y val="0.21388086905803441"/>
          <c:w val="0.7530458860913593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Syreprofiler!$W$8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Syreprofiler!$W$10:$W$26</c:f>
              <c:numCache>
                <c:formatCode>0.0</c:formatCode>
                <c:ptCount val="17"/>
                <c:pt idx="0">
                  <c:v>4.3</c:v>
                </c:pt>
                <c:pt idx="15">
                  <c:v>4.7</c:v>
                </c:pt>
              </c:numCache>
            </c:numRef>
          </c:xVal>
          <c:yVal>
            <c:numRef>
              <c:f>Syreprofiler!$V$10:$V$26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DD-43DB-9427-0BB37BB421B4}"/>
            </c:ext>
          </c:extLst>
        </c:ser>
        <c:ser>
          <c:idx val="1"/>
          <c:order val="1"/>
          <c:tx>
            <c:strRef>
              <c:f>Syreprofiler!$X$8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Syreprofiler!$X$10:$X$26</c:f>
              <c:numCache>
                <c:formatCode>0.0</c:formatCode>
                <c:ptCount val="17"/>
                <c:pt idx="0">
                  <c:v>14.6</c:v>
                </c:pt>
                <c:pt idx="15">
                  <c:v>14.55</c:v>
                </c:pt>
              </c:numCache>
            </c:numRef>
          </c:xVal>
          <c:yVal>
            <c:numRef>
              <c:f>Syreprofiler!$V$10:$V$26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DD-43DB-9427-0BB37BB4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034627366636443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NH4-N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522751575245017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Statistik!$N$8</c:f>
              <c:strCache>
                <c:ptCount val="1"/>
                <c:pt idx="0">
                  <c:v>NH4-N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Statistik!$CN$9:$CN$192</c:f>
              <c:numCache>
                <c:formatCode>General</c:formatCode>
                <c:ptCount val="184"/>
                <c:pt idx="0">
                  <c:v>0</c:v>
                </c:pt>
                <c:pt idx="1">
                  <c:v>210</c:v>
                </c:pt>
                <c:pt idx="2">
                  <c:v>250</c:v>
                </c:pt>
                <c:pt idx="3">
                  <c:v>250</c:v>
                </c:pt>
                <c:pt idx="4">
                  <c:v>36</c:v>
                </c:pt>
                <c:pt idx="5">
                  <c:v>11</c:v>
                </c:pt>
                <c:pt idx="6">
                  <c:v>52</c:v>
                </c:pt>
                <c:pt idx="7">
                  <c:v>38</c:v>
                </c:pt>
                <c:pt idx="8">
                  <c:v>24</c:v>
                </c:pt>
                <c:pt idx="9">
                  <c:v>22</c:v>
                </c:pt>
                <c:pt idx="10">
                  <c:v>10</c:v>
                </c:pt>
                <c:pt idx="11">
                  <c:v>43</c:v>
                </c:pt>
                <c:pt idx="12">
                  <c:v>100</c:v>
                </c:pt>
                <c:pt idx="13">
                  <c:v>170</c:v>
                </c:pt>
                <c:pt idx="14">
                  <c:v>120</c:v>
                </c:pt>
                <c:pt idx="15">
                  <c:v>180</c:v>
                </c:pt>
                <c:pt idx="16">
                  <c:v>49</c:v>
                </c:pt>
                <c:pt idx="17">
                  <c:v>27</c:v>
                </c:pt>
                <c:pt idx="18">
                  <c:v>16</c:v>
                </c:pt>
                <c:pt idx="19">
                  <c:v>39</c:v>
                </c:pt>
                <c:pt idx="20">
                  <c:v>22</c:v>
                </c:pt>
                <c:pt idx="21">
                  <c:v>19</c:v>
                </c:pt>
                <c:pt idx="22">
                  <c:v>55</c:v>
                </c:pt>
                <c:pt idx="23">
                  <c:v>74</c:v>
                </c:pt>
                <c:pt idx="24">
                  <c:v>63</c:v>
                </c:pt>
                <c:pt idx="25">
                  <c:v>98</c:v>
                </c:pt>
                <c:pt idx="26">
                  <c:v>170</c:v>
                </c:pt>
                <c:pt idx="27">
                  <c:v>87</c:v>
                </c:pt>
                <c:pt idx="28">
                  <c:v>140</c:v>
                </c:pt>
                <c:pt idx="29">
                  <c:v>10</c:v>
                </c:pt>
                <c:pt idx="30">
                  <c:v>48</c:v>
                </c:pt>
                <c:pt idx="31">
                  <c:v>45</c:v>
                </c:pt>
                <c:pt idx="32">
                  <c:v>13</c:v>
                </c:pt>
                <c:pt idx="33">
                  <c:v>17</c:v>
                </c:pt>
                <c:pt idx="34">
                  <c:v>58</c:v>
                </c:pt>
                <c:pt idx="35">
                  <c:v>73</c:v>
                </c:pt>
                <c:pt idx="36">
                  <c:v>120</c:v>
                </c:pt>
                <c:pt idx="37">
                  <c:v>130</c:v>
                </c:pt>
                <c:pt idx="38">
                  <c:v>81</c:v>
                </c:pt>
                <c:pt idx="39">
                  <c:v>64</c:v>
                </c:pt>
                <c:pt idx="40">
                  <c:v>35</c:v>
                </c:pt>
                <c:pt idx="41">
                  <c:v>25</c:v>
                </c:pt>
                <c:pt idx="42">
                  <c:v>43</c:v>
                </c:pt>
                <c:pt idx="43">
                  <c:v>33</c:v>
                </c:pt>
                <c:pt idx="44">
                  <c:v>23</c:v>
                </c:pt>
                <c:pt idx="45">
                  <c:v>45</c:v>
                </c:pt>
                <c:pt idx="46">
                  <c:v>46</c:v>
                </c:pt>
                <c:pt idx="47">
                  <c:v>36</c:v>
                </c:pt>
                <c:pt idx="48">
                  <c:v>97</c:v>
                </c:pt>
                <c:pt idx="49">
                  <c:v>90</c:v>
                </c:pt>
                <c:pt idx="50">
                  <c:v>45</c:v>
                </c:pt>
                <c:pt idx="51">
                  <c:v>12</c:v>
                </c:pt>
                <c:pt idx="52">
                  <c:v>10</c:v>
                </c:pt>
                <c:pt idx="53">
                  <c:v>57</c:v>
                </c:pt>
                <c:pt idx="54">
                  <c:v>33</c:v>
                </c:pt>
                <c:pt idx="55">
                  <c:v>35</c:v>
                </c:pt>
                <c:pt idx="56">
                  <c:v>25</c:v>
                </c:pt>
                <c:pt idx="57">
                  <c:v>24</c:v>
                </c:pt>
                <c:pt idx="58">
                  <c:v>75</c:v>
                </c:pt>
                <c:pt idx="59">
                  <c:v>45</c:v>
                </c:pt>
                <c:pt idx="60">
                  <c:v>51</c:v>
                </c:pt>
                <c:pt idx="61">
                  <c:v>57</c:v>
                </c:pt>
                <c:pt idx="62">
                  <c:v>110</c:v>
                </c:pt>
                <c:pt idx="63">
                  <c:v>26</c:v>
                </c:pt>
                <c:pt idx="64">
                  <c:v>18</c:v>
                </c:pt>
                <c:pt idx="65">
                  <c:v>12</c:v>
                </c:pt>
                <c:pt idx="66">
                  <c:v>46</c:v>
                </c:pt>
                <c:pt idx="67">
                  <c:v>26</c:v>
                </c:pt>
                <c:pt idx="68">
                  <c:v>21</c:v>
                </c:pt>
                <c:pt idx="69">
                  <c:v>21</c:v>
                </c:pt>
                <c:pt idx="70">
                  <c:v>15</c:v>
                </c:pt>
                <c:pt idx="71">
                  <c:v>43</c:v>
                </c:pt>
                <c:pt idx="72">
                  <c:v>61</c:v>
                </c:pt>
                <c:pt idx="73">
                  <c:v>170</c:v>
                </c:pt>
                <c:pt idx="74">
                  <c:v>57</c:v>
                </c:pt>
                <c:pt idx="75">
                  <c:v>29</c:v>
                </c:pt>
                <c:pt idx="76">
                  <c:v>16</c:v>
                </c:pt>
                <c:pt idx="77">
                  <c:v>22</c:v>
                </c:pt>
                <c:pt idx="78">
                  <c:v>46</c:v>
                </c:pt>
                <c:pt idx="79">
                  <c:v>32</c:v>
                </c:pt>
                <c:pt idx="80">
                  <c:v>17</c:v>
                </c:pt>
                <c:pt idx="81">
                  <c:v>23</c:v>
                </c:pt>
                <c:pt idx="82">
                  <c:v>27</c:v>
                </c:pt>
                <c:pt idx="83">
                  <c:v>82</c:v>
                </c:pt>
                <c:pt idx="84">
                  <c:v>58</c:v>
                </c:pt>
                <c:pt idx="85">
                  <c:v>90</c:v>
                </c:pt>
                <c:pt idx="86">
                  <c:v>54</c:v>
                </c:pt>
                <c:pt idx="87">
                  <c:v>14</c:v>
                </c:pt>
                <c:pt idx="88">
                  <c:v>19</c:v>
                </c:pt>
                <c:pt idx="89">
                  <c:v>120</c:v>
                </c:pt>
                <c:pt idx="90">
                  <c:v>52</c:v>
                </c:pt>
                <c:pt idx="91">
                  <c:v>24</c:v>
                </c:pt>
                <c:pt idx="92">
                  <c:v>25</c:v>
                </c:pt>
                <c:pt idx="93">
                  <c:v>30</c:v>
                </c:pt>
                <c:pt idx="94">
                  <c:v>28</c:v>
                </c:pt>
                <c:pt idx="95">
                  <c:v>32</c:v>
                </c:pt>
                <c:pt idx="96">
                  <c:v>60</c:v>
                </c:pt>
                <c:pt idx="97">
                  <c:v>91</c:v>
                </c:pt>
                <c:pt idx="98">
                  <c:v>63</c:v>
                </c:pt>
                <c:pt idx="99">
                  <c:v>200</c:v>
                </c:pt>
                <c:pt idx="100">
                  <c:v>10</c:v>
                </c:pt>
                <c:pt idx="101">
                  <c:v>35</c:v>
                </c:pt>
                <c:pt idx="102">
                  <c:v>30</c:v>
                </c:pt>
                <c:pt idx="103">
                  <c:v>38</c:v>
                </c:pt>
                <c:pt idx="104">
                  <c:v>34</c:v>
                </c:pt>
                <c:pt idx="105">
                  <c:v>25</c:v>
                </c:pt>
                <c:pt idx="106">
                  <c:v>24</c:v>
                </c:pt>
                <c:pt idx="107">
                  <c:v>46</c:v>
                </c:pt>
                <c:pt idx="108">
                  <c:v>65</c:v>
                </c:pt>
                <c:pt idx="109">
                  <c:v>140</c:v>
                </c:pt>
                <c:pt idx="110">
                  <c:v>10</c:v>
                </c:pt>
                <c:pt idx="111">
                  <c:v>10</c:v>
                </c:pt>
                <c:pt idx="112">
                  <c:v>22</c:v>
                </c:pt>
                <c:pt idx="113">
                  <c:v>48</c:v>
                </c:pt>
                <c:pt idx="114">
                  <c:v>77</c:v>
                </c:pt>
                <c:pt idx="115">
                  <c:v>35</c:v>
                </c:pt>
                <c:pt idx="116">
                  <c:v>23</c:v>
                </c:pt>
                <c:pt idx="117">
                  <c:v>21</c:v>
                </c:pt>
                <c:pt idx="118">
                  <c:v>21</c:v>
                </c:pt>
                <c:pt idx="119">
                  <c:v>29</c:v>
                </c:pt>
                <c:pt idx="120">
                  <c:v>41</c:v>
                </c:pt>
                <c:pt idx="121">
                  <c:v>49</c:v>
                </c:pt>
                <c:pt idx="122">
                  <c:v>30</c:v>
                </c:pt>
                <c:pt idx="123">
                  <c:v>27</c:v>
                </c:pt>
                <c:pt idx="124">
                  <c:v>22</c:v>
                </c:pt>
                <c:pt idx="125">
                  <c:v>26</c:v>
                </c:pt>
                <c:pt idx="126">
                  <c:v>55</c:v>
                </c:pt>
                <c:pt idx="127">
                  <c:v>24</c:v>
                </c:pt>
                <c:pt idx="128">
                  <c:v>54</c:v>
                </c:pt>
                <c:pt idx="129">
                  <c:v>24</c:v>
                </c:pt>
                <c:pt idx="130">
                  <c:v>30</c:v>
                </c:pt>
                <c:pt idx="131">
                  <c:v>26</c:v>
                </c:pt>
                <c:pt idx="132">
                  <c:v>50</c:v>
                </c:pt>
                <c:pt idx="133">
                  <c:v>77</c:v>
                </c:pt>
                <c:pt idx="134">
                  <c:v>77</c:v>
                </c:pt>
                <c:pt idx="135">
                  <c:v>25</c:v>
                </c:pt>
                <c:pt idx="136">
                  <c:v>10</c:v>
                </c:pt>
                <c:pt idx="137">
                  <c:v>52</c:v>
                </c:pt>
                <c:pt idx="138">
                  <c:v>56</c:v>
                </c:pt>
                <c:pt idx="139">
                  <c:v>27</c:v>
                </c:pt>
                <c:pt idx="140">
                  <c:v>17</c:v>
                </c:pt>
                <c:pt idx="141">
                  <c:v>26</c:v>
                </c:pt>
                <c:pt idx="142">
                  <c:v>46</c:v>
                </c:pt>
                <c:pt idx="143">
                  <c:v>40</c:v>
                </c:pt>
                <c:pt idx="144">
                  <c:v>82</c:v>
                </c:pt>
                <c:pt idx="145">
                  <c:v>92</c:v>
                </c:pt>
                <c:pt idx="146">
                  <c:v>43</c:v>
                </c:pt>
                <c:pt idx="147">
                  <c:v>53</c:v>
                </c:pt>
                <c:pt idx="148">
                  <c:v>33</c:v>
                </c:pt>
                <c:pt idx="149">
                  <c:v>31</c:v>
                </c:pt>
                <c:pt idx="150">
                  <c:v>62</c:v>
                </c:pt>
                <c:pt idx="151">
                  <c:v>42</c:v>
                </c:pt>
                <c:pt idx="152">
                  <c:v>31</c:v>
                </c:pt>
                <c:pt idx="153">
                  <c:v>18</c:v>
                </c:pt>
                <c:pt idx="154">
                  <c:v>22</c:v>
                </c:pt>
                <c:pt idx="155">
                  <c:v>34</c:v>
                </c:pt>
                <c:pt idx="156">
                  <c:v>600</c:v>
                </c:pt>
                <c:pt idx="157">
                  <c:v>100</c:v>
                </c:pt>
                <c:pt idx="158">
                  <c:v>54</c:v>
                </c:pt>
                <c:pt idx="159">
                  <c:v>27</c:v>
                </c:pt>
                <c:pt idx="160">
                  <c:v>15</c:v>
                </c:pt>
                <c:pt idx="161">
                  <c:v>10</c:v>
                </c:pt>
                <c:pt idx="162">
                  <c:v>55</c:v>
                </c:pt>
                <c:pt idx="163">
                  <c:v>25</c:v>
                </c:pt>
                <c:pt idx="164">
                  <c:v>42</c:v>
                </c:pt>
                <c:pt idx="165">
                  <c:v>27</c:v>
                </c:pt>
                <c:pt idx="166">
                  <c:v>34</c:v>
                </c:pt>
                <c:pt idx="167">
                  <c:v>33</c:v>
                </c:pt>
                <c:pt idx="168">
                  <c:v>83</c:v>
                </c:pt>
                <c:pt idx="169">
                  <c:v>110</c:v>
                </c:pt>
                <c:pt idx="170">
                  <c:v>10</c:v>
                </c:pt>
                <c:pt idx="171">
                  <c:v>48</c:v>
                </c:pt>
                <c:pt idx="172">
                  <c:v>14</c:v>
                </c:pt>
                <c:pt idx="173">
                  <c:v>23</c:v>
                </c:pt>
                <c:pt idx="174">
                  <c:v>27</c:v>
                </c:pt>
                <c:pt idx="175">
                  <c:v>22</c:v>
                </c:pt>
                <c:pt idx="176">
                  <c:v>15</c:v>
                </c:pt>
                <c:pt idx="177">
                  <c:v>10</c:v>
                </c:pt>
                <c:pt idx="178">
                  <c:v>39</c:v>
                </c:pt>
                <c:pt idx="179">
                  <c:v>37</c:v>
                </c:pt>
                <c:pt idx="18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2-4227-A60F-59CCF09450F0}"/>
            </c:ext>
          </c:extLst>
        </c:ser>
        <c:ser>
          <c:idx val="1"/>
          <c:order val="1"/>
          <c:tx>
            <c:strRef>
              <c:f>Statistik!$BC$8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Statistik!$BC$9:$BC$192</c:f>
              <c:numCache>
                <c:formatCode>0</c:formatCode>
                <c:ptCount val="184"/>
                <c:pt idx="0">
                  <c:v>53.18888888888889</c:v>
                </c:pt>
                <c:pt idx="1">
                  <c:v>53.18888888888889</c:v>
                </c:pt>
                <c:pt idx="2">
                  <c:v>53.18888888888889</c:v>
                </c:pt>
                <c:pt idx="3">
                  <c:v>53.18888888888889</c:v>
                </c:pt>
                <c:pt idx="4">
                  <c:v>53.18888888888889</c:v>
                </c:pt>
                <c:pt idx="5">
                  <c:v>53.18888888888889</c:v>
                </c:pt>
                <c:pt idx="6">
                  <c:v>53.18888888888889</c:v>
                </c:pt>
                <c:pt idx="7">
                  <c:v>53.18888888888889</c:v>
                </c:pt>
                <c:pt idx="8">
                  <c:v>53.18888888888889</c:v>
                </c:pt>
                <c:pt idx="9">
                  <c:v>53.18888888888889</c:v>
                </c:pt>
                <c:pt idx="10">
                  <c:v>53.18888888888889</c:v>
                </c:pt>
                <c:pt idx="11">
                  <c:v>53.18888888888889</c:v>
                </c:pt>
                <c:pt idx="12">
                  <c:v>53.18888888888889</c:v>
                </c:pt>
                <c:pt idx="13">
                  <c:v>53.18888888888889</c:v>
                </c:pt>
                <c:pt idx="14">
                  <c:v>53.18888888888889</c:v>
                </c:pt>
                <c:pt idx="15">
                  <c:v>53.18888888888889</c:v>
                </c:pt>
                <c:pt idx="16">
                  <c:v>53.18888888888889</c:v>
                </c:pt>
                <c:pt idx="17">
                  <c:v>53.18888888888889</c:v>
                </c:pt>
                <c:pt idx="18">
                  <c:v>53.18888888888889</c:v>
                </c:pt>
                <c:pt idx="19">
                  <c:v>53.18888888888889</c:v>
                </c:pt>
                <c:pt idx="20">
                  <c:v>53.18888888888889</c:v>
                </c:pt>
                <c:pt idx="21">
                  <c:v>53.18888888888889</c:v>
                </c:pt>
                <c:pt idx="22">
                  <c:v>53.18888888888889</c:v>
                </c:pt>
                <c:pt idx="23">
                  <c:v>53.18888888888889</c:v>
                </c:pt>
                <c:pt idx="24">
                  <c:v>53.18888888888889</c:v>
                </c:pt>
                <c:pt idx="25">
                  <c:v>53.18888888888889</c:v>
                </c:pt>
                <c:pt idx="26">
                  <c:v>53.18888888888889</c:v>
                </c:pt>
                <c:pt idx="27">
                  <c:v>53.18888888888889</c:v>
                </c:pt>
                <c:pt idx="28">
                  <c:v>53.18888888888889</c:v>
                </c:pt>
                <c:pt idx="29">
                  <c:v>53.18888888888889</c:v>
                </c:pt>
                <c:pt idx="30">
                  <c:v>53.18888888888889</c:v>
                </c:pt>
                <c:pt idx="31">
                  <c:v>53.18888888888889</c:v>
                </c:pt>
                <c:pt idx="32">
                  <c:v>53.18888888888889</c:v>
                </c:pt>
                <c:pt idx="33">
                  <c:v>53.18888888888889</c:v>
                </c:pt>
                <c:pt idx="34">
                  <c:v>53.18888888888889</c:v>
                </c:pt>
                <c:pt idx="35">
                  <c:v>53.18888888888889</c:v>
                </c:pt>
                <c:pt idx="36">
                  <c:v>53.18888888888889</c:v>
                </c:pt>
                <c:pt idx="37">
                  <c:v>53.18888888888889</c:v>
                </c:pt>
                <c:pt idx="38">
                  <c:v>53.18888888888889</c:v>
                </c:pt>
                <c:pt idx="39">
                  <c:v>53.18888888888889</c:v>
                </c:pt>
                <c:pt idx="40">
                  <c:v>53.18888888888889</c:v>
                </c:pt>
                <c:pt idx="41">
                  <c:v>53.18888888888889</c:v>
                </c:pt>
                <c:pt idx="42">
                  <c:v>53.18888888888889</c:v>
                </c:pt>
                <c:pt idx="43">
                  <c:v>53.18888888888889</c:v>
                </c:pt>
                <c:pt idx="44">
                  <c:v>53.18888888888889</c:v>
                </c:pt>
                <c:pt idx="45">
                  <c:v>53.18888888888889</c:v>
                </c:pt>
                <c:pt idx="46">
                  <c:v>53.18888888888889</c:v>
                </c:pt>
                <c:pt idx="47">
                  <c:v>53.18888888888889</c:v>
                </c:pt>
                <c:pt idx="48">
                  <c:v>53.18888888888889</c:v>
                </c:pt>
                <c:pt idx="49">
                  <c:v>53.18888888888889</c:v>
                </c:pt>
                <c:pt idx="50">
                  <c:v>53.18888888888889</c:v>
                </c:pt>
                <c:pt idx="51">
                  <c:v>53.18888888888889</c:v>
                </c:pt>
                <c:pt idx="52">
                  <c:v>53.18888888888889</c:v>
                </c:pt>
                <c:pt idx="53">
                  <c:v>53.18888888888889</c:v>
                </c:pt>
                <c:pt idx="54">
                  <c:v>53.18888888888889</c:v>
                </c:pt>
                <c:pt idx="55">
                  <c:v>53.18888888888889</c:v>
                </c:pt>
                <c:pt idx="56">
                  <c:v>53.18888888888889</c:v>
                </c:pt>
                <c:pt idx="57">
                  <c:v>53.18888888888889</c:v>
                </c:pt>
                <c:pt idx="58">
                  <c:v>53.18888888888889</c:v>
                </c:pt>
                <c:pt idx="59">
                  <c:v>53.18888888888889</c:v>
                </c:pt>
                <c:pt idx="60">
                  <c:v>53.18888888888889</c:v>
                </c:pt>
                <c:pt idx="61">
                  <c:v>53.18888888888889</c:v>
                </c:pt>
                <c:pt idx="62">
                  <c:v>53.18888888888889</c:v>
                </c:pt>
                <c:pt idx="63">
                  <c:v>53.18888888888889</c:v>
                </c:pt>
                <c:pt idx="64">
                  <c:v>53.18888888888889</c:v>
                </c:pt>
                <c:pt idx="65">
                  <c:v>53.18888888888889</c:v>
                </c:pt>
                <c:pt idx="66">
                  <c:v>53.18888888888889</c:v>
                </c:pt>
                <c:pt idx="67">
                  <c:v>53.18888888888889</c:v>
                </c:pt>
                <c:pt idx="68">
                  <c:v>53.18888888888889</c:v>
                </c:pt>
                <c:pt idx="69">
                  <c:v>53.18888888888889</c:v>
                </c:pt>
                <c:pt idx="70">
                  <c:v>53.18888888888889</c:v>
                </c:pt>
                <c:pt idx="71">
                  <c:v>53.18888888888889</c:v>
                </c:pt>
                <c:pt idx="72">
                  <c:v>53.18888888888889</c:v>
                </c:pt>
                <c:pt idx="73">
                  <c:v>53.18888888888889</c:v>
                </c:pt>
                <c:pt idx="74">
                  <c:v>53.18888888888889</c:v>
                </c:pt>
                <c:pt idx="75">
                  <c:v>53.18888888888889</c:v>
                </c:pt>
                <c:pt idx="76">
                  <c:v>53.18888888888889</c:v>
                </c:pt>
                <c:pt idx="77">
                  <c:v>53.18888888888889</c:v>
                </c:pt>
                <c:pt idx="78">
                  <c:v>53.18888888888889</c:v>
                </c:pt>
                <c:pt idx="79">
                  <c:v>53.18888888888889</c:v>
                </c:pt>
                <c:pt idx="80">
                  <c:v>53.18888888888889</c:v>
                </c:pt>
                <c:pt idx="81">
                  <c:v>53.18888888888889</c:v>
                </c:pt>
                <c:pt idx="82">
                  <c:v>53.18888888888889</c:v>
                </c:pt>
                <c:pt idx="83">
                  <c:v>53.18888888888889</c:v>
                </c:pt>
                <c:pt idx="84">
                  <c:v>53.18888888888889</c:v>
                </c:pt>
                <c:pt idx="85">
                  <c:v>53.18888888888889</c:v>
                </c:pt>
                <c:pt idx="86">
                  <c:v>53.18888888888889</c:v>
                </c:pt>
                <c:pt idx="87">
                  <c:v>53.18888888888889</c:v>
                </c:pt>
                <c:pt idx="88">
                  <c:v>53.18888888888889</c:v>
                </c:pt>
                <c:pt idx="89">
                  <c:v>53.18888888888889</c:v>
                </c:pt>
                <c:pt idx="90">
                  <c:v>53.18888888888889</c:v>
                </c:pt>
                <c:pt idx="91">
                  <c:v>53.18888888888889</c:v>
                </c:pt>
                <c:pt idx="92">
                  <c:v>53.18888888888889</c:v>
                </c:pt>
                <c:pt idx="93">
                  <c:v>53.18888888888889</c:v>
                </c:pt>
                <c:pt idx="94">
                  <c:v>53.18888888888889</c:v>
                </c:pt>
                <c:pt idx="95">
                  <c:v>53.18888888888889</c:v>
                </c:pt>
                <c:pt idx="96">
                  <c:v>53.18888888888889</c:v>
                </c:pt>
                <c:pt idx="97">
                  <c:v>53.18888888888889</c:v>
                </c:pt>
                <c:pt idx="98">
                  <c:v>53.18888888888889</c:v>
                </c:pt>
                <c:pt idx="99">
                  <c:v>53.18888888888889</c:v>
                </c:pt>
                <c:pt idx="100">
                  <c:v>53.18888888888889</c:v>
                </c:pt>
                <c:pt idx="101">
                  <c:v>53.18888888888889</c:v>
                </c:pt>
                <c:pt idx="102">
                  <c:v>53.18888888888889</c:v>
                </c:pt>
                <c:pt idx="103">
                  <c:v>53.18888888888889</c:v>
                </c:pt>
                <c:pt idx="104">
                  <c:v>53.18888888888889</c:v>
                </c:pt>
                <c:pt idx="105">
                  <c:v>53.18888888888889</c:v>
                </c:pt>
                <c:pt idx="106">
                  <c:v>53.18888888888889</c:v>
                </c:pt>
                <c:pt idx="107">
                  <c:v>53.18888888888889</c:v>
                </c:pt>
                <c:pt idx="108">
                  <c:v>53.18888888888889</c:v>
                </c:pt>
                <c:pt idx="109">
                  <c:v>53.18888888888889</c:v>
                </c:pt>
                <c:pt idx="110">
                  <c:v>53.18888888888889</c:v>
                </c:pt>
                <c:pt idx="111">
                  <c:v>53.18888888888889</c:v>
                </c:pt>
                <c:pt idx="112">
                  <c:v>53.18888888888889</c:v>
                </c:pt>
                <c:pt idx="113">
                  <c:v>53.18888888888889</c:v>
                </c:pt>
                <c:pt idx="114">
                  <c:v>53.18888888888889</c:v>
                </c:pt>
                <c:pt idx="115">
                  <c:v>53.18888888888889</c:v>
                </c:pt>
                <c:pt idx="116">
                  <c:v>53.18888888888889</c:v>
                </c:pt>
                <c:pt idx="117">
                  <c:v>53.18888888888889</c:v>
                </c:pt>
                <c:pt idx="118">
                  <c:v>53.18888888888889</c:v>
                </c:pt>
                <c:pt idx="119">
                  <c:v>53.18888888888889</c:v>
                </c:pt>
                <c:pt idx="120">
                  <c:v>53.18888888888889</c:v>
                </c:pt>
                <c:pt idx="121">
                  <c:v>53.18888888888889</c:v>
                </c:pt>
                <c:pt idx="122">
                  <c:v>53.18888888888889</c:v>
                </c:pt>
                <c:pt idx="123">
                  <c:v>53.18888888888889</c:v>
                </c:pt>
                <c:pt idx="124">
                  <c:v>53.18888888888889</c:v>
                </c:pt>
                <c:pt idx="125">
                  <c:v>53.18888888888889</c:v>
                </c:pt>
                <c:pt idx="126">
                  <c:v>53.18888888888889</c:v>
                </c:pt>
                <c:pt idx="127">
                  <c:v>53.18888888888889</c:v>
                </c:pt>
                <c:pt idx="128">
                  <c:v>53.18888888888889</c:v>
                </c:pt>
                <c:pt idx="129">
                  <c:v>53.18888888888889</c:v>
                </c:pt>
                <c:pt idx="130">
                  <c:v>53.18888888888889</c:v>
                </c:pt>
                <c:pt idx="131">
                  <c:v>53.18888888888889</c:v>
                </c:pt>
                <c:pt idx="132">
                  <c:v>53.18888888888889</c:v>
                </c:pt>
                <c:pt idx="133">
                  <c:v>53.18888888888889</c:v>
                </c:pt>
                <c:pt idx="134">
                  <c:v>53.18888888888889</c:v>
                </c:pt>
                <c:pt idx="135">
                  <c:v>53.18888888888889</c:v>
                </c:pt>
                <c:pt idx="136">
                  <c:v>53.18888888888889</c:v>
                </c:pt>
                <c:pt idx="137">
                  <c:v>53.18888888888889</c:v>
                </c:pt>
                <c:pt idx="138">
                  <c:v>53.18888888888889</c:v>
                </c:pt>
                <c:pt idx="139">
                  <c:v>53.18888888888889</c:v>
                </c:pt>
                <c:pt idx="140">
                  <c:v>53.18888888888889</c:v>
                </c:pt>
                <c:pt idx="141">
                  <c:v>53.18888888888889</c:v>
                </c:pt>
                <c:pt idx="142">
                  <c:v>53.18888888888889</c:v>
                </c:pt>
                <c:pt idx="143">
                  <c:v>53.18888888888889</c:v>
                </c:pt>
                <c:pt idx="144">
                  <c:v>53.18888888888889</c:v>
                </c:pt>
                <c:pt idx="145">
                  <c:v>53.18888888888889</c:v>
                </c:pt>
                <c:pt idx="146">
                  <c:v>53.18888888888889</c:v>
                </c:pt>
                <c:pt idx="147">
                  <c:v>53.18888888888889</c:v>
                </c:pt>
                <c:pt idx="148">
                  <c:v>53.18888888888889</c:v>
                </c:pt>
                <c:pt idx="149">
                  <c:v>53.18888888888889</c:v>
                </c:pt>
                <c:pt idx="150">
                  <c:v>53.18888888888889</c:v>
                </c:pt>
                <c:pt idx="151">
                  <c:v>53.18888888888889</c:v>
                </c:pt>
                <c:pt idx="152">
                  <c:v>53.18888888888889</c:v>
                </c:pt>
                <c:pt idx="153">
                  <c:v>53.18888888888889</c:v>
                </c:pt>
                <c:pt idx="154">
                  <c:v>53.18888888888889</c:v>
                </c:pt>
                <c:pt idx="155">
                  <c:v>53.18888888888889</c:v>
                </c:pt>
                <c:pt idx="156">
                  <c:v>53.18888888888889</c:v>
                </c:pt>
                <c:pt idx="157">
                  <c:v>53.18888888888889</c:v>
                </c:pt>
                <c:pt idx="158">
                  <c:v>53.18888888888889</c:v>
                </c:pt>
                <c:pt idx="159">
                  <c:v>53.18888888888889</c:v>
                </c:pt>
                <c:pt idx="160">
                  <c:v>53.18888888888889</c:v>
                </c:pt>
                <c:pt idx="161">
                  <c:v>53.18888888888889</c:v>
                </c:pt>
                <c:pt idx="162">
                  <c:v>53.18888888888889</c:v>
                </c:pt>
                <c:pt idx="163">
                  <c:v>53.18888888888889</c:v>
                </c:pt>
                <c:pt idx="164">
                  <c:v>53.18888888888889</c:v>
                </c:pt>
                <c:pt idx="165">
                  <c:v>53.18888888888889</c:v>
                </c:pt>
                <c:pt idx="166">
                  <c:v>53.18888888888889</c:v>
                </c:pt>
                <c:pt idx="167">
                  <c:v>53.18888888888889</c:v>
                </c:pt>
                <c:pt idx="168">
                  <c:v>53.18888888888889</c:v>
                </c:pt>
                <c:pt idx="169">
                  <c:v>53.18888888888889</c:v>
                </c:pt>
                <c:pt idx="170">
                  <c:v>53.18888888888889</c:v>
                </c:pt>
                <c:pt idx="171">
                  <c:v>53.18888888888889</c:v>
                </c:pt>
                <c:pt idx="172">
                  <c:v>53.18888888888889</c:v>
                </c:pt>
                <c:pt idx="173">
                  <c:v>53.18888888888889</c:v>
                </c:pt>
                <c:pt idx="174">
                  <c:v>53.18888888888889</c:v>
                </c:pt>
                <c:pt idx="175">
                  <c:v>53.18888888888889</c:v>
                </c:pt>
                <c:pt idx="176">
                  <c:v>53.18888888888889</c:v>
                </c:pt>
                <c:pt idx="177">
                  <c:v>53.18888888888889</c:v>
                </c:pt>
                <c:pt idx="178">
                  <c:v>53.18888888888889</c:v>
                </c:pt>
                <c:pt idx="179">
                  <c:v>53.18888888888889</c:v>
                </c:pt>
                <c:pt idx="180">
                  <c:v>53.18888888888889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2-4227-A60F-59CCF09450F0}"/>
            </c:ext>
          </c:extLst>
        </c:ser>
        <c:ser>
          <c:idx val="2"/>
          <c:order val="2"/>
          <c:tx>
            <c:strRef>
              <c:f>Statistik!$BD$8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Statistik!$BD$9:$BD$192</c:f>
              <c:numCache>
                <c:formatCode>0</c:formatCode>
                <c:ptCount val="184"/>
                <c:pt idx="0">
                  <c:v>112.67052202318322</c:v>
                </c:pt>
                <c:pt idx="1">
                  <c:v>112.67052202318322</c:v>
                </c:pt>
                <c:pt idx="2">
                  <c:v>112.67052202318322</c:v>
                </c:pt>
                <c:pt idx="3">
                  <c:v>112.67052202318322</c:v>
                </c:pt>
                <c:pt idx="4">
                  <c:v>112.67052202318322</c:v>
                </c:pt>
                <c:pt idx="5">
                  <c:v>112.67052202318322</c:v>
                </c:pt>
                <c:pt idx="6">
                  <c:v>112.67052202318322</c:v>
                </c:pt>
                <c:pt idx="7">
                  <c:v>112.67052202318322</c:v>
                </c:pt>
                <c:pt idx="8">
                  <c:v>112.67052202318322</c:v>
                </c:pt>
                <c:pt idx="9">
                  <c:v>112.67052202318322</c:v>
                </c:pt>
                <c:pt idx="10">
                  <c:v>112.67052202318322</c:v>
                </c:pt>
                <c:pt idx="11">
                  <c:v>112.67052202318322</c:v>
                </c:pt>
                <c:pt idx="12">
                  <c:v>112.67052202318322</c:v>
                </c:pt>
                <c:pt idx="13">
                  <c:v>112.67052202318322</c:v>
                </c:pt>
                <c:pt idx="14">
                  <c:v>112.67052202318322</c:v>
                </c:pt>
                <c:pt idx="15">
                  <c:v>112.67052202318322</c:v>
                </c:pt>
                <c:pt idx="16">
                  <c:v>112.67052202318322</c:v>
                </c:pt>
                <c:pt idx="17">
                  <c:v>112.67052202318322</c:v>
                </c:pt>
                <c:pt idx="18">
                  <c:v>112.67052202318322</c:v>
                </c:pt>
                <c:pt idx="19">
                  <c:v>112.67052202318322</c:v>
                </c:pt>
                <c:pt idx="20">
                  <c:v>112.67052202318322</c:v>
                </c:pt>
                <c:pt idx="21">
                  <c:v>112.67052202318322</c:v>
                </c:pt>
                <c:pt idx="22">
                  <c:v>112.67052202318322</c:v>
                </c:pt>
                <c:pt idx="23">
                  <c:v>112.67052202318322</c:v>
                </c:pt>
                <c:pt idx="24">
                  <c:v>112.67052202318322</c:v>
                </c:pt>
                <c:pt idx="25">
                  <c:v>112.67052202318322</c:v>
                </c:pt>
                <c:pt idx="26">
                  <c:v>112.67052202318322</c:v>
                </c:pt>
                <c:pt idx="27">
                  <c:v>112.67052202318322</c:v>
                </c:pt>
                <c:pt idx="28">
                  <c:v>112.67052202318322</c:v>
                </c:pt>
                <c:pt idx="29">
                  <c:v>112.67052202318322</c:v>
                </c:pt>
                <c:pt idx="30">
                  <c:v>112.67052202318322</c:v>
                </c:pt>
                <c:pt idx="31">
                  <c:v>112.67052202318322</c:v>
                </c:pt>
                <c:pt idx="32">
                  <c:v>112.67052202318322</c:v>
                </c:pt>
                <c:pt idx="33">
                  <c:v>112.67052202318322</c:v>
                </c:pt>
                <c:pt idx="34">
                  <c:v>112.67052202318322</c:v>
                </c:pt>
                <c:pt idx="35">
                  <c:v>112.67052202318322</c:v>
                </c:pt>
                <c:pt idx="36">
                  <c:v>112.67052202318322</c:v>
                </c:pt>
                <c:pt idx="37">
                  <c:v>112.67052202318322</c:v>
                </c:pt>
                <c:pt idx="38">
                  <c:v>112.67052202318322</c:v>
                </c:pt>
                <c:pt idx="39">
                  <c:v>112.67052202318322</c:v>
                </c:pt>
                <c:pt idx="40">
                  <c:v>112.67052202318322</c:v>
                </c:pt>
                <c:pt idx="41">
                  <c:v>112.67052202318322</c:v>
                </c:pt>
                <c:pt idx="42">
                  <c:v>112.67052202318322</c:v>
                </c:pt>
                <c:pt idx="43">
                  <c:v>112.67052202318322</c:v>
                </c:pt>
                <c:pt idx="44">
                  <c:v>112.67052202318322</c:v>
                </c:pt>
                <c:pt idx="45">
                  <c:v>112.67052202318322</c:v>
                </c:pt>
                <c:pt idx="46">
                  <c:v>112.67052202318322</c:v>
                </c:pt>
                <c:pt idx="47">
                  <c:v>112.67052202318322</c:v>
                </c:pt>
                <c:pt idx="48">
                  <c:v>112.67052202318322</c:v>
                </c:pt>
                <c:pt idx="49">
                  <c:v>112.67052202318322</c:v>
                </c:pt>
                <c:pt idx="50">
                  <c:v>112.67052202318322</c:v>
                </c:pt>
                <c:pt idx="51">
                  <c:v>112.67052202318322</c:v>
                </c:pt>
                <c:pt idx="52">
                  <c:v>112.67052202318322</c:v>
                </c:pt>
                <c:pt idx="53">
                  <c:v>112.67052202318322</c:v>
                </c:pt>
                <c:pt idx="54">
                  <c:v>112.67052202318322</c:v>
                </c:pt>
                <c:pt idx="55">
                  <c:v>112.67052202318322</c:v>
                </c:pt>
                <c:pt idx="56">
                  <c:v>112.67052202318322</c:v>
                </c:pt>
                <c:pt idx="57">
                  <c:v>112.67052202318322</c:v>
                </c:pt>
                <c:pt idx="58">
                  <c:v>112.67052202318322</c:v>
                </c:pt>
                <c:pt idx="59">
                  <c:v>112.67052202318322</c:v>
                </c:pt>
                <c:pt idx="60">
                  <c:v>112.67052202318322</c:v>
                </c:pt>
                <c:pt idx="61">
                  <c:v>112.67052202318322</c:v>
                </c:pt>
                <c:pt idx="62">
                  <c:v>112.67052202318322</c:v>
                </c:pt>
                <c:pt idx="63">
                  <c:v>112.67052202318322</c:v>
                </c:pt>
                <c:pt idx="64">
                  <c:v>112.67052202318322</c:v>
                </c:pt>
                <c:pt idx="65">
                  <c:v>112.67052202318322</c:v>
                </c:pt>
                <c:pt idx="66">
                  <c:v>112.67052202318322</c:v>
                </c:pt>
                <c:pt idx="67">
                  <c:v>112.67052202318322</c:v>
                </c:pt>
                <c:pt idx="68">
                  <c:v>112.67052202318322</c:v>
                </c:pt>
                <c:pt idx="69">
                  <c:v>112.67052202318322</c:v>
                </c:pt>
                <c:pt idx="70">
                  <c:v>112.67052202318322</c:v>
                </c:pt>
                <c:pt idx="71">
                  <c:v>112.67052202318322</c:v>
                </c:pt>
                <c:pt idx="72">
                  <c:v>112.67052202318322</c:v>
                </c:pt>
                <c:pt idx="73">
                  <c:v>112.67052202318322</c:v>
                </c:pt>
                <c:pt idx="74">
                  <c:v>112.67052202318322</c:v>
                </c:pt>
                <c:pt idx="75">
                  <c:v>112.67052202318322</c:v>
                </c:pt>
                <c:pt idx="76">
                  <c:v>112.67052202318322</c:v>
                </c:pt>
                <c:pt idx="77">
                  <c:v>112.67052202318322</c:v>
                </c:pt>
                <c:pt idx="78">
                  <c:v>112.67052202318322</c:v>
                </c:pt>
                <c:pt idx="79">
                  <c:v>112.67052202318322</c:v>
                </c:pt>
                <c:pt idx="80">
                  <c:v>112.67052202318322</c:v>
                </c:pt>
                <c:pt idx="81">
                  <c:v>112.67052202318322</c:v>
                </c:pt>
                <c:pt idx="82">
                  <c:v>112.67052202318322</c:v>
                </c:pt>
                <c:pt idx="83">
                  <c:v>112.67052202318322</c:v>
                </c:pt>
                <c:pt idx="84">
                  <c:v>112.67052202318322</c:v>
                </c:pt>
                <c:pt idx="85">
                  <c:v>112.67052202318322</c:v>
                </c:pt>
                <c:pt idx="86">
                  <c:v>112.67052202318322</c:v>
                </c:pt>
                <c:pt idx="87">
                  <c:v>112.67052202318322</c:v>
                </c:pt>
                <c:pt idx="88">
                  <c:v>112.67052202318322</c:v>
                </c:pt>
                <c:pt idx="89">
                  <c:v>112.67052202318322</c:v>
                </c:pt>
                <c:pt idx="90">
                  <c:v>112.67052202318322</c:v>
                </c:pt>
                <c:pt idx="91">
                  <c:v>112.67052202318322</c:v>
                </c:pt>
                <c:pt idx="92">
                  <c:v>112.67052202318322</c:v>
                </c:pt>
                <c:pt idx="93">
                  <c:v>112.67052202318322</c:v>
                </c:pt>
                <c:pt idx="94">
                  <c:v>112.67052202318322</c:v>
                </c:pt>
                <c:pt idx="95">
                  <c:v>112.67052202318322</c:v>
                </c:pt>
                <c:pt idx="96">
                  <c:v>112.67052202318322</c:v>
                </c:pt>
                <c:pt idx="97">
                  <c:v>112.67052202318322</c:v>
                </c:pt>
                <c:pt idx="98">
                  <c:v>112.67052202318322</c:v>
                </c:pt>
                <c:pt idx="99">
                  <c:v>112.67052202318322</c:v>
                </c:pt>
                <c:pt idx="100">
                  <c:v>112.67052202318322</c:v>
                </c:pt>
                <c:pt idx="101">
                  <c:v>112.67052202318322</c:v>
                </c:pt>
                <c:pt idx="102">
                  <c:v>112.67052202318322</c:v>
                </c:pt>
                <c:pt idx="103">
                  <c:v>112.67052202318322</c:v>
                </c:pt>
                <c:pt idx="104">
                  <c:v>112.67052202318322</c:v>
                </c:pt>
                <c:pt idx="105">
                  <c:v>112.67052202318322</c:v>
                </c:pt>
                <c:pt idx="106">
                  <c:v>112.67052202318322</c:v>
                </c:pt>
                <c:pt idx="107">
                  <c:v>112.67052202318322</c:v>
                </c:pt>
                <c:pt idx="108">
                  <c:v>112.67052202318322</c:v>
                </c:pt>
                <c:pt idx="109">
                  <c:v>112.67052202318322</c:v>
                </c:pt>
                <c:pt idx="110">
                  <c:v>112.67052202318322</c:v>
                </c:pt>
                <c:pt idx="111">
                  <c:v>112.67052202318322</c:v>
                </c:pt>
                <c:pt idx="112">
                  <c:v>112.67052202318322</c:v>
                </c:pt>
                <c:pt idx="113">
                  <c:v>112.67052202318322</c:v>
                </c:pt>
                <c:pt idx="114">
                  <c:v>112.67052202318322</c:v>
                </c:pt>
                <c:pt idx="115">
                  <c:v>112.67052202318322</c:v>
                </c:pt>
                <c:pt idx="116">
                  <c:v>112.67052202318322</c:v>
                </c:pt>
                <c:pt idx="117">
                  <c:v>112.67052202318322</c:v>
                </c:pt>
                <c:pt idx="118">
                  <c:v>112.67052202318322</c:v>
                </c:pt>
                <c:pt idx="119">
                  <c:v>112.67052202318322</c:v>
                </c:pt>
                <c:pt idx="120">
                  <c:v>112.67052202318322</c:v>
                </c:pt>
                <c:pt idx="121">
                  <c:v>112.67052202318322</c:v>
                </c:pt>
                <c:pt idx="122">
                  <c:v>112.67052202318322</c:v>
                </c:pt>
                <c:pt idx="123">
                  <c:v>112.67052202318322</c:v>
                </c:pt>
                <c:pt idx="124">
                  <c:v>112.67052202318322</c:v>
                </c:pt>
                <c:pt idx="125">
                  <c:v>112.67052202318322</c:v>
                </c:pt>
                <c:pt idx="126">
                  <c:v>112.67052202318322</c:v>
                </c:pt>
                <c:pt idx="127">
                  <c:v>112.67052202318322</c:v>
                </c:pt>
                <c:pt idx="128">
                  <c:v>112.67052202318322</c:v>
                </c:pt>
                <c:pt idx="129">
                  <c:v>112.67052202318322</c:v>
                </c:pt>
                <c:pt idx="130">
                  <c:v>112.67052202318322</c:v>
                </c:pt>
                <c:pt idx="131">
                  <c:v>112.67052202318322</c:v>
                </c:pt>
                <c:pt idx="132">
                  <c:v>112.67052202318322</c:v>
                </c:pt>
                <c:pt idx="133">
                  <c:v>112.67052202318322</c:v>
                </c:pt>
                <c:pt idx="134">
                  <c:v>112.67052202318322</c:v>
                </c:pt>
                <c:pt idx="135">
                  <c:v>112.67052202318322</c:v>
                </c:pt>
                <c:pt idx="136">
                  <c:v>112.67052202318322</c:v>
                </c:pt>
                <c:pt idx="137">
                  <c:v>112.67052202318322</c:v>
                </c:pt>
                <c:pt idx="138">
                  <c:v>112.67052202318322</c:v>
                </c:pt>
                <c:pt idx="139">
                  <c:v>112.67052202318322</c:v>
                </c:pt>
                <c:pt idx="140">
                  <c:v>112.67052202318322</c:v>
                </c:pt>
                <c:pt idx="141">
                  <c:v>112.67052202318322</c:v>
                </c:pt>
                <c:pt idx="142">
                  <c:v>112.67052202318322</c:v>
                </c:pt>
                <c:pt idx="143">
                  <c:v>112.67052202318322</c:v>
                </c:pt>
                <c:pt idx="144">
                  <c:v>112.67052202318322</c:v>
                </c:pt>
                <c:pt idx="145">
                  <c:v>112.67052202318322</c:v>
                </c:pt>
                <c:pt idx="146">
                  <c:v>112.67052202318322</c:v>
                </c:pt>
                <c:pt idx="147">
                  <c:v>112.67052202318322</c:v>
                </c:pt>
                <c:pt idx="148">
                  <c:v>112.67052202318322</c:v>
                </c:pt>
                <c:pt idx="149">
                  <c:v>112.67052202318322</c:v>
                </c:pt>
                <c:pt idx="150">
                  <c:v>112.67052202318322</c:v>
                </c:pt>
                <c:pt idx="151">
                  <c:v>112.67052202318322</c:v>
                </c:pt>
                <c:pt idx="152">
                  <c:v>112.67052202318322</c:v>
                </c:pt>
                <c:pt idx="153">
                  <c:v>112.67052202318322</c:v>
                </c:pt>
                <c:pt idx="154">
                  <c:v>112.67052202318322</c:v>
                </c:pt>
                <c:pt idx="155">
                  <c:v>112.67052202318322</c:v>
                </c:pt>
                <c:pt idx="156">
                  <c:v>112.67052202318322</c:v>
                </c:pt>
                <c:pt idx="157">
                  <c:v>112.67052202318322</c:v>
                </c:pt>
                <c:pt idx="158">
                  <c:v>112.67052202318322</c:v>
                </c:pt>
                <c:pt idx="159">
                  <c:v>112.67052202318322</c:v>
                </c:pt>
                <c:pt idx="160">
                  <c:v>112.67052202318322</c:v>
                </c:pt>
                <c:pt idx="161">
                  <c:v>112.67052202318322</c:v>
                </c:pt>
                <c:pt idx="162">
                  <c:v>112.67052202318322</c:v>
                </c:pt>
                <c:pt idx="163">
                  <c:v>112.67052202318322</c:v>
                </c:pt>
                <c:pt idx="164">
                  <c:v>112.67052202318322</c:v>
                </c:pt>
                <c:pt idx="165">
                  <c:v>112.67052202318322</c:v>
                </c:pt>
                <c:pt idx="166">
                  <c:v>112.67052202318322</c:v>
                </c:pt>
                <c:pt idx="167">
                  <c:v>112.67052202318322</c:v>
                </c:pt>
                <c:pt idx="168">
                  <c:v>112.67052202318322</c:v>
                </c:pt>
                <c:pt idx="169">
                  <c:v>112.67052202318322</c:v>
                </c:pt>
                <c:pt idx="170">
                  <c:v>112.67052202318322</c:v>
                </c:pt>
                <c:pt idx="171">
                  <c:v>112.67052202318322</c:v>
                </c:pt>
                <c:pt idx="172">
                  <c:v>112.67052202318322</c:v>
                </c:pt>
                <c:pt idx="173">
                  <c:v>112.67052202318322</c:v>
                </c:pt>
                <c:pt idx="174">
                  <c:v>112.67052202318322</c:v>
                </c:pt>
                <c:pt idx="175">
                  <c:v>112.67052202318322</c:v>
                </c:pt>
                <c:pt idx="176">
                  <c:v>112.67052202318322</c:v>
                </c:pt>
                <c:pt idx="177">
                  <c:v>112.67052202318322</c:v>
                </c:pt>
                <c:pt idx="178">
                  <c:v>112.67052202318322</c:v>
                </c:pt>
                <c:pt idx="179">
                  <c:v>112.67052202318322</c:v>
                </c:pt>
                <c:pt idx="180">
                  <c:v>112.67052202318322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2-4227-A60F-59CCF09450F0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Statistik!$BE$9:$BE$192</c:f>
              <c:numCache>
                <c:formatCode>0</c:formatCode>
                <c:ptCount val="184"/>
                <c:pt idx="0">
                  <c:v>-6.2927442454054372</c:v>
                </c:pt>
                <c:pt idx="1">
                  <c:v>-6.2927442454054372</c:v>
                </c:pt>
                <c:pt idx="2">
                  <c:v>-6.2927442454054372</c:v>
                </c:pt>
                <c:pt idx="3">
                  <c:v>-6.2927442454054372</c:v>
                </c:pt>
                <c:pt idx="4">
                  <c:v>-6.2927442454054372</c:v>
                </c:pt>
                <c:pt idx="5">
                  <c:v>-6.2927442454054372</c:v>
                </c:pt>
                <c:pt idx="6">
                  <c:v>-6.2927442454054372</c:v>
                </c:pt>
                <c:pt idx="7">
                  <c:v>-6.2927442454054372</c:v>
                </c:pt>
                <c:pt idx="8">
                  <c:v>-6.2927442454054372</c:v>
                </c:pt>
                <c:pt idx="9">
                  <c:v>-6.2927442454054372</c:v>
                </c:pt>
                <c:pt idx="10">
                  <c:v>-6.2927442454054372</c:v>
                </c:pt>
                <c:pt idx="11">
                  <c:v>-6.2927442454054372</c:v>
                </c:pt>
                <c:pt idx="12">
                  <c:v>-6.2927442454054372</c:v>
                </c:pt>
                <c:pt idx="13">
                  <c:v>-6.2927442454054372</c:v>
                </c:pt>
                <c:pt idx="14">
                  <c:v>-6.2927442454054372</c:v>
                </c:pt>
                <c:pt idx="15">
                  <c:v>-6.2927442454054372</c:v>
                </c:pt>
                <c:pt idx="16">
                  <c:v>-6.2927442454054372</c:v>
                </c:pt>
                <c:pt idx="17">
                  <c:v>-6.2927442454054372</c:v>
                </c:pt>
                <c:pt idx="18">
                  <c:v>-6.2927442454054372</c:v>
                </c:pt>
                <c:pt idx="19">
                  <c:v>-6.2927442454054372</c:v>
                </c:pt>
                <c:pt idx="20">
                  <c:v>-6.2927442454054372</c:v>
                </c:pt>
                <c:pt idx="21">
                  <c:v>-6.2927442454054372</c:v>
                </c:pt>
                <c:pt idx="22">
                  <c:v>-6.2927442454054372</c:v>
                </c:pt>
                <c:pt idx="23">
                  <c:v>-6.2927442454054372</c:v>
                </c:pt>
                <c:pt idx="24">
                  <c:v>-6.2927442454054372</c:v>
                </c:pt>
                <c:pt idx="25">
                  <c:v>-6.2927442454054372</c:v>
                </c:pt>
                <c:pt idx="26">
                  <c:v>-6.2927442454054372</c:v>
                </c:pt>
                <c:pt idx="27">
                  <c:v>-6.2927442454054372</c:v>
                </c:pt>
                <c:pt idx="28">
                  <c:v>-6.2927442454054372</c:v>
                </c:pt>
                <c:pt idx="29">
                  <c:v>-6.2927442454054372</c:v>
                </c:pt>
                <c:pt idx="30">
                  <c:v>-6.2927442454054372</c:v>
                </c:pt>
                <c:pt idx="31">
                  <c:v>-6.2927442454054372</c:v>
                </c:pt>
                <c:pt idx="32">
                  <c:v>-6.2927442454054372</c:v>
                </c:pt>
                <c:pt idx="33">
                  <c:v>-6.2927442454054372</c:v>
                </c:pt>
                <c:pt idx="34">
                  <c:v>-6.2927442454054372</c:v>
                </c:pt>
                <c:pt idx="35">
                  <c:v>-6.2927442454054372</c:v>
                </c:pt>
                <c:pt idx="36">
                  <c:v>-6.2927442454054372</c:v>
                </c:pt>
                <c:pt idx="37">
                  <c:v>-6.2927442454054372</c:v>
                </c:pt>
                <c:pt idx="38">
                  <c:v>-6.2927442454054372</c:v>
                </c:pt>
                <c:pt idx="39">
                  <c:v>-6.2927442454054372</c:v>
                </c:pt>
                <c:pt idx="40">
                  <c:v>-6.2927442454054372</c:v>
                </c:pt>
                <c:pt idx="41">
                  <c:v>-6.2927442454054372</c:v>
                </c:pt>
                <c:pt idx="42">
                  <c:v>-6.2927442454054372</c:v>
                </c:pt>
                <c:pt idx="43">
                  <c:v>-6.2927442454054372</c:v>
                </c:pt>
                <c:pt idx="44">
                  <c:v>-6.2927442454054372</c:v>
                </c:pt>
                <c:pt idx="45">
                  <c:v>-6.2927442454054372</c:v>
                </c:pt>
                <c:pt idx="46">
                  <c:v>-6.2927442454054372</c:v>
                </c:pt>
                <c:pt idx="47">
                  <c:v>-6.2927442454054372</c:v>
                </c:pt>
                <c:pt idx="48">
                  <c:v>-6.2927442454054372</c:v>
                </c:pt>
                <c:pt idx="49">
                  <c:v>-6.2927442454054372</c:v>
                </c:pt>
                <c:pt idx="50">
                  <c:v>-6.2927442454054372</c:v>
                </c:pt>
                <c:pt idx="51">
                  <c:v>-6.2927442454054372</c:v>
                </c:pt>
                <c:pt idx="52">
                  <c:v>-6.2927442454054372</c:v>
                </c:pt>
                <c:pt idx="53">
                  <c:v>-6.2927442454054372</c:v>
                </c:pt>
                <c:pt idx="54">
                  <c:v>-6.2927442454054372</c:v>
                </c:pt>
                <c:pt idx="55">
                  <c:v>-6.2927442454054372</c:v>
                </c:pt>
                <c:pt idx="56">
                  <c:v>-6.2927442454054372</c:v>
                </c:pt>
                <c:pt idx="57">
                  <c:v>-6.2927442454054372</c:v>
                </c:pt>
                <c:pt idx="58">
                  <c:v>-6.2927442454054372</c:v>
                </c:pt>
                <c:pt idx="59">
                  <c:v>-6.2927442454054372</c:v>
                </c:pt>
                <c:pt idx="60">
                  <c:v>-6.2927442454054372</c:v>
                </c:pt>
                <c:pt idx="61">
                  <c:v>-6.2927442454054372</c:v>
                </c:pt>
                <c:pt idx="62">
                  <c:v>-6.2927442454054372</c:v>
                </c:pt>
                <c:pt idx="63">
                  <c:v>-6.2927442454054372</c:v>
                </c:pt>
                <c:pt idx="64">
                  <c:v>-6.2927442454054372</c:v>
                </c:pt>
                <c:pt idx="65">
                  <c:v>-6.2927442454054372</c:v>
                </c:pt>
                <c:pt idx="66">
                  <c:v>-6.2927442454054372</c:v>
                </c:pt>
                <c:pt idx="67">
                  <c:v>-6.2927442454054372</c:v>
                </c:pt>
                <c:pt idx="68">
                  <c:v>-6.2927442454054372</c:v>
                </c:pt>
                <c:pt idx="69">
                  <c:v>-6.2927442454054372</c:v>
                </c:pt>
                <c:pt idx="70">
                  <c:v>-6.2927442454054372</c:v>
                </c:pt>
                <c:pt idx="71">
                  <c:v>-6.2927442454054372</c:v>
                </c:pt>
                <c:pt idx="72">
                  <c:v>-6.2927442454054372</c:v>
                </c:pt>
                <c:pt idx="73">
                  <c:v>-6.2927442454054372</c:v>
                </c:pt>
                <c:pt idx="74">
                  <c:v>-6.2927442454054372</c:v>
                </c:pt>
                <c:pt idx="75">
                  <c:v>-6.2927442454054372</c:v>
                </c:pt>
                <c:pt idx="76">
                  <c:v>-6.2927442454054372</c:v>
                </c:pt>
                <c:pt idx="77">
                  <c:v>-6.2927442454054372</c:v>
                </c:pt>
                <c:pt idx="78">
                  <c:v>-6.2927442454054372</c:v>
                </c:pt>
                <c:pt idx="79">
                  <c:v>-6.2927442454054372</c:v>
                </c:pt>
                <c:pt idx="80">
                  <c:v>-6.2927442454054372</c:v>
                </c:pt>
                <c:pt idx="81">
                  <c:v>-6.2927442454054372</c:v>
                </c:pt>
                <c:pt idx="82">
                  <c:v>-6.2927442454054372</c:v>
                </c:pt>
                <c:pt idx="83">
                  <c:v>-6.2927442454054372</c:v>
                </c:pt>
                <c:pt idx="84">
                  <c:v>-6.2927442454054372</c:v>
                </c:pt>
                <c:pt idx="85">
                  <c:v>-6.2927442454054372</c:v>
                </c:pt>
                <c:pt idx="86">
                  <c:v>-6.2927442454054372</c:v>
                </c:pt>
                <c:pt idx="87">
                  <c:v>-6.2927442454054372</c:v>
                </c:pt>
                <c:pt idx="88">
                  <c:v>-6.2927442454054372</c:v>
                </c:pt>
                <c:pt idx="89">
                  <c:v>-6.2927442454054372</c:v>
                </c:pt>
                <c:pt idx="90">
                  <c:v>-6.2927442454054372</c:v>
                </c:pt>
                <c:pt idx="91">
                  <c:v>-6.2927442454054372</c:v>
                </c:pt>
                <c:pt idx="92">
                  <c:v>-6.2927442454054372</c:v>
                </c:pt>
                <c:pt idx="93">
                  <c:v>-6.2927442454054372</c:v>
                </c:pt>
                <c:pt idx="94">
                  <c:v>-6.2927442454054372</c:v>
                </c:pt>
                <c:pt idx="95">
                  <c:v>-6.2927442454054372</c:v>
                </c:pt>
                <c:pt idx="96">
                  <c:v>-6.2927442454054372</c:v>
                </c:pt>
                <c:pt idx="97">
                  <c:v>-6.2927442454054372</c:v>
                </c:pt>
                <c:pt idx="98">
                  <c:v>-6.2927442454054372</c:v>
                </c:pt>
                <c:pt idx="99">
                  <c:v>-6.2927442454054372</c:v>
                </c:pt>
                <c:pt idx="100">
                  <c:v>-6.2927442454054372</c:v>
                </c:pt>
                <c:pt idx="101">
                  <c:v>-6.2927442454054372</c:v>
                </c:pt>
                <c:pt idx="102">
                  <c:v>-6.2927442454054372</c:v>
                </c:pt>
                <c:pt idx="103">
                  <c:v>-6.2927442454054372</c:v>
                </c:pt>
                <c:pt idx="104">
                  <c:v>-6.2927442454054372</c:v>
                </c:pt>
                <c:pt idx="105">
                  <c:v>-6.2927442454054372</c:v>
                </c:pt>
                <c:pt idx="106">
                  <c:v>-6.2927442454054372</c:v>
                </c:pt>
                <c:pt idx="107">
                  <c:v>-6.2927442454054372</c:v>
                </c:pt>
                <c:pt idx="108">
                  <c:v>-6.2927442454054372</c:v>
                </c:pt>
                <c:pt idx="109">
                  <c:v>-6.2927442454054372</c:v>
                </c:pt>
                <c:pt idx="110">
                  <c:v>-6.2927442454054372</c:v>
                </c:pt>
                <c:pt idx="111">
                  <c:v>-6.2927442454054372</c:v>
                </c:pt>
                <c:pt idx="112">
                  <c:v>-6.2927442454054372</c:v>
                </c:pt>
                <c:pt idx="113">
                  <c:v>-6.2927442454054372</c:v>
                </c:pt>
                <c:pt idx="114">
                  <c:v>-6.2927442454054372</c:v>
                </c:pt>
                <c:pt idx="115">
                  <c:v>-6.2927442454054372</c:v>
                </c:pt>
                <c:pt idx="116">
                  <c:v>-6.2927442454054372</c:v>
                </c:pt>
                <c:pt idx="117">
                  <c:v>-6.2927442454054372</c:v>
                </c:pt>
                <c:pt idx="118">
                  <c:v>-6.2927442454054372</c:v>
                </c:pt>
                <c:pt idx="119">
                  <c:v>-6.2927442454054372</c:v>
                </c:pt>
                <c:pt idx="120">
                  <c:v>-6.2927442454054372</c:v>
                </c:pt>
                <c:pt idx="121">
                  <c:v>-6.2927442454054372</c:v>
                </c:pt>
                <c:pt idx="122">
                  <c:v>-6.2927442454054372</c:v>
                </c:pt>
                <c:pt idx="123">
                  <c:v>-6.2927442454054372</c:v>
                </c:pt>
                <c:pt idx="124">
                  <c:v>-6.2927442454054372</c:v>
                </c:pt>
                <c:pt idx="125">
                  <c:v>-6.2927442454054372</c:v>
                </c:pt>
                <c:pt idx="126">
                  <c:v>-6.2927442454054372</c:v>
                </c:pt>
                <c:pt idx="127">
                  <c:v>-6.2927442454054372</c:v>
                </c:pt>
                <c:pt idx="128">
                  <c:v>-6.2927442454054372</c:v>
                </c:pt>
                <c:pt idx="129">
                  <c:v>-6.2927442454054372</c:v>
                </c:pt>
                <c:pt idx="130">
                  <c:v>-6.2927442454054372</c:v>
                </c:pt>
                <c:pt idx="131">
                  <c:v>-6.2927442454054372</c:v>
                </c:pt>
                <c:pt idx="132">
                  <c:v>-6.2927442454054372</c:v>
                </c:pt>
                <c:pt idx="133">
                  <c:v>-6.2927442454054372</c:v>
                </c:pt>
                <c:pt idx="134">
                  <c:v>-6.2927442454054372</c:v>
                </c:pt>
                <c:pt idx="135">
                  <c:v>-6.2927442454054372</c:v>
                </c:pt>
                <c:pt idx="136">
                  <c:v>-6.2927442454054372</c:v>
                </c:pt>
                <c:pt idx="137">
                  <c:v>-6.2927442454054372</c:v>
                </c:pt>
                <c:pt idx="138">
                  <c:v>-6.2927442454054372</c:v>
                </c:pt>
                <c:pt idx="139">
                  <c:v>-6.2927442454054372</c:v>
                </c:pt>
                <c:pt idx="140">
                  <c:v>-6.2927442454054372</c:v>
                </c:pt>
                <c:pt idx="141">
                  <c:v>-6.2927442454054372</c:v>
                </c:pt>
                <c:pt idx="142">
                  <c:v>-6.2927442454054372</c:v>
                </c:pt>
                <c:pt idx="143">
                  <c:v>-6.2927442454054372</c:v>
                </c:pt>
                <c:pt idx="144">
                  <c:v>-6.2927442454054372</c:v>
                </c:pt>
                <c:pt idx="145">
                  <c:v>-6.2927442454054372</c:v>
                </c:pt>
                <c:pt idx="146">
                  <c:v>-6.2927442454054372</c:v>
                </c:pt>
                <c:pt idx="147">
                  <c:v>-6.2927442454054372</c:v>
                </c:pt>
                <c:pt idx="148">
                  <c:v>-6.2927442454054372</c:v>
                </c:pt>
                <c:pt idx="149">
                  <c:v>-6.2927442454054372</c:v>
                </c:pt>
                <c:pt idx="150">
                  <c:v>-6.2927442454054372</c:v>
                </c:pt>
                <c:pt idx="151">
                  <c:v>-6.2927442454054372</c:v>
                </c:pt>
                <c:pt idx="152">
                  <c:v>-6.2927442454054372</c:v>
                </c:pt>
                <c:pt idx="153">
                  <c:v>-6.2927442454054372</c:v>
                </c:pt>
                <c:pt idx="154">
                  <c:v>-6.2927442454054372</c:v>
                </c:pt>
                <c:pt idx="155">
                  <c:v>-6.2927442454054372</c:v>
                </c:pt>
                <c:pt idx="156">
                  <c:v>-6.2927442454054372</c:v>
                </c:pt>
                <c:pt idx="157">
                  <c:v>-6.2927442454054372</c:v>
                </c:pt>
                <c:pt idx="158">
                  <c:v>-6.2927442454054372</c:v>
                </c:pt>
                <c:pt idx="159">
                  <c:v>-6.2927442454054372</c:v>
                </c:pt>
                <c:pt idx="160">
                  <c:v>-6.2927442454054372</c:v>
                </c:pt>
                <c:pt idx="161">
                  <c:v>-6.2927442454054372</c:v>
                </c:pt>
                <c:pt idx="162">
                  <c:v>-6.2927442454054372</c:v>
                </c:pt>
                <c:pt idx="163">
                  <c:v>-6.2927442454054372</c:v>
                </c:pt>
                <c:pt idx="164">
                  <c:v>-6.2927442454054372</c:v>
                </c:pt>
                <c:pt idx="165">
                  <c:v>-6.2927442454054372</c:v>
                </c:pt>
                <c:pt idx="166">
                  <c:v>-6.2927442454054372</c:v>
                </c:pt>
                <c:pt idx="167">
                  <c:v>-6.2927442454054372</c:v>
                </c:pt>
                <c:pt idx="168">
                  <c:v>-6.2927442454054372</c:v>
                </c:pt>
                <c:pt idx="169">
                  <c:v>-6.2927442454054372</c:v>
                </c:pt>
                <c:pt idx="170">
                  <c:v>-6.2927442454054372</c:v>
                </c:pt>
                <c:pt idx="171">
                  <c:v>-6.2927442454054372</c:v>
                </c:pt>
                <c:pt idx="172">
                  <c:v>-6.2927442454054372</c:v>
                </c:pt>
                <c:pt idx="173">
                  <c:v>-6.2927442454054372</c:v>
                </c:pt>
                <c:pt idx="174">
                  <c:v>-6.2927442454054372</c:v>
                </c:pt>
                <c:pt idx="175">
                  <c:v>-6.2927442454054372</c:v>
                </c:pt>
                <c:pt idx="176">
                  <c:v>-6.2927442454054372</c:v>
                </c:pt>
                <c:pt idx="177">
                  <c:v>-6.2927442454054372</c:v>
                </c:pt>
                <c:pt idx="178">
                  <c:v>-6.2927442454054372</c:v>
                </c:pt>
                <c:pt idx="179">
                  <c:v>-6.2927442454054372</c:v>
                </c:pt>
                <c:pt idx="180">
                  <c:v>-6.2927442454054372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2-4227-A60F-59CCF094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06464"/>
        <c:axId val="244608000"/>
      </c:lineChart>
      <c:dateAx>
        <c:axId val="2446064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608000"/>
        <c:crosses val="autoZero"/>
        <c:auto val="0"/>
        <c:lblOffset val="100"/>
        <c:baseTimeUnit val="months"/>
        <c:majorUnit val="1"/>
        <c:majorTimeUnit val="years"/>
      </c:dateAx>
      <c:valAx>
        <c:axId val="244608000"/>
        <c:scaling>
          <c:orientation val="minMax"/>
          <c:max val="5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606464"/>
        <c:crosses val="autoZero"/>
        <c:crossBetween val="between"/>
        <c:majorUnit val="10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NH4-N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Diagram!$AR$153:$AR$164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Diagram!$AS$153:$AS$164</c:f>
              <c:numCache>
                <c:formatCode>General</c:formatCode>
                <c:ptCount val="12"/>
                <c:pt idx="0">
                  <c:v>53</c:v>
                </c:pt>
                <c:pt idx="1">
                  <c:v>60</c:v>
                </c:pt>
                <c:pt idx="2">
                  <c:v>0</c:v>
                </c:pt>
                <c:pt idx="3">
                  <c:v>30</c:v>
                </c:pt>
                <c:pt idx="4">
                  <c:v>28</c:v>
                </c:pt>
                <c:pt idx="5">
                  <c:v>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1-41C3-A1A2-953A4FBE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32960"/>
        <c:axId val="244639232"/>
      </c:lineChart>
      <c:dateAx>
        <c:axId val="24463296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639232"/>
        <c:crosses val="autoZero"/>
        <c:auto val="1"/>
        <c:lblOffset val="100"/>
        <c:baseTimeUnit val="days"/>
        <c:majorUnit val="1"/>
      </c:dateAx>
      <c:valAx>
        <c:axId val="244639232"/>
        <c:scaling>
          <c:orientation val="minMax"/>
          <c:max val="5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632960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PO4-P</a:t>
            </a:r>
          </a:p>
        </c:rich>
      </c:tx>
      <c:layout>
        <c:manualLayout>
          <c:xMode val="edge"/>
          <c:yMode val="edge"/>
          <c:x val="0.39600388534110398"/>
          <c:y val="2.3148148148148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955029243391825E-2"/>
          <c:y val="0.14399314668999708"/>
          <c:w val="0.75522751575245017"/>
          <c:h val="0.58042067658209395"/>
        </c:manualLayout>
      </c:layout>
      <c:lineChart>
        <c:grouping val="standard"/>
        <c:varyColors val="0"/>
        <c:ser>
          <c:idx val="0"/>
          <c:order val="0"/>
          <c:tx>
            <c:strRef>
              <c:f>Statistik!$K$8</c:f>
              <c:strCache>
                <c:ptCount val="1"/>
                <c:pt idx="0">
                  <c:v>PO4-P</c:v>
                </c:pt>
              </c:strCache>
            </c:strRef>
          </c:tx>
          <c:marker>
            <c:symbol val="circle"/>
            <c:size val="4"/>
            <c:spPr>
              <a:noFill/>
            </c:spPr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Statistik!$K$9:$K$192</c:f>
              <c:numCache>
                <c:formatCode>0</c:formatCode>
                <c:ptCount val="184"/>
                <c:pt idx="1">
                  <c:v>51</c:v>
                </c:pt>
                <c:pt idx="2">
                  <c:v>66</c:v>
                </c:pt>
                <c:pt idx="3">
                  <c:v>41</c:v>
                </c:pt>
                <c:pt idx="4">
                  <c:v>8</c:v>
                </c:pt>
                <c:pt idx="5">
                  <c:v>12</c:v>
                </c:pt>
                <c:pt idx="6">
                  <c:v>47</c:v>
                </c:pt>
                <c:pt idx="7">
                  <c:v>79</c:v>
                </c:pt>
                <c:pt idx="8">
                  <c:v>64</c:v>
                </c:pt>
                <c:pt idx="9">
                  <c:v>48</c:v>
                </c:pt>
                <c:pt idx="10">
                  <c:v>32</c:v>
                </c:pt>
                <c:pt idx="11">
                  <c:v>37</c:v>
                </c:pt>
                <c:pt idx="12">
                  <c:v>36</c:v>
                </c:pt>
                <c:pt idx="13">
                  <c:v>31</c:v>
                </c:pt>
                <c:pt idx="14">
                  <c:v>36</c:v>
                </c:pt>
                <c:pt idx="15">
                  <c:v>30</c:v>
                </c:pt>
                <c:pt idx="16">
                  <c:v>12</c:v>
                </c:pt>
                <c:pt idx="17">
                  <c:v>13</c:v>
                </c:pt>
                <c:pt idx="18">
                  <c:v>41</c:v>
                </c:pt>
                <c:pt idx="19">
                  <c:v>59</c:v>
                </c:pt>
                <c:pt idx="20">
                  <c:v>45</c:v>
                </c:pt>
                <c:pt idx="21">
                  <c:v>31</c:v>
                </c:pt>
                <c:pt idx="22">
                  <c:v>40</c:v>
                </c:pt>
                <c:pt idx="23">
                  <c:v>35</c:v>
                </c:pt>
                <c:pt idx="24">
                  <c:v>41</c:v>
                </c:pt>
                <c:pt idx="25">
                  <c:v>38</c:v>
                </c:pt>
                <c:pt idx="26">
                  <c:v>30</c:v>
                </c:pt>
                <c:pt idx="27">
                  <c:v>19</c:v>
                </c:pt>
                <c:pt idx="28">
                  <c:v>10</c:v>
                </c:pt>
                <c:pt idx="29">
                  <c:v>5</c:v>
                </c:pt>
                <c:pt idx="30">
                  <c:v>28</c:v>
                </c:pt>
                <c:pt idx="31">
                  <c:v>49</c:v>
                </c:pt>
                <c:pt idx="32">
                  <c:v>36</c:v>
                </c:pt>
                <c:pt idx="33">
                  <c:v>51</c:v>
                </c:pt>
                <c:pt idx="34">
                  <c:v>83</c:v>
                </c:pt>
                <c:pt idx="35">
                  <c:v>53</c:v>
                </c:pt>
                <c:pt idx="36">
                  <c:v>41</c:v>
                </c:pt>
                <c:pt idx="37">
                  <c:v>39</c:v>
                </c:pt>
                <c:pt idx="38">
                  <c:v>34</c:v>
                </c:pt>
                <c:pt idx="39">
                  <c:v>13</c:v>
                </c:pt>
                <c:pt idx="40">
                  <c:v>7</c:v>
                </c:pt>
                <c:pt idx="41">
                  <c:v>7</c:v>
                </c:pt>
                <c:pt idx="42">
                  <c:v>41</c:v>
                </c:pt>
                <c:pt idx="43">
                  <c:v>39</c:v>
                </c:pt>
                <c:pt idx="44">
                  <c:v>53</c:v>
                </c:pt>
                <c:pt idx="45">
                  <c:v>16</c:v>
                </c:pt>
                <c:pt idx="46">
                  <c:v>50</c:v>
                </c:pt>
                <c:pt idx="47">
                  <c:v>46</c:v>
                </c:pt>
                <c:pt idx="48">
                  <c:v>37</c:v>
                </c:pt>
                <c:pt idx="49">
                  <c:v>34</c:v>
                </c:pt>
                <c:pt idx="50">
                  <c:v>29</c:v>
                </c:pt>
                <c:pt idx="51">
                  <c:v>6</c:v>
                </c:pt>
                <c:pt idx="52">
                  <c:v>3</c:v>
                </c:pt>
                <c:pt idx="53">
                  <c:v>14</c:v>
                </c:pt>
                <c:pt idx="54">
                  <c:v>29</c:v>
                </c:pt>
                <c:pt idx="55">
                  <c:v>52</c:v>
                </c:pt>
                <c:pt idx="56">
                  <c:v>62</c:v>
                </c:pt>
                <c:pt idx="57">
                  <c:v>34</c:v>
                </c:pt>
                <c:pt idx="58">
                  <c:v>59</c:v>
                </c:pt>
                <c:pt idx="59">
                  <c:v>50</c:v>
                </c:pt>
                <c:pt idx="60">
                  <c:v>53</c:v>
                </c:pt>
                <c:pt idx="61">
                  <c:v>49</c:v>
                </c:pt>
                <c:pt idx="62">
                  <c:v>14</c:v>
                </c:pt>
                <c:pt idx="63">
                  <c:v>16</c:v>
                </c:pt>
                <c:pt idx="64">
                  <c:v>5.7</c:v>
                </c:pt>
                <c:pt idx="65">
                  <c:v>5.2</c:v>
                </c:pt>
                <c:pt idx="67">
                  <c:v>38</c:v>
                </c:pt>
                <c:pt idx="68">
                  <c:v>39</c:v>
                </c:pt>
                <c:pt idx="69">
                  <c:v>35</c:v>
                </c:pt>
                <c:pt idx="70">
                  <c:v>30</c:v>
                </c:pt>
                <c:pt idx="71">
                  <c:v>30</c:v>
                </c:pt>
                <c:pt idx="72">
                  <c:v>26</c:v>
                </c:pt>
                <c:pt idx="73">
                  <c:v>36</c:v>
                </c:pt>
                <c:pt idx="74">
                  <c:v>40</c:v>
                </c:pt>
                <c:pt idx="75">
                  <c:v>17</c:v>
                </c:pt>
                <c:pt idx="76">
                  <c:v>9.6999999999999993</c:v>
                </c:pt>
                <c:pt idx="77">
                  <c:v>9.5</c:v>
                </c:pt>
                <c:pt idx="78">
                  <c:v>36</c:v>
                </c:pt>
                <c:pt idx="79">
                  <c:v>68</c:v>
                </c:pt>
                <c:pt idx="80">
                  <c:v>29</c:v>
                </c:pt>
                <c:pt idx="81">
                  <c:v>24</c:v>
                </c:pt>
                <c:pt idx="82">
                  <c:v>35</c:v>
                </c:pt>
                <c:pt idx="83">
                  <c:v>44</c:v>
                </c:pt>
                <c:pt idx="84">
                  <c:v>36</c:v>
                </c:pt>
                <c:pt idx="85">
                  <c:v>34</c:v>
                </c:pt>
                <c:pt idx="86">
                  <c:v>28</c:v>
                </c:pt>
                <c:pt idx="87">
                  <c:v>3.5</c:v>
                </c:pt>
                <c:pt idx="88">
                  <c:v>9.1999999999999993</c:v>
                </c:pt>
                <c:pt idx="89">
                  <c:v>2.9</c:v>
                </c:pt>
                <c:pt idx="90">
                  <c:v>39</c:v>
                </c:pt>
                <c:pt idx="91">
                  <c:v>22</c:v>
                </c:pt>
                <c:pt idx="92">
                  <c:v>23</c:v>
                </c:pt>
                <c:pt idx="93">
                  <c:v>69</c:v>
                </c:pt>
                <c:pt idx="94">
                  <c:v>42</c:v>
                </c:pt>
                <c:pt idx="95">
                  <c:v>46</c:v>
                </c:pt>
                <c:pt idx="96">
                  <c:v>44</c:v>
                </c:pt>
                <c:pt idx="97">
                  <c:v>44</c:v>
                </c:pt>
                <c:pt idx="98">
                  <c:v>34</c:v>
                </c:pt>
                <c:pt idx="99">
                  <c:v>41</c:v>
                </c:pt>
                <c:pt idx="100">
                  <c:v>6.2</c:v>
                </c:pt>
                <c:pt idx="101">
                  <c:v>14</c:v>
                </c:pt>
                <c:pt idx="102">
                  <c:v>36</c:v>
                </c:pt>
                <c:pt idx="103">
                  <c:v>38</c:v>
                </c:pt>
                <c:pt idx="104">
                  <c:v>46</c:v>
                </c:pt>
                <c:pt idx="105">
                  <c:v>40</c:v>
                </c:pt>
                <c:pt idx="106">
                  <c:v>4.0999999999999996</c:v>
                </c:pt>
                <c:pt idx="107">
                  <c:v>36</c:v>
                </c:pt>
                <c:pt idx="108">
                  <c:v>38</c:v>
                </c:pt>
                <c:pt idx="109">
                  <c:v>34</c:v>
                </c:pt>
                <c:pt idx="110">
                  <c:v>3.1</c:v>
                </c:pt>
                <c:pt idx="111">
                  <c:v>11</c:v>
                </c:pt>
                <c:pt idx="112">
                  <c:v>3.9</c:v>
                </c:pt>
                <c:pt idx="113">
                  <c:v>19</c:v>
                </c:pt>
                <c:pt idx="114">
                  <c:v>36</c:v>
                </c:pt>
                <c:pt idx="115">
                  <c:v>34</c:v>
                </c:pt>
                <c:pt idx="116">
                  <c:v>47</c:v>
                </c:pt>
                <c:pt idx="117">
                  <c:v>45</c:v>
                </c:pt>
                <c:pt idx="118">
                  <c:v>27</c:v>
                </c:pt>
                <c:pt idx="119">
                  <c:v>30</c:v>
                </c:pt>
                <c:pt idx="120">
                  <c:v>50</c:v>
                </c:pt>
                <c:pt idx="121">
                  <c:v>40</c:v>
                </c:pt>
                <c:pt idx="122">
                  <c:v>47</c:v>
                </c:pt>
                <c:pt idx="123">
                  <c:v>9.9</c:v>
                </c:pt>
                <c:pt idx="124">
                  <c:v>2.8</c:v>
                </c:pt>
                <c:pt idx="125">
                  <c:v>5.8</c:v>
                </c:pt>
                <c:pt idx="126">
                  <c:v>24</c:v>
                </c:pt>
                <c:pt idx="127">
                  <c:v>31</c:v>
                </c:pt>
                <c:pt idx="128">
                  <c:v>43</c:v>
                </c:pt>
                <c:pt idx="129">
                  <c:v>34</c:v>
                </c:pt>
                <c:pt idx="130">
                  <c:v>47</c:v>
                </c:pt>
                <c:pt idx="131">
                  <c:v>36</c:v>
                </c:pt>
                <c:pt idx="132">
                  <c:v>28</c:v>
                </c:pt>
                <c:pt idx="133">
                  <c:v>43</c:v>
                </c:pt>
                <c:pt idx="134">
                  <c:v>33</c:v>
                </c:pt>
                <c:pt idx="135">
                  <c:v>4.4000000000000004</c:v>
                </c:pt>
                <c:pt idx="136">
                  <c:v>6.2</c:v>
                </c:pt>
                <c:pt idx="137">
                  <c:v>11</c:v>
                </c:pt>
                <c:pt idx="138">
                  <c:v>50</c:v>
                </c:pt>
                <c:pt idx="139">
                  <c:v>63</c:v>
                </c:pt>
                <c:pt idx="140">
                  <c:v>44</c:v>
                </c:pt>
                <c:pt idx="141">
                  <c:v>56</c:v>
                </c:pt>
                <c:pt idx="142">
                  <c:v>33</c:v>
                </c:pt>
                <c:pt idx="143">
                  <c:v>27</c:v>
                </c:pt>
                <c:pt idx="144">
                  <c:v>41</c:v>
                </c:pt>
                <c:pt idx="145">
                  <c:v>44</c:v>
                </c:pt>
                <c:pt idx="146">
                  <c:v>32</c:v>
                </c:pt>
                <c:pt idx="147">
                  <c:v>26</c:v>
                </c:pt>
                <c:pt idx="148">
                  <c:v>7.6</c:v>
                </c:pt>
                <c:pt idx="149">
                  <c:v>18</c:v>
                </c:pt>
                <c:pt idx="150">
                  <c:v>49</c:v>
                </c:pt>
                <c:pt idx="151">
                  <c:v>38</c:v>
                </c:pt>
                <c:pt idx="152">
                  <c:v>53</c:v>
                </c:pt>
                <c:pt idx="153">
                  <c:v>35</c:v>
                </c:pt>
                <c:pt idx="154">
                  <c:v>11</c:v>
                </c:pt>
                <c:pt idx="155">
                  <c:v>49</c:v>
                </c:pt>
                <c:pt idx="156">
                  <c:v>41</c:v>
                </c:pt>
                <c:pt idx="157">
                  <c:v>40</c:v>
                </c:pt>
                <c:pt idx="158">
                  <c:v>21</c:v>
                </c:pt>
                <c:pt idx="159">
                  <c:v>6.1</c:v>
                </c:pt>
                <c:pt idx="160">
                  <c:v>6.2</c:v>
                </c:pt>
                <c:pt idx="161">
                  <c:v>4.5</c:v>
                </c:pt>
                <c:pt idx="162">
                  <c:v>43</c:v>
                </c:pt>
                <c:pt idx="163">
                  <c:v>40</c:v>
                </c:pt>
                <c:pt idx="164">
                  <c:v>57</c:v>
                </c:pt>
                <c:pt idx="165">
                  <c:v>33</c:v>
                </c:pt>
                <c:pt idx="166">
                  <c:v>60</c:v>
                </c:pt>
                <c:pt idx="167">
                  <c:v>40</c:v>
                </c:pt>
                <c:pt idx="168">
                  <c:v>38</c:v>
                </c:pt>
                <c:pt idx="169">
                  <c:v>38</c:v>
                </c:pt>
                <c:pt idx="170">
                  <c:v>29</c:v>
                </c:pt>
                <c:pt idx="171">
                  <c:v>22</c:v>
                </c:pt>
                <c:pt idx="172">
                  <c:v>6.6</c:v>
                </c:pt>
                <c:pt idx="173">
                  <c:v>17</c:v>
                </c:pt>
                <c:pt idx="174">
                  <c:v>42</c:v>
                </c:pt>
                <c:pt idx="175">
                  <c:v>40</c:v>
                </c:pt>
                <c:pt idx="176">
                  <c:v>9.6999999999999993</c:v>
                </c:pt>
                <c:pt idx="177">
                  <c:v>74</c:v>
                </c:pt>
                <c:pt idx="178">
                  <c:v>60</c:v>
                </c:pt>
                <c:pt idx="179">
                  <c:v>54</c:v>
                </c:pt>
                <c:pt idx="18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3B5-9F02-08708EBCBE20}"/>
            </c:ext>
          </c:extLst>
        </c:ser>
        <c:ser>
          <c:idx val="1"/>
          <c:order val="1"/>
          <c:tx>
            <c:strRef>
              <c:f>Statistik!$AS$8</c:f>
              <c:strCache>
                <c:ptCount val="1"/>
                <c:pt idx="0">
                  <c:v>Medel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Statistik!$AS$9:$AS$192</c:f>
              <c:numCache>
                <c:formatCode>0</c:formatCode>
                <c:ptCount val="184"/>
                <c:pt idx="0">
                  <c:v>33.105027932960894</c:v>
                </c:pt>
                <c:pt idx="1">
                  <c:v>33.105027932960894</c:v>
                </c:pt>
                <c:pt idx="2">
                  <c:v>33.105027932960894</c:v>
                </c:pt>
                <c:pt idx="3">
                  <c:v>33.105027932960894</c:v>
                </c:pt>
                <c:pt idx="4">
                  <c:v>33.105027932960894</c:v>
                </c:pt>
                <c:pt idx="5">
                  <c:v>33.105027932960894</c:v>
                </c:pt>
                <c:pt idx="6">
                  <c:v>33.105027932960894</c:v>
                </c:pt>
                <c:pt idx="7">
                  <c:v>33.105027932960894</c:v>
                </c:pt>
                <c:pt idx="8">
                  <c:v>33.105027932960894</c:v>
                </c:pt>
                <c:pt idx="9">
                  <c:v>33.105027932960894</c:v>
                </c:pt>
                <c:pt idx="10">
                  <c:v>33.105027932960894</c:v>
                </c:pt>
                <c:pt idx="11">
                  <c:v>33.105027932960894</c:v>
                </c:pt>
                <c:pt idx="12">
                  <c:v>33.105027932960894</c:v>
                </c:pt>
                <c:pt idx="13">
                  <c:v>33.105027932960894</c:v>
                </c:pt>
                <c:pt idx="14">
                  <c:v>33.105027932960894</c:v>
                </c:pt>
                <c:pt idx="15">
                  <c:v>33.105027932960894</c:v>
                </c:pt>
                <c:pt idx="16">
                  <c:v>33.105027932960894</c:v>
                </c:pt>
                <c:pt idx="17">
                  <c:v>33.105027932960894</c:v>
                </c:pt>
                <c:pt idx="18">
                  <c:v>33.105027932960894</c:v>
                </c:pt>
                <c:pt idx="19">
                  <c:v>33.105027932960894</c:v>
                </c:pt>
                <c:pt idx="20">
                  <c:v>33.105027932960894</c:v>
                </c:pt>
                <c:pt idx="21">
                  <c:v>33.105027932960894</c:v>
                </c:pt>
                <c:pt idx="22">
                  <c:v>33.105027932960894</c:v>
                </c:pt>
                <c:pt idx="23">
                  <c:v>33.105027932960894</c:v>
                </c:pt>
                <c:pt idx="24">
                  <c:v>33.105027932960894</c:v>
                </c:pt>
                <c:pt idx="25">
                  <c:v>33.105027932960894</c:v>
                </c:pt>
                <c:pt idx="26">
                  <c:v>33.105027932960894</c:v>
                </c:pt>
                <c:pt idx="27">
                  <c:v>33.105027932960894</c:v>
                </c:pt>
                <c:pt idx="28">
                  <c:v>33.105027932960894</c:v>
                </c:pt>
                <c:pt idx="29">
                  <c:v>33.105027932960894</c:v>
                </c:pt>
                <c:pt idx="30">
                  <c:v>33.105027932960894</c:v>
                </c:pt>
                <c:pt idx="31">
                  <c:v>33.105027932960894</c:v>
                </c:pt>
                <c:pt idx="32">
                  <c:v>33.105027932960894</c:v>
                </c:pt>
                <c:pt idx="33">
                  <c:v>33.105027932960894</c:v>
                </c:pt>
                <c:pt idx="34">
                  <c:v>33.105027932960894</c:v>
                </c:pt>
                <c:pt idx="35">
                  <c:v>33.105027932960894</c:v>
                </c:pt>
                <c:pt idx="36">
                  <c:v>33.105027932960894</c:v>
                </c:pt>
                <c:pt idx="37">
                  <c:v>33.105027932960894</c:v>
                </c:pt>
                <c:pt idx="38">
                  <c:v>33.105027932960894</c:v>
                </c:pt>
                <c:pt idx="39">
                  <c:v>33.105027932960894</c:v>
                </c:pt>
                <c:pt idx="40">
                  <c:v>33.105027932960894</c:v>
                </c:pt>
                <c:pt idx="41">
                  <c:v>33.105027932960894</c:v>
                </c:pt>
                <c:pt idx="42">
                  <c:v>33.105027932960894</c:v>
                </c:pt>
                <c:pt idx="43">
                  <c:v>33.105027932960894</c:v>
                </c:pt>
                <c:pt idx="44">
                  <c:v>33.105027932960894</c:v>
                </c:pt>
                <c:pt idx="45">
                  <c:v>33.105027932960894</c:v>
                </c:pt>
                <c:pt idx="46">
                  <c:v>33.105027932960894</c:v>
                </c:pt>
                <c:pt idx="47">
                  <c:v>33.105027932960894</c:v>
                </c:pt>
                <c:pt idx="48">
                  <c:v>33.105027932960894</c:v>
                </c:pt>
                <c:pt idx="49">
                  <c:v>33.105027932960894</c:v>
                </c:pt>
                <c:pt idx="50">
                  <c:v>33.105027932960894</c:v>
                </c:pt>
                <c:pt idx="51">
                  <c:v>33.105027932960894</c:v>
                </c:pt>
                <c:pt idx="52">
                  <c:v>33.105027932960894</c:v>
                </c:pt>
                <c:pt idx="53">
                  <c:v>33.105027932960894</c:v>
                </c:pt>
                <c:pt idx="54">
                  <c:v>33.105027932960894</c:v>
                </c:pt>
                <c:pt idx="55">
                  <c:v>33.105027932960894</c:v>
                </c:pt>
                <c:pt idx="56">
                  <c:v>33.105027932960894</c:v>
                </c:pt>
                <c:pt idx="57">
                  <c:v>33.105027932960894</c:v>
                </c:pt>
                <c:pt idx="58">
                  <c:v>33.105027932960894</c:v>
                </c:pt>
                <c:pt idx="59">
                  <c:v>33.105027932960894</c:v>
                </c:pt>
                <c:pt idx="60">
                  <c:v>33.105027932960894</c:v>
                </c:pt>
                <c:pt idx="61">
                  <c:v>33.105027932960894</c:v>
                </c:pt>
                <c:pt idx="62">
                  <c:v>33.105027932960894</c:v>
                </c:pt>
                <c:pt idx="63">
                  <c:v>33.105027932960894</c:v>
                </c:pt>
                <c:pt idx="64">
                  <c:v>33.105027932960894</c:v>
                </c:pt>
                <c:pt idx="65">
                  <c:v>33.105027932960894</c:v>
                </c:pt>
                <c:pt idx="66">
                  <c:v>33.105027932960894</c:v>
                </c:pt>
                <c:pt idx="67">
                  <c:v>33.105027932960894</c:v>
                </c:pt>
                <c:pt idx="68">
                  <c:v>33.105027932960894</c:v>
                </c:pt>
                <c:pt idx="69">
                  <c:v>33.105027932960894</c:v>
                </c:pt>
                <c:pt idx="70">
                  <c:v>33.105027932960894</c:v>
                </c:pt>
                <c:pt idx="71">
                  <c:v>33.105027932960894</c:v>
                </c:pt>
                <c:pt idx="72">
                  <c:v>33.105027932960894</c:v>
                </c:pt>
                <c:pt idx="73">
                  <c:v>33.105027932960894</c:v>
                </c:pt>
                <c:pt idx="74">
                  <c:v>33.105027932960894</c:v>
                </c:pt>
                <c:pt idx="75">
                  <c:v>33.105027932960894</c:v>
                </c:pt>
                <c:pt idx="76">
                  <c:v>33.105027932960894</c:v>
                </c:pt>
                <c:pt idx="77">
                  <c:v>33.105027932960894</c:v>
                </c:pt>
                <c:pt idx="78">
                  <c:v>33.105027932960894</c:v>
                </c:pt>
                <c:pt idx="79">
                  <c:v>33.105027932960894</c:v>
                </c:pt>
                <c:pt idx="80">
                  <c:v>33.105027932960894</c:v>
                </c:pt>
                <c:pt idx="81">
                  <c:v>33.105027932960894</c:v>
                </c:pt>
                <c:pt idx="82">
                  <c:v>33.105027932960894</c:v>
                </c:pt>
                <c:pt idx="83">
                  <c:v>33.105027932960894</c:v>
                </c:pt>
                <c:pt idx="84">
                  <c:v>33.105027932960894</c:v>
                </c:pt>
                <c:pt idx="85">
                  <c:v>33.105027932960894</c:v>
                </c:pt>
                <c:pt idx="86">
                  <c:v>33.105027932960894</c:v>
                </c:pt>
                <c:pt idx="87">
                  <c:v>33.105027932960894</c:v>
                </c:pt>
                <c:pt idx="88">
                  <c:v>33.105027932960894</c:v>
                </c:pt>
                <c:pt idx="89">
                  <c:v>33.105027932960894</c:v>
                </c:pt>
                <c:pt idx="90">
                  <c:v>33.105027932960894</c:v>
                </c:pt>
                <c:pt idx="91">
                  <c:v>33.105027932960894</c:v>
                </c:pt>
                <c:pt idx="92">
                  <c:v>33.105027932960894</c:v>
                </c:pt>
                <c:pt idx="93">
                  <c:v>33.105027932960894</c:v>
                </c:pt>
                <c:pt idx="94">
                  <c:v>33.105027932960894</c:v>
                </c:pt>
                <c:pt idx="95">
                  <c:v>33.105027932960894</c:v>
                </c:pt>
                <c:pt idx="96">
                  <c:v>33.105027932960894</c:v>
                </c:pt>
                <c:pt idx="97">
                  <c:v>33.105027932960894</c:v>
                </c:pt>
                <c:pt idx="98">
                  <c:v>33.105027932960894</c:v>
                </c:pt>
                <c:pt idx="99">
                  <c:v>33.105027932960894</c:v>
                </c:pt>
                <c:pt idx="100">
                  <c:v>33.105027932960894</c:v>
                </c:pt>
                <c:pt idx="101">
                  <c:v>33.105027932960894</c:v>
                </c:pt>
                <c:pt idx="102">
                  <c:v>33.105027932960894</c:v>
                </c:pt>
                <c:pt idx="103">
                  <c:v>33.105027932960894</c:v>
                </c:pt>
                <c:pt idx="104">
                  <c:v>33.105027932960894</c:v>
                </c:pt>
                <c:pt idx="105">
                  <c:v>33.105027932960894</c:v>
                </c:pt>
                <c:pt idx="106">
                  <c:v>33.105027932960894</c:v>
                </c:pt>
                <c:pt idx="107">
                  <c:v>33.105027932960894</c:v>
                </c:pt>
                <c:pt idx="108">
                  <c:v>33.105027932960894</c:v>
                </c:pt>
                <c:pt idx="109">
                  <c:v>33.105027932960894</c:v>
                </c:pt>
                <c:pt idx="110">
                  <c:v>33.105027932960894</c:v>
                </c:pt>
                <c:pt idx="111">
                  <c:v>33.105027932960894</c:v>
                </c:pt>
                <c:pt idx="112">
                  <c:v>33.105027932960894</c:v>
                </c:pt>
                <c:pt idx="113">
                  <c:v>33.105027932960894</c:v>
                </c:pt>
                <c:pt idx="114">
                  <c:v>33.105027932960894</c:v>
                </c:pt>
                <c:pt idx="115">
                  <c:v>33.105027932960894</c:v>
                </c:pt>
                <c:pt idx="116">
                  <c:v>33.105027932960894</c:v>
                </c:pt>
                <c:pt idx="117">
                  <c:v>33.105027932960894</c:v>
                </c:pt>
                <c:pt idx="118">
                  <c:v>33.105027932960894</c:v>
                </c:pt>
                <c:pt idx="119">
                  <c:v>33.105027932960894</c:v>
                </c:pt>
                <c:pt idx="120">
                  <c:v>33.105027932960894</c:v>
                </c:pt>
                <c:pt idx="121">
                  <c:v>33.105027932960894</c:v>
                </c:pt>
                <c:pt idx="122">
                  <c:v>33.105027932960894</c:v>
                </c:pt>
                <c:pt idx="123">
                  <c:v>33.105027932960894</c:v>
                </c:pt>
                <c:pt idx="124">
                  <c:v>33.105027932960894</c:v>
                </c:pt>
                <c:pt idx="125">
                  <c:v>33.105027932960894</c:v>
                </c:pt>
                <c:pt idx="126">
                  <c:v>33.105027932960894</c:v>
                </c:pt>
                <c:pt idx="127">
                  <c:v>33.105027932960894</c:v>
                </c:pt>
                <c:pt idx="128">
                  <c:v>33.105027932960894</c:v>
                </c:pt>
                <c:pt idx="129">
                  <c:v>33.105027932960894</c:v>
                </c:pt>
                <c:pt idx="130">
                  <c:v>33.105027932960894</c:v>
                </c:pt>
                <c:pt idx="131">
                  <c:v>33.105027932960894</c:v>
                </c:pt>
                <c:pt idx="132">
                  <c:v>33.105027932960894</c:v>
                </c:pt>
                <c:pt idx="133">
                  <c:v>33.105027932960894</c:v>
                </c:pt>
                <c:pt idx="134">
                  <c:v>33.105027932960894</c:v>
                </c:pt>
                <c:pt idx="135">
                  <c:v>33.105027932960894</c:v>
                </c:pt>
                <c:pt idx="136">
                  <c:v>33.105027932960894</c:v>
                </c:pt>
                <c:pt idx="137">
                  <c:v>33.105027932960894</c:v>
                </c:pt>
                <c:pt idx="138">
                  <c:v>33.105027932960894</c:v>
                </c:pt>
                <c:pt idx="139">
                  <c:v>33.105027932960894</c:v>
                </c:pt>
                <c:pt idx="140">
                  <c:v>33.105027932960894</c:v>
                </c:pt>
                <c:pt idx="141">
                  <c:v>33.105027932960894</c:v>
                </c:pt>
                <c:pt idx="142">
                  <c:v>33.105027932960894</c:v>
                </c:pt>
                <c:pt idx="143">
                  <c:v>33.105027932960894</c:v>
                </c:pt>
                <c:pt idx="144">
                  <c:v>33.105027932960894</c:v>
                </c:pt>
                <c:pt idx="145">
                  <c:v>33.105027932960894</c:v>
                </c:pt>
                <c:pt idx="146">
                  <c:v>33.105027932960894</c:v>
                </c:pt>
                <c:pt idx="147">
                  <c:v>33.105027932960894</c:v>
                </c:pt>
                <c:pt idx="148">
                  <c:v>33.105027932960894</c:v>
                </c:pt>
                <c:pt idx="149">
                  <c:v>33.105027932960894</c:v>
                </c:pt>
                <c:pt idx="150">
                  <c:v>33.105027932960894</c:v>
                </c:pt>
                <c:pt idx="151">
                  <c:v>33.105027932960894</c:v>
                </c:pt>
                <c:pt idx="152">
                  <c:v>33.105027932960894</c:v>
                </c:pt>
                <c:pt idx="153">
                  <c:v>33.105027932960894</c:v>
                </c:pt>
                <c:pt idx="154">
                  <c:v>33.105027932960894</c:v>
                </c:pt>
                <c:pt idx="155">
                  <c:v>33.105027932960894</c:v>
                </c:pt>
                <c:pt idx="156">
                  <c:v>33.105027932960894</c:v>
                </c:pt>
                <c:pt idx="157">
                  <c:v>33.105027932960894</c:v>
                </c:pt>
                <c:pt idx="158">
                  <c:v>33.105027932960894</c:v>
                </c:pt>
                <c:pt idx="159">
                  <c:v>33.105027932960894</c:v>
                </c:pt>
                <c:pt idx="160">
                  <c:v>33.105027932960894</c:v>
                </c:pt>
                <c:pt idx="161">
                  <c:v>33.105027932960894</c:v>
                </c:pt>
                <c:pt idx="162">
                  <c:v>33.105027932960894</c:v>
                </c:pt>
                <c:pt idx="163">
                  <c:v>33.105027932960894</c:v>
                </c:pt>
                <c:pt idx="164">
                  <c:v>33.105027932960894</c:v>
                </c:pt>
                <c:pt idx="165">
                  <c:v>33.105027932960894</c:v>
                </c:pt>
                <c:pt idx="166">
                  <c:v>33.105027932960894</c:v>
                </c:pt>
                <c:pt idx="167">
                  <c:v>33.105027932960894</c:v>
                </c:pt>
                <c:pt idx="168">
                  <c:v>33.105027932960894</c:v>
                </c:pt>
                <c:pt idx="169">
                  <c:v>33.105027932960894</c:v>
                </c:pt>
                <c:pt idx="170">
                  <c:v>33.105027932960894</c:v>
                </c:pt>
                <c:pt idx="171">
                  <c:v>33.105027932960894</c:v>
                </c:pt>
                <c:pt idx="172">
                  <c:v>33.105027932960894</c:v>
                </c:pt>
                <c:pt idx="173">
                  <c:v>33.105027932960894</c:v>
                </c:pt>
                <c:pt idx="174">
                  <c:v>33.105027932960894</c:v>
                </c:pt>
                <c:pt idx="175">
                  <c:v>33.105027932960894</c:v>
                </c:pt>
                <c:pt idx="176">
                  <c:v>33.105027932960894</c:v>
                </c:pt>
                <c:pt idx="177">
                  <c:v>33.105027932960894</c:v>
                </c:pt>
                <c:pt idx="178">
                  <c:v>33.105027932960894</c:v>
                </c:pt>
                <c:pt idx="179">
                  <c:v>33.105027932960894</c:v>
                </c:pt>
                <c:pt idx="180">
                  <c:v>33.105027932960894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3B5-9F02-08708EBCBE20}"/>
            </c:ext>
          </c:extLst>
        </c:ser>
        <c:ser>
          <c:idx val="2"/>
          <c:order val="2"/>
          <c:tx>
            <c:strRef>
              <c:f>Statistik!$AT$8</c:f>
              <c:strCache>
                <c:ptCount val="1"/>
                <c:pt idx="0">
                  <c:v>+/- 1 std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Statistik!$AT$9:$AT$192</c:f>
              <c:numCache>
                <c:formatCode>0</c:formatCode>
                <c:ptCount val="184"/>
                <c:pt idx="0">
                  <c:v>50.535961542150602</c:v>
                </c:pt>
                <c:pt idx="1">
                  <c:v>50.535961542150602</c:v>
                </c:pt>
                <c:pt idx="2">
                  <c:v>50.535961542150602</c:v>
                </c:pt>
                <c:pt idx="3">
                  <c:v>50.535961542150602</c:v>
                </c:pt>
                <c:pt idx="4">
                  <c:v>50.535961542150602</c:v>
                </c:pt>
                <c:pt idx="5">
                  <c:v>50.535961542150602</c:v>
                </c:pt>
                <c:pt idx="6">
                  <c:v>50.535961542150602</c:v>
                </c:pt>
                <c:pt idx="7">
                  <c:v>50.535961542150602</c:v>
                </c:pt>
                <c:pt idx="8">
                  <c:v>50.535961542150602</c:v>
                </c:pt>
                <c:pt idx="9">
                  <c:v>50.535961542150602</c:v>
                </c:pt>
                <c:pt idx="10">
                  <c:v>50.535961542150602</c:v>
                </c:pt>
                <c:pt idx="11">
                  <c:v>50.535961542150602</c:v>
                </c:pt>
                <c:pt idx="12">
                  <c:v>50.535961542150602</c:v>
                </c:pt>
                <c:pt idx="13">
                  <c:v>50.535961542150602</c:v>
                </c:pt>
                <c:pt idx="14">
                  <c:v>50.535961542150602</c:v>
                </c:pt>
                <c:pt idx="15">
                  <c:v>50.535961542150602</c:v>
                </c:pt>
                <c:pt idx="16">
                  <c:v>50.535961542150602</c:v>
                </c:pt>
                <c:pt idx="17">
                  <c:v>50.535961542150602</c:v>
                </c:pt>
                <c:pt idx="18">
                  <c:v>50.535961542150602</c:v>
                </c:pt>
                <c:pt idx="19">
                  <c:v>50.535961542150602</c:v>
                </c:pt>
                <c:pt idx="20">
                  <c:v>50.535961542150602</c:v>
                </c:pt>
                <c:pt idx="21">
                  <c:v>50.535961542150602</c:v>
                </c:pt>
                <c:pt idx="22">
                  <c:v>50.535961542150602</c:v>
                </c:pt>
                <c:pt idx="23">
                  <c:v>50.535961542150602</c:v>
                </c:pt>
                <c:pt idx="24">
                  <c:v>50.535961542150602</c:v>
                </c:pt>
                <c:pt idx="25">
                  <c:v>50.535961542150602</c:v>
                </c:pt>
                <c:pt idx="26">
                  <c:v>50.535961542150602</c:v>
                </c:pt>
                <c:pt idx="27">
                  <c:v>50.535961542150602</c:v>
                </c:pt>
                <c:pt idx="28">
                  <c:v>50.535961542150602</c:v>
                </c:pt>
                <c:pt idx="29">
                  <c:v>50.535961542150602</c:v>
                </c:pt>
                <c:pt idx="30">
                  <c:v>50.535961542150602</c:v>
                </c:pt>
                <c:pt idx="31">
                  <c:v>50.535961542150602</c:v>
                </c:pt>
                <c:pt idx="32">
                  <c:v>50.535961542150602</c:v>
                </c:pt>
                <c:pt idx="33">
                  <c:v>50.535961542150602</c:v>
                </c:pt>
                <c:pt idx="34">
                  <c:v>50.535961542150602</c:v>
                </c:pt>
                <c:pt idx="35">
                  <c:v>50.535961542150602</c:v>
                </c:pt>
                <c:pt idx="36">
                  <c:v>50.535961542150602</c:v>
                </c:pt>
                <c:pt idx="37">
                  <c:v>50.535961542150602</c:v>
                </c:pt>
                <c:pt idx="38">
                  <c:v>50.535961542150602</c:v>
                </c:pt>
                <c:pt idx="39">
                  <c:v>50.535961542150602</c:v>
                </c:pt>
                <c:pt idx="40">
                  <c:v>50.535961542150602</c:v>
                </c:pt>
                <c:pt idx="41">
                  <c:v>50.535961542150602</c:v>
                </c:pt>
                <c:pt idx="42">
                  <c:v>50.535961542150602</c:v>
                </c:pt>
                <c:pt idx="43">
                  <c:v>50.535961542150602</c:v>
                </c:pt>
                <c:pt idx="44">
                  <c:v>50.535961542150602</c:v>
                </c:pt>
                <c:pt idx="45">
                  <c:v>50.535961542150602</c:v>
                </c:pt>
                <c:pt idx="46">
                  <c:v>50.535961542150602</c:v>
                </c:pt>
                <c:pt idx="47">
                  <c:v>50.535961542150602</c:v>
                </c:pt>
                <c:pt idx="48">
                  <c:v>50.535961542150602</c:v>
                </c:pt>
                <c:pt idx="49">
                  <c:v>50.535961542150602</c:v>
                </c:pt>
                <c:pt idx="50">
                  <c:v>50.535961542150602</c:v>
                </c:pt>
                <c:pt idx="51">
                  <c:v>50.535961542150602</c:v>
                </c:pt>
                <c:pt idx="52">
                  <c:v>50.535961542150602</c:v>
                </c:pt>
                <c:pt idx="53">
                  <c:v>50.535961542150602</c:v>
                </c:pt>
                <c:pt idx="54">
                  <c:v>50.535961542150602</c:v>
                </c:pt>
                <c:pt idx="55">
                  <c:v>50.535961542150602</c:v>
                </c:pt>
                <c:pt idx="56">
                  <c:v>50.535961542150602</c:v>
                </c:pt>
                <c:pt idx="57">
                  <c:v>50.535961542150602</c:v>
                </c:pt>
                <c:pt idx="58">
                  <c:v>50.535961542150602</c:v>
                </c:pt>
                <c:pt idx="59">
                  <c:v>50.535961542150602</c:v>
                </c:pt>
                <c:pt idx="60">
                  <c:v>50.535961542150602</c:v>
                </c:pt>
                <c:pt idx="61">
                  <c:v>50.535961542150602</c:v>
                </c:pt>
                <c:pt idx="62">
                  <c:v>50.535961542150602</c:v>
                </c:pt>
                <c:pt idx="63">
                  <c:v>50.535961542150602</c:v>
                </c:pt>
                <c:pt idx="64">
                  <c:v>50.535961542150602</c:v>
                </c:pt>
                <c:pt idx="65">
                  <c:v>50.535961542150602</c:v>
                </c:pt>
                <c:pt idx="66">
                  <c:v>50.535961542150602</c:v>
                </c:pt>
                <c:pt idx="67">
                  <c:v>50.535961542150602</c:v>
                </c:pt>
                <c:pt idx="68">
                  <c:v>50.535961542150602</c:v>
                </c:pt>
                <c:pt idx="69">
                  <c:v>50.535961542150602</c:v>
                </c:pt>
                <c:pt idx="70">
                  <c:v>50.535961542150602</c:v>
                </c:pt>
                <c:pt idx="71">
                  <c:v>50.535961542150602</c:v>
                </c:pt>
                <c:pt idx="72">
                  <c:v>50.535961542150602</c:v>
                </c:pt>
                <c:pt idx="73">
                  <c:v>50.535961542150602</c:v>
                </c:pt>
                <c:pt idx="74">
                  <c:v>50.535961542150602</c:v>
                </c:pt>
                <c:pt idx="75">
                  <c:v>50.535961542150602</c:v>
                </c:pt>
                <c:pt idx="76">
                  <c:v>50.535961542150602</c:v>
                </c:pt>
                <c:pt idx="77">
                  <c:v>50.535961542150602</c:v>
                </c:pt>
                <c:pt idx="78">
                  <c:v>50.535961542150602</c:v>
                </c:pt>
                <c:pt idx="79">
                  <c:v>50.535961542150602</c:v>
                </c:pt>
                <c:pt idx="80">
                  <c:v>50.535961542150602</c:v>
                </c:pt>
                <c:pt idx="81">
                  <c:v>50.535961542150602</c:v>
                </c:pt>
                <c:pt idx="82">
                  <c:v>50.535961542150602</c:v>
                </c:pt>
                <c:pt idx="83">
                  <c:v>50.535961542150602</c:v>
                </c:pt>
                <c:pt idx="84">
                  <c:v>50.535961542150602</c:v>
                </c:pt>
                <c:pt idx="85">
                  <c:v>50.535961542150602</c:v>
                </c:pt>
                <c:pt idx="86">
                  <c:v>50.535961542150602</c:v>
                </c:pt>
                <c:pt idx="87">
                  <c:v>50.535961542150602</c:v>
                </c:pt>
                <c:pt idx="88">
                  <c:v>50.535961542150602</c:v>
                </c:pt>
                <c:pt idx="89">
                  <c:v>50.535961542150602</c:v>
                </c:pt>
                <c:pt idx="90">
                  <c:v>50.535961542150602</c:v>
                </c:pt>
                <c:pt idx="91">
                  <c:v>50.535961542150602</c:v>
                </c:pt>
                <c:pt idx="92">
                  <c:v>50.535961542150602</c:v>
                </c:pt>
                <c:pt idx="93">
                  <c:v>50.535961542150602</c:v>
                </c:pt>
                <c:pt idx="94">
                  <c:v>50.535961542150602</c:v>
                </c:pt>
                <c:pt idx="95">
                  <c:v>50.535961542150602</c:v>
                </c:pt>
                <c:pt idx="96">
                  <c:v>50.535961542150602</c:v>
                </c:pt>
                <c:pt idx="97">
                  <c:v>50.535961542150602</c:v>
                </c:pt>
                <c:pt idx="98">
                  <c:v>50.535961542150602</c:v>
                </c:pt>
                <c:pt idx="99">
                  <c:v>50.535961542150602</c:v>
                </c:pt>
                <c:pt idx="100">
                  <c:v>50.535961542150602</c:v>
                </c:pt>
                <c:pt idx="101">
                  <c:v>50.535961542150602</c:v>
                </c:pt>
                <c:pt idx="102">
                  <c:v>50.535961542150602</c:v>
                </c:pt>
                <c:pt idx="103">
                  <c:v>50.535961542150602</c:v>
                </c:pt>
                <c:pt idx="104">
                  <c:v>50.535961542150602</c:v>
                </c:pt>
                <c:pt idx="105">
                  <c:v>50.535961542150602</c:v>
                </c:pt>
                <c:pt idx="106">
                  <c:v>50.535961542150602</c:v>
                </c:pt>
                <c:pt idx="107">
                  <c:v>50.535961542150602</c:v>
                </c:pt>
                <c:pt idx="108">
                  <c:v>50.535961542150602</c:v>
                </c:pt>
                <c:pt idx="109">
                  <c:v>50.535961542150602</c:v>
                </c:pt>
                <c:pt idx="110">
                  <c:v>50.535961542150602</c:v>
                </c:pt>
                <c:pt idx="111">
                  <c:v>50.535961542150602</c:v>
                </c:pt>
                <c:pt idx="112">
                  <c:v>50.535961542150602</c:v>
                </c:pt>
                <c:pt idx="113">
                  <c:v>50.535961542150602</c:v>
                </c:pt>
                <c:pt idx="114">
                  <c:v>50.535961542150602</c:v>
                </c:pt>
                <c:pt idx="115">
                  <c:v>50.535961542150602</c:v>
                </c:pt>
                <c:pt idx="116">
                  <c:v>50.535961542150602</c:v>
                </c:pt>
                <c:pt idx="117">
                  <c:v>50.535961542150602</c:v>
                </c:pt>
                <c:pt idx="118">
                  <c:v>50.535961542150602</c:v>
                </c:pt>
                <c:pt idx="119">
                  <c:v>50.535961542150602</c:v>
                </c:pt>
                <c:pt idx="120">
                  <c:v>50.535961542150602</c:v>
                </c:pt>
                <c:pt idx="121">
                  <c:v>50.535961542150602</c:v>
                </c:pt>
                <c:pt idx="122">
                  <c:v>50.535961542150602</c:v>
                </c:pt>
                <c:pt idx="123">
                  <c:v>50.535961542150602</c:v>
                </c:pt>
                <c:pt idx="124">
                  <c:v>50.535961542150602</c:v>
                </c:pt>
                <c:pt idx="125">
                  <c:v>50.535961542150602</c:v>
                </c:pt>
                <c:pt idx="126">
                  <c:v>50.535961542150602</c:v>
                </c:pt>
                <c:pt idx="127">
                  <c:v>50.535961542150602</c:v>
                </c:pt>
                <c:pt idx="128">
                  <c:v>50.535961542150602</c:v>
                </c:pt>
                <c:pt idx="129">
                  <c:v>50.535961542150602</c:v>
                </c:pt>
                <c:pt idx="130">
                  <c:v>50.535961542150602</c:v>
                </c:pt>
                <c:pt idx="131">
                  <c:v>50.535961542150602</c:v>
                </c:pt>
                <c:pt idx="132">
                  <c:v>50.535961542150602</c:v>
                </c:pt>
                <c:pt idx="133">
                  <c:v>50.535961542150602</c:v>
                </c:pt>
                <c:pt idx="134">
                  <c:v>50.535961542150602</c:v>
                </c:pt>
                <c:pt idx="135">
                  <c:v>50.535961542150602</c:v>
                </c:pt>
                <c:pt idx="136">
                  <c:v>50.535961542150602</c:v>
                </c:pt>
                <c:pt idx="137">
                  <c:v>50.535961542150602</c:v>
                </c:pt>
                <c:pt idx="138">
                  <c:v>50.535961542150602</c:v>
                </c:pt>
                <c:pt idx="139">
                  <c:v>50.535961542150602</c:v>
                </c:pt>
                <c:pt idx="140">
                  <c:v>50.535961542150602</c:v>
                </c:pt>
                <c:pt idx="141">
                  <c:v>50.535961542150602</c:v>
                </c:pt>
                <c:pt idx="142">
                  <c:v>50.535961542150602</c:v>
                </c:pt>
                <c:pt idx="143">
                  <c:v>50.535961542150602</c:v>
                </c:pt>
                <c:pt idx="144">
                  <c:v>50.535961542150602</c:v>
                </c:pt>
                <c:pt idx="145">
                  <c:v>50.535961542150602</c:v>
                </c:pt>
                <c:pt idx="146">
                  <c:v>50.535961542150602</c:v>
                </c:pt>
                <c:pt idx="147">
                  <c:v>50.535961542150602</c:v>
                </c:pt>
                <c:pt idx="148">
                  <c:v>50.535961542150602</c:v>
                </c:pt>
                <c:pt idx="149">
                  <c:v>50.535961542150602</c:v>
                </c:pt>
                <c:pt idx="150">
                  <c:v>50.535961542150602</c:v>
                </c:pt>
                <c:pt idx="151">
                  <c:v>50.535961542150602</c:v>
                </c:pt>
                <c:pt idx="152">
                  <c:v>50.535961542150602</c:v>
                </c:pt>
                <c:pt idx="153">
                  <c:v>50.535961542150602</c:v>
                </c:pt>
                <c:pt idx="154">
                  <c:v>50.535961542150602</c:v>
                </c:pt>
                <c:pt idx="155">
                  <c:v>50.535961542150602</c:v>
                </c:pt>
                <c:pt idx="156">
                  <c:v>50.535961542150602</c:v>
                </c:pt>
                <c:pt idx="157">
                  <c:v>50.535961542150602</c:v>
                </c:pt>
                <c:pt idx="158">
                  <c:v>50.535961542150602</c:v>
                </c:pt>
                <c:pt idx="159">
                  <c:v>50.535961542150602</c:v>
                </c:pt>
                <c:pt idx="160">
                  <c:v>50.535961542150602</c:v>
                </c:pt>
                <c:pt idx="161">
                  <c:v>50.535961542150602</c:v>
                </c:pt>
                <c:pt idx="162">
                  <c:v>50.535961542150602</c:v>
                </c:pt>
                <c:pt idx="163">
                  <c:v>50.535961542150602</c:v>
                </c:pt>
                <c:pt idx="164">
                  <c:v>50.535961542150602</c:v>
                </c:pt>
                <c:pt idx="165">
                  <c:v>50.535961542150602</c:v>
                </c:pt>
                <c:pt idx="166">
                  <c:v>50.535961542150602</c:v>
                </c:pt>
                <c:pt idx="167">
                  <c:v>50.535961542150602</c:v>
                </c:pt>
                <c:pt idx="168">
                  <c:v>50.535961542150602</c:v>
                </c:pt>
                <c:pt idx="169">
                  <c:v>50.535961542150602</c:v>
                </c:pt>
                <c:pt idx="170">
                  <c:v>50.535961542150602</c:v>
                </c:pt>
                <c:pt idx="171">
                  <c:v>50.535961542150602</c:v>
                </c:pt>
                <c:pt idx="172">
                  <c:v>50.535961542150602</c:v>
                </c:pt>
                <c:pt idx="173">
                  <c:v>50.535961542150602</c:v>
                </c:pt>
                <c:pt idx="174">
                  <c:v>50.535961542150602</c:v>
                </c:pt>
                <c:pt idx="175">
                  <c:v>50.535961542150602</c:v>
                </c:pt>
                <c:pt idx="176">
                  <c:v>50.535961542150602</c:v>
                </c:pt>
                <c:pt idx="177">
                  <c:v>50.535961542150602</c:v>
                </c:pt>
                <c:pt idx="178">
                  <c:v>50.535961542150602</c:v>
                </c:pt>
                <c:pt idx="179">
                  <c:v>50.535961542150602</c:v>
                </c:pt>
                <c:pt idx="180">
                  <c:v>50.535961542150602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D-43B5-9F02-08708EBCBE20}"/>
            </c:ext>
          </c:extLst>
        </c:ser>
        <c:ser>
          <c:idx val="3"/>
          <c:order val="3"/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Statistik!$C$9:$C$192</c:f>
              <c:numCache>
                <c:formatCode>m/d/yyyy</c:formatCode>
                <c:ptCount val="184"/>
                <c:pt idx="1">
                  <c:v>40192</c:v>
                </c:pt>
                <c:pt idx="2">
                  <c:v>40225</c:v>
                </c:pt>
                <c:pt idx="3">
                  <c:v>40247</c:v>
                </c:pt>
                <c:pt idx="4">
                  <c:v>40290</c:v>
                </c:pt>
                <c:pt idx="5">
                  <c:v>40317</c:v>
                </c:pt>
                <c:pt idx="6">
                  <c:v>40346</c:v>
                </c:pt>
                <c:pt idx="7">
                  <c:v>40379</c:v>
                </c:pt>
                <c:pt idx="8">
                  <c:v>40416</c:v>
                </c:pt>
                <c:pt idx="9">
                  <c:v>40444</c:v>
                </c:pt>
                <c:pt idx="10">
                  <c:v>40471</c:v>
                </c:pt>
                <c:pt idx="11">
                  <c:v>40498</c:v>
                </c:pt>
                <c:pt idx="12">
                  <c:v>40526</c:v>
                </c:pt>
                <c:pt idx="13">
                  <c:v>40554</c:v>
                </c:pt>
                <c:pt idx="14">
                  <c:v>40589</c:v>
                </c:pt>
                <c:pt idx="15">
                  <c:v>40612</c:v>
                </c:pt>
                <c:pt idx="16">
                  <c:v>40646</c:v>
                </c:pt>
                <c:pt idx="17">
                  <c:v>40673</c:v>
                </c:pt>
                <c:pt idx="18">
                  <c:v>40710</c:v>
                </c:pt>
                <c:pt idx="19">
                  <c:v>40738</c:v>
                </c:pt>
                <c:pt idx="20">
                  <c:v>40778</c:v>
                </c:pt>
                <c:pt idx="21">
                  <c:v>40807</c:v>
                </c:pt>
                <c:pt idx="22">
                  <c:v>40834</c:v>
                </c:pt>
                <c:pt idx="23">
                  <c:v>40863</c:v>
                </c:pt>
                <c:pt idx="24">
                  <c:v>40896</c:v>
                </c:pt>
                <c:pt idx="25">
                  <c:v>40926</c:v>
                </c:pt>
                <c:pt idx="26">
                  <c:v>40949</c:v>
                </c:pt>
                <c:pt idx="27">
                  <c:v>40983</c:v>
                </c:pt>
                <c:pt idx="28">
                  <c:v>41012</c:v>
                </c:pt>
                <c:pt idx="29">
                  <c:v>41044</c:v>
                </c:pt>
                <c:pt idx="30">
                  <c:v>41078</c:v>
                </c:pt>
                <c:pt idx="31">
                  <c:v>41101</c:v>
                </c:pt>
                <c:pt idx="32">
                  <c:v>41136</c:v>
                </c:pt>
                <c:pt idx="33">
                  <c:v>41169</c:v>
                </c:pt>
                <c:pt idx="34">
                  <c:v>41193</c:v>
                </c:pt>
                <c:pt idx="35">
                  <c:v>41225</c:v>
                </c:pt>
                <c:pt idx="36">
                  <c:v>41263</c:v>
                </c:pt>
                <c:pt idx="37">
                  <c:v>41290</c:v>
                </c:pt>
                <c:pt idx="38">
                  <c:v>41323</c:v>
                </c:pt>
                <c:pt idx="39">
                  <c:v>41347</c:v>
                </c:pt>
                <c:pt idx="40">
                  <c:v>41379</c:v>
                </c:pt>
                <c:pt idx="41">
                  <c:v>41408</c:v>
                </c:pt>
                <c:pt idx="42">
                  <c:v>41443</c:v>
                </c:pt>
                <c:pt idx="43">
                  <c:v>41465</c:v>
                </c:pt>
                <c:pt idx="44">
                  <c:v>41500</c:v>
                </c:pt>
                <c:pt idx="45">
                  <c:v>41529</c:v>
                </c:pt>
                <c:pt idx="46">
                  <c:v>41572</c:v>
                </c:pt>
                <c:pt idx="47">
                  <c:v>41591</c:v>
                </c:pt>
                <c:pt idx="48">
                  <c:v>41619</c:v>
                </c:pt>
                <c:pt idx="49">
                  <c:v>41654</c:v>
                </c:pt>
                <c:pt idx="50">
                  <c:v>41681</c:v>
                </c:pt>
                <c:pt idx="51">
                  <c:v>41709</c:v>
                </c:pt>
                <c:pt idx="52">
                  <c:v>41743</c:v>
                </c:pt>
                <c:pt idx="53">
                  <c:v>41771</c:v>
                </c:pt>
                <c:pt idx="54">
                  <c:v>41807</c:v>
                </c:pt>
                <c:pt idx="55">
                  <c:v>41835</c:v>
                </c:pt>
                <c:pt idx="56">
                  <c:v>41863</c:v>
                </c:pt>
                <c:pt idx="57">
                  <c:v>41893</c:v>
                </c:pt>
                <c:pt idx="58">
                  <c:v>41929</c:v>
                </c:pt>
                <c:pt idx="59">
                  <c:v>41954</c:v>
                </c:pt>
                <c:pt idx="60">
                  <c:v>41985</c:v>
                </c:pt>
                <c:pt idx="61">
                  <c:v>42019</c:v>
                </c:pt>
                <c:pt idx="62">
                  <c:v>42045</c:v>
                </c:pt>
                <c:pt idx="63">
                  <c:v>42075</c:v>
                </c:pt>
                <c:pt idx="64">
                  <c:v>42107</c:v>
                </c:pt>
                <c:pt idx="65">
                  <c:v>42142</c:v>
                </c:pt>
                <c:pt idx="66">
                  <c:v>42172</c:v>
                </c:pt>
                <c:pt idx="67">
                  <c:v>42199</c:v>
                </c:pt>
                <c:pt idx="68">
                  <c:v>42234</c:v>
                </c:pt>
                <c:pt idx="69">
                  <c:v>42265</c:v>
                </c:pt>
                <c:pt idx="70">
                  <c:v>42290</c:v>
                </c:pt>
                <c:pt idx="71">
                  <c:v>42325</c:v>
                </c:pt>
                <c:pt idx="72">
                  <c:v>42352</c:v>
                </c:pt>
                <c:pt idx="73">
                  <c:v>42389</c:v>
                </c:pt>
                <c:pt idx="74">
                  <c:v>42416</c:v>
                </c:pt>
                <c:pt idx="75">
                  <c:v>42444</c:v>
                </c:pt>
                <c:pt idx="76">
                  <c:v>42472</c:v>
                </c:pt>
                <c:pt idx="77">
                  <c:v>42507</c:v>
                </c:pt>
                <c:pt idx="78">
                  <c:v>42536</c:v>
                </c:pt>
                <c:pt idx="79">
                  <c:v>42563</c:v>
                </c:pt>
                <c:pt idx="80">
                  <c:v>42592</c:v>
                </c:pt>
                <c:pt idx="81">
                  <c:v>42625</c:v>
                </c:pt>
                <c:pt idx="82">
                  <c:v>42661</c:v>
                </c:pt>
                <c:pt idx="83">
                  <c:v>42690</c:v>
                </c:pt>
                <c:pt idx="84">
                  <c:v>42724</c:v>
                </c:pt>
                <c:pt idx="85">
                  <c:v>42752</c:v>
                </c:pt>
                <c:pt idx="86">
                  <c:v>42773</c:v>
                </c:pt>
                <c:pt idx="87">
                  <c:v>42808</c:v>
                </c:pt>
                <c:pt idx="88">
                  <c:v>42837</c:v>
                </c:pt>
                <c:pt idx="89">
                  <c:v>42871</c:v>
                </c:pt>
                <c:pt idx="90">
                  <c:v>42901</c:v>
                </c:pt>
                <c:pt idx="91">
                  <c:v>42927</c:v>
                </c:pt>
                <c:pt idx="92">
                  <c:v>42963</c:v>
                </c:pt>
                <c:pt idx="93">
                  <c:v>42990</c:v>
                </c:pt>
                <c:pt idx="94">
                  <c:v>43027</c:v>
                </c:pt>
                <c:pt idx="95">
                  <c:v>43053</c:v>
                </c:pt>
                <c:pt idx="96">
                  <c:v>43081</c:v>
                </c:pt>
                <c:pt idx="97">
                  <c:v>43117</c:v>
                </c:pt>
                <c:pt idx="98">
                  <c:v>43151</c:v>
                </c:pt>
                <c:pt idx="99">
                  <c:v>43172</c:v>
                </c:pt>
                <c:pt idx="100">
                  <c:v>43200</c:v>
                </c:pt>
                <c:pt idx="101">
                  <c:v>43229</c:v>
                </c:pt>
                <c:pt idx="102">
                  <c:v>43270</c:v>
                </c:pt>
                <c:pt idx="103">
                  <c:v>43297</c:v>
                </c:pt>
                <c:pt idx="104">
                  <c:v>43333</c:v>
                </c:pt>
                <c:pt idx="105">
                  <c:v>43361</c:v>
                </c:pt>
                <c:pt idx="106">
                  <c:v>43389</c:v>
                </c:pt>
                <c:pt idx="107">
                  <c:v>43424</c:v>
                </c:pt>
                <c:pt idx="108">
                  <c:v>43447</c:v>
                </c:pt>
                <c:pt idx="109">
                  <c:v>43475</c:v>
                </c:pt>
                <c:pt idx="110">
                  <c:v>43515</c:v>
                </c:pt>
                <c:pt idx="111">
                  <c:v>43536</c:v>
                </c:pt>
                <c:pt idx="112">
                  <c:v>43571</c:v>
                </c:pt>
                <c:pt idx="113">
                  <c:v>43600</c:v>
                </c:pt>
                <c:pt idx="114">
                  <c:v>43635</c:v>
                </c:pt>
                <c:pt idx="115">
                  <c:v>43662</c:v>
                </c:pt>
                <c:pt idx="116">
                  <c:v>43698</c:v>
                </c:pt>
                <c:pt idx="117">
                  <c:v>43725</c:v>
                </c:pt>
                <c:pt idx="118">
                  <c:v>43748</c:v>
                </c:pt>
                <c:pt idx="119">
                  <c:v>43782</c:v>
                </c:pt>
                <c:pt idx="120">
                  <c:v>43812</c:v>
                </c:pt>
                <c:pt idx="121">
                  <c:v>43844</c:v>
                </c:pt>
                <c:pt idx="122">
                  <c:v>43879</c:v>
                </c:pt>
                <c:pt idx="123">
                  <c:v>43907</c:v>
                </c:pt>
                <c:pt idx="124">
                  <c:v>43942</c:v>
                </c:pt>
                <c:pt idx="125">
                  <c:v>43969</c:v>
                </c:pt>
                <c:pt idx="126">
                  <c:v>43992</c:v>
                </c:pt>
                <c:pt idx="127">
                  <c:v>44026</c:v>
                </c:pt>
                <c:pt idx="128">
                  <c:v>44062</c:v>
                </c:pt>
                <c:pt idx="129">
                  <c:v>44090</c:v>
                </c:pt>
                <c:pt idx="130">
                  <c:v>44117</c:v>
                </c:pt>
                <c:pt idx="131">
                  <c:v>44153</c:v>
                </c:pt>
                <c:pt idx="132">
                  <c:v>44180</c:v>
                </c:pt>
                <c:pt idx="133">
                  <c:v>44222</c:v>
                </c:pt>
                <c:pt idx="134">
                  <c:v>44251</c:v>
                </c:pt>
                <c:pt idx="135">
                  <c:v>44284</c:v>
                </c:pt>
                <c:pt idx="136">
                  <c:v>44315</c:v>
                </c:pt>
                <c:pt idx="137">
                  <c:v>44344</c:v>
                </c:pt>
                <c:pt idx="138">
                  <c:v>44365</c:v>
                </c:pt>
                <c:pt idx="139">
                  <c:v>44390</c:v>
                </c:pt>
                <c:pt idx="140">
                  <c:v>44431</c:v>
                </c:pt>
                <c:pt idx="141">
                  <c:v>44459</c:v>
                </c:pt>
                <c:pt idx="142">
                  <c:v>44489</c:v>
                </c:pt>
                <c:pt idx="143">
                  <c:v>44530</c:v>
                </c:pt>
                <c:pt idx="144">
                  <c:v>44550</c:v>
                </c:pt>
                <c:pt idx="145">
                  <c:v>44580</c:v>
                </c:pt>
                <c:pt idx="146">
                  <c:v>44607</c:v>
                </c:pt>
                <c:pt idx="147">
                  <c:v>44637</c:v>
                </c:pt>
                <c:pt idx="148">
                  <c:v>44670</c:v>
                </c:pt>
                <c:pt idx="149">
                  <c:v>44698</c:v>
                </c:pt>
                <c:pt idx="150">
                  <c:v>44735</c:v>
                </c:pt>
                <c:pt idx="151">
                  <c:v>44761</c:v>
                </c:pt>
                <c:pt idx="152">
                  <c:v>44795</c:v>
                </c:pt>
                <c:pt idx="153">
                  <c:v>44826</c:v>
                </c:pt>
                <c:pt idx="154">
                  <c:v>44858</c:v>
                </c:pt>
                <c:pt idx="155">
                  <c:v>44881</c:v>
                </c:pt>
                <c:pt idx="156">
                  <c:v>44916</c:v>
                </c:pt>
                <c:pt idx="157">
                  <c:v>44944</c:v>
                </c:pt>
                <c:pt idx="158">
                  <c:v>44970</c:v>
                </c:pt>
                <c:pt idx="159">
                  <c:v>45006</c:v>
                </c:pt>
                <c:pt idx="160">
                  <c:v>45034</c:v>
                </c:pt>
                <c:pt idx="161">
                  <c:v>45061</c:v>
                </c:pt>
                <c:pt idx="162">
                  <c:v>45096</c:v>
                </c:pt>
                <c:pt idx="163">
                  <c:v>45125</c:v>
                </c:pt>
                <c:pt idx="164">
                  <c:v>45155</c:v>
                </c:pt>
                <c:pt idx="165">
                  <c:v>45187</c:v>
                </c:pt>
                <c:pt idx="166">
                  <c:v>45210</c:v>
                </c:pt>
                <c:pt idx="167">
                  <c:v>45244</c:v>
                </c:pt>
                <c:pt idx="168">
                  <c:v>45279</c:v>
                </c:pt>
                <c:pt idx="169">
                  <c:v>45309</c:v>
                </c:pt>
                <c:pt idx="170">
                  <c:v>45346</c:v>
                </c:pt>
                <c:pt idx="171">
                  <c:v>45371</c:v>
                </c:pt>
                <c:pt idx="172">
                  <c:v>45398</c:v>
                </c:pt>
                <c:pt idx="173">
                  <c:v>45427</c:v>
                </c:pt>
                <c:pt idx="174">
                  <c:v>45456</c:v>
                </c:pt>
                <c:pt idx="175">
                  <c:v>45483</c:v>
                </c:pt>
                <c:pt idx="176">
                  <c:v>45524</c:v>
                </c:pt>
                <c:pt idx="177">
                  <c:v>45552</c:v>
                </c:pt>
                <c:pt idx="178">
                  <c:v>45575</c:v>
                </c:pt>
                <c:pt idx="179">
                  <c:v>45610</c:v>
                </c:pt>
                <c:pt idx="180">
                  <c:v>45642</c:v>
                </c:pt>
              </c:numCache>
            </c:numRef>
          </c:cat>
          <c:val>
            <c:numRef>
              <c:f>Statistik!$AU$9:$AU$192</c:f>
              <c:numCache>
                <c:formatCode>0</c:formatCode>
                <c:ptCount val="184"/>
                <c:pt idx="0">
                  <c:v>15.67409432377119</c:v>
                </c:pt>
                <c:pt idx="1">
                  <c:v>15.67409432377119</c:v>
                </c:pt>
                <c:pt idx="2">
                  <c:v>15.67409432377119</c:v>
                </c:pt>
                <c:pt idx="3">
                  <c:v>15.67409432377119</c:v>
                </c:pt>
                <c:pt idx="4">
                  <c:v>15.67409432377119</c:v>
                </c:pt>
                <c:pt idx="5">
                  <c:v>15.67409432377119</c:v>
                </c:pt>
                <c:pt idx="6">
                  <c:v>15.67409432377119</c:v>
                </c:pt>
                <c:pt idx="7">
                  <c:v>15.67409432377119</c:v>
                </c:pt>
                <c:pt idx="8">
                  <c:v>15.67409432377119</c:v>
                </c:pt>
                <c:pt idx="9">
                  <c:v>15.67409432377119</c:v>
                </c:pt>
                <c:pt idx="10">
                  <c:v>15.67409432377119</c:v>
                </c:pt>
                <c:pt idx="11">
                  <c:v>15.67409432377119</c:v>
                </c:pt>
                <c:pt idx="12">
                  <c:v>15.67409432377119</c:v>
                </c:pt>
                <c:pt idx="13">
                  <c:v>15.67409432377119</c:v>
                </c:pt>
                <c:pt idx="14">
                  <c:v>15.67409432377119</c:v>
                </c:pt>
                <c:pt idx="15">
                  <c:v>15.67409432377119</c:v>
                </c:pt>
                <c:pt idx="16">
                  <c:v>15.67409432377119</c:v>
                </c:pt>
                <c:pt idx="17">
                  <c:v>15.67409432377119</c:v>
                </c:pt>
                <c:pt idx="18">
                  <c:v>15.67409432377119</c:v>
                </c:pt>
                <c:pt idx="19">
                  <c:v>15.67409432377119</c:v>
                </c:pt>
                <c:pt idx="20">
                  <c:v>15.67409432377119</c:v>
                </c:pt>
                <c:pt idx="21">
                  <c:v>15.67409432377119</c:v>
                </c:pt>
                <c:pt idx="22">
                  <c:v>15.67409432377119</c:v>
                </c:pt>
                <c:pt idx="23">
                  <c:v>15.67409432377119</c:v>
                </c:pt>
                <c:pt idx="24">
                  <c:v>15.67409432377119</c:v>
                </c:pt>
                <c:pt idx="25">
                  <c:v>15.67409432377119</c:v>
                </c:pt>
                <c:pt idx="26">
                  <c:v>15.67409432377119</c:v>
                </c:pt>
                <c:pt idx="27">
                  <c:v>15.67409432377119</c:v>
                </c:pt>
                <c:pt idx="28">
                  <c:v>15.67409432377119</c:v>
                </c:pt>
                <c:pt idx="29">
                  <c:v>15.67409432377119</c:v>
                </c:pt>
                <c:pt idx="30">
                  <c:v>15.67409432377119</c:v>
                </c:pt>
                <c:pt idx="31">
                  <c:v>15.67409432377119</c:v>
                </c:pt>
                <c:pt idx="32">
                  <c:v>15.67409432377119</c:v>
                </c:pt>
                <c:pt idx="33">
                  <c:v>15.67409432377119</c:v>
                </c:pt>
                <c:pt idx="34">
                  <c:v>15.67409432377119</c:v>
                </c:pt>
                <c:pt idx="35">
                  <c:v>15.67409432377119</c:v>
                </c:pt>
                <c:pt idx="36">
                  <c:v>15.67409432377119</c:v>
                </c:pt>
                <c:pt idx="37">
                  <c:v>15.67409432377119</c:v>
                </c:pt>
                <c:pt idx="38">
                  <c:v>15.67409432377119</c:v>
                </c:pt>
                <c:pt idx="39">
                  <c:v>15.67409432377119</c:v>
                </c:pt>
                <c:pt idx="40">
                  <c:v>15.67409432377119</c:v>
                </c:pt>
                <c:pt idx="41">
                  <c:v>15.67409432377119</c:v>
                </c:pt>
                <c:pt idx="42">
                  <c:v>15.67409432377119</c:v>
                </c:pt>
                <c:pt idx="43">
                  <c:v>15.67409432377119</c:v>
                </c:pt>
                <c:pt idx="44">
                  <c:v>15.67409432377119</c:v>
                </c:pt>
                <c:pt idx="45">
                  <c:v>15.67409432377119</c:v>
                </c:pt>
                <c:pt idx="46">
                  <c:v>15.67409432377119</c:v>
                </c:pt>
                <c:pt idx="47">
                  <c:v>15.67409432377119</c:v>
                </c:pt>
                <c:pt idx="48">
                  <c:v>15.67409432377119</c:v>
                </c:pt>
                <c:pt idx="49">
                  <c:v>15.67409432377119</c:v>
                </c:pt>
                <c:pt idx="50">
                  <c:v>15.67409432377119</c:v>
                </c:pt>
                <c:pt idx="51">
                  <c:v>15.67409432377119</c:v>
                </c:pt>
                <c:pt idx="52">
                  <c:v>15.67409432377119</c:v>
                </c:pt>
                <c:pt idx="53">
                  <c:v>15.67409432377119</c:v>
                </c:pt>
                <c:pt idx="54">
                  <c:v>15.67409432377119</c:v>
                </c:pt>
                <c:pt idx="55">
                  <c:v>15.67409432377119</c:v>
                </c:pt>
                <c:pt idx="56">
                  <c:v>15.67409432377119</c:v>
                </c:pt>
                <c:pt idx="57">
                  <c:v>15.67409432377119</c:v>
                </c:pt>
                <c:pt idx="58">
                  <c:v>15.67409432377119</c:v>
                </c:pt>
                <c:pt idx="59">
                  <c:v>15.67409432377119</c:v>
                </c:pt>
                <c:pt idx="60">
                  <c:v>15.67409432377119</c:v>
                </c:pt>
                <c:pt idx="61">
                  <c:v>15.67409432377119</c:v>
                </c:pt>
                <c:pt idx="62">
                  <c:v>15.67409432377119</c:v>
                </c:pt>
                <c:pt idx="63">
                  <c:v>15.67409432377119</c:v>
                </c:pt>
                <c:pt idx="64">
                  <c:v>15.67409432377119</c:v>
                </c:pt>
                <c:pt idx="65">
                  <c:v>15.67409432377119</c:v>
                </c:pt>
                <c:pt idx="66">
                  <c:v>15.67409432377119</c:v>
                </c:pt>
                <c:pt idx="67">
                  <c:v>15.67409432377119</c:v>
                </c:pt>
                <c:pt idx="68">
                  <c:v>15.67409432377119</c:v>
                </c:pt>
                <c:pt idx="69">
                  <c:v>15.67409432377119</c:v>
                </c:pt>
                <c:pt idx="70">
                  <c:v>15.67409432377119</c:v>
                </c:pt>
                <c:pt idx="71">
                  <c:v>15.67409432377119</c:v>
                </c:pt>
                <c:pt idx="72">
                  <c:v>15.67409432377119</c:v>
                </c:pt>
                <c:pt idx="73">
                  <c:v>15.67409432377119</c:v>
                </c:pt>
                <c:pt idx="74">
                  <c:v>15.67409432377119</c:v>
                </c:pt>
                <c:pt idx="75">
                  <c:v>15.67409432377119</c:v>
                </c:pt>
                <c:pt idx="76">
                  <c:v>15.67409432377119</c:v>
                </c:pt>
                <c:pt idx="77">
                  <c:v>15.67409432377119</c:v>
                </c:pt>
                <c:pt idx="78">
                  <c:v>15.67409432377119</c:v>
                </c:pt>
                <c:pt idx="79">
                  <c:v>15.67409432377119</c:v>
                </c:pt>
                <c:pt idx="80">
                  <c:v>15.67409432377119</c:v>
                </c:pt>
                <c:pt idx="81">
                  <c:v>15.67409432377119</c:v>
                </c:pt>
                <c:pt idx="82">
                  <c:v>15.67409432377119</c:v>
                </c:pt>
                <c:pt idx="83">
                  <c:v>15.67409432377119</c:v>
                </c:pt>
                <c:pt idx="84">
                  <c:v>15.67409432377119</c:v>
                </c:pt>
                <c:pt idx="85">
                  <c:v>15.67409432377119</c:v>
                </c:pt>
                <c:pt idx="86">
                  <c:v>15.67409432377119</c:v>
                </c:pt>
                <c:pt idx="87">
                  <c:v>15.67409432377119</c:v>
                </c:pt>
                <c:pt idx="88">
                  <c:v>15.67409432377119</c:v>
                </c:pt>
                <c:pt idx="89">
                  <c:v>15.67409432377119</c:v>
                </c:pt>
                <c:pt idx="90">
                  <c:v>15.67409432377119</c:v>
                </c:pt>
                <c:pt idx="91">
                  <c:v>15.67409432377119</c:v>
                </c:pt>
                <c:pt idx="92">
                  <c:v>15.67409432377119</c:v>
                </c:pt>
                <c:pt idx="93">
                  <c:v>15.67409432377119</c:v>
                </c:pt>
                <c:pt idx="94">
                  <c:v>15.67409432377119</c:v>
                </c:pt>
                <c:pt idx="95">
                  <c:v>15.67409432377119</c:v>
                </c:pt>
                <c:pt idx="96">
                  <c:v>15.67409432377119</c:v>
                </c:pt>
                <c:pt idx="97">
                  <c:v>15.67409432377119</c:v>
                </c:pt>
                <c:pt idx="98">
                  <c:v>15.67409432377119</c:v>
                </c:pt>
                <c:pt idx="99">
                  <c:v>15.67409432377119</c:v>
                </c:pt>
                <c:pt idx="100">
                  <c:v>15.67409432377119</c:v>
                </c:pt>
                <c:pt idx="101">
                  <c:v>15.67409432377119</c:v>
                </c:pt>
                <c:pt idx="102">
                  <c:v>15.67409432377119</c:v>
                </c:pt>
                <c:pt idx="103">
                  <c:v>15.67409432377119</c:v>
                </c:pt>
                <c:pt idx="104">
                  <c:v>15.67409432377119</c:v>
                </c:pt>
                <c:pt idx="105">
                  <c:v>15.67409432377119</c:v>
                </c:pt>
                <c:pt idx="106">
                  <c:v>15.67409432377119</c:v>
                </c:pt>
                <c:pt idx="107">
                  <c:v>15.67409432377119</c:v>
                </c:pt>
                <c:pt idx="108">
                  <c:v>15.67409432377119</c:v>
                </c:pt>
                <c:pt idx="109">
                  <c:v>15.67409432377119</c:v>
                </c:pt>
                <c:pt idx="110">
                  <c:v>15.67409432377119</c:v>
                </c:pt>
                <c:pt idx="111">
                  <c:v>15.67409432377119</c:v>
                </c:pt>
                <c:pt idx="112">
                  <c:v>15.67409432377119</c:v>
                </c:pt>
                <c:pt idx="113">
                  <c:v>15.67409432377119</c:v>
                </c:pt>
                <c:pt idx="114">
                  <c:v>15.67409432377119</c:v>
                </c:pt>
                <c:pt idx="115">
                  <c:v>15.67409432377119</c:v>
                </c:pt>
                <c:pt idx="116">
                  <c:v>15.67409432377119</c:v>
                </c:pt>
                <c:pt idx="117">
                  <c:v>15.67409432377119</c:v>
                </c:pt>
                <c:pt idx="118">
                  <c:v>15.67409432377119</c:v>
                </c:pt>
                <c:pt idx="119">
                  <c:v>15.67409432377119</c:v>
                </c:pt>
                <c:pt idx="120">
                  <c:v>15.67409432377119</c:v>
                </c:pt>
                <c:pt idx="121">
                  <c:v>15.67409432377119</c:v>
                </c:pt>
                <c:pt idx="122">
                  <c:v>15.67409432377119</c:v>
                </c:pt>
                <c:pt idx="123">
                  <c:v>15.67409432377119</c:v>
                </c:pt>
                <c:pt idx="124">
                  <c:v>15.67409432377119</c:v>
                </c:pt>
                <c:pt idx="125">
                  <c:v>15.67409432377119</c:v>
                </c:pt>
                <c:pt idx="126">
                  <c:v>15.67409432377119</c:v>
                </c:pt>
                <c:pt idx="127">
                  <c:v>15.67409432377119</c:v>
                </c:pt>
                <c:pt idx="128">
                  <c:v>15.67409432377119</c:v>
                </c:pt>
                <c:pt idx="129">
                  <c:v>15.67409432377119</c:v>
                </c:pt>
                <c:pt idx="130">
                  <c:v>15.67409432377119</c:v>
                </c:pt>
                <c:pt idx="131">
                  <c:v>15.67409432377119</c:v>
                </c:pt>
                <c:pt idx="132">
                  <c:v>15.67409432377119</c:v>
                </c:pt>
                <c:pt idx="133">
                  <c:v>15.67409432377119</c:v>
                </c:pt>
                <c:pt idx="134">
                  <c:v>15.67409432377119</c:v>
                </c:pt>
                <c:pt idx="135">
                  <c:v>15.67409432377119</c:v>
                </c:pt>
                <c:pt idx="136">
                  <c:v>15.67409432377119</c:v>
                </c:pt>
                <c:pt idx="137">
                  <c:v>15.67409432377119</c:v>
                </c:pt>
                <c:pt idx="138">
                  <c:v>15.67409432377119</c:v>
                </c:pt>
                <c:pt idx="139">
                  <c:v>15.67409432377119</c:v>
                </c:pt>
                <c:pt idx="140">
                  <c:v>15.67409432377119</c:v>
                </c:pt>
                <c:pt idx="141">
                  <c:v>15.67409432377119</c:v>
                </c:pt>
                <c:pt idx="142">
                  <c:v>15.67409432377119</c:v>
                </c:pt>
                <c:pt idx="143">
                  <c:v>15.67409432377119</c:v>
                </c:pt>
                <c:pt idx="144">
                  <c:v>15.67409432377119</c:v>
                </c:pt>
                <c:pt idx="145">
                  <c:v>15.67409432377119</c:v>
                </c:pt>
                <c:pt idx="146">
                  <c:v>15.67409432377119</c:v>
                </c:pt>
                <c:pt idx="147">
                  <c:v>15.67409432377119</c:v>
                </c:pt>
                <c:pt idx="148">
                  <c:v>15.67409432377119</c:v>
                </c:pt>
                <c:pt idx="149">
                  <c:v>15.67409432377119</c:v>
                </c:pt>
                <c:pt idx="150">
                  <c:v>15.67409432377119</c:v>
                </c:pt>
                <c:pt idx="151">
                  <c:v>15.67409432377119</c:v>
                </c:pt>
                <c:pt idx="152">
                  <c:v>15.67409432377119</c:v>
                </c:pt>
                <c:pt idx="153">
                  <c:v>15.67409432377119</c:v>
                </c:pt>
                <c:pt idx="154">
                  <c:v>15.67409432377119</c:v>
                </c:pt>
                <c:pt idx="155">
                  <c:v>15.67409432377119</c:v>
                </c:pt>
                <c:pt idx="156">
                  <c:v>15.67409432377119</c:v>
                </c:pt>
                <c:pt idx="157">
                  <c:v>15.67409432377119</c:v>
                </c:pt>
                <c:pt idx="158">
                  <c:v>15.67409432377119</c:v>
                </c:pt>
                <c:pt idx="159">
                  <c:v>15.67409432377119</c:v>
                </c:pt>
                <c:pt idx="160">
                  <c:v>15.67409432377119</c:v>
                </c:pt>
                <c:pt idx="161">
                  <c:v>15.67409432377119</c:v>
                </c:pt>
                <c:pt idx="162">
                  <c:v>15.67409432377119</c:v>
                </c:pt>
                <c:pt idx="163">
                  <c:v>15.67409432377119</c:v>
                </c:pt>
                <c:pt idx="164">
                  <c:v>15.67409432377119</c:v>
                </c:pt>
                <c:pt idx="165">
                  <c:v>15.67409432377119</c:v>
                </c:pt>
                <c:pt idx="166">
                  <c:v>15.67409432377119</c:v>
                </c:pt>
                <c:pt idx="167">
                  <c:v>15.67409432377119</c:v>
                </c:pt>
                <c:pt idx="168">
                  <c:v>15.67409432377119</c:v>
                </c:pt>
                <c:pt idx="169">
                  <c:v>15.67409432377119</c:v>
                </c:pt>
                <c:pt idx="170">
                  <c:v>15.67409432377119</c:v>
                </c:pt>
                <c:pt idx="171">
                  <c:v>15.67409432377119</c:v>
                </c:pt>
                <c:pt idx="172">
                  <c:v>15.67409432377119</c:v>
                </c:pt>
                <c:pt idx="173">
                  <c:v>15.67409432377119</c:v>
                </c:pt>
                <c:pt idx="174">
                  <c:v>15.67409432377119</c:v>
                </c:pt>
                <c:pt idx="175">
                  <c:v>15.67409432377119</c:v>
                </c:pt>
                <c:pt idx="176">
                  <c:v>15.67409432377119</c:v>
                </c:pt>
                <c:pt idx="177">
                  <c:v>15.67409432377119</c:v>
                </c:pt>
                <c:pt idx="178">
                  <c:v>15.67409432377119</c:v>
                </c:pt>
                <c:pt idx="179">
                  <c:v>15.67409432377119</c:v>
                </c:pt>
                <c:pt idx="180">
                  <c:v>15.67409432377119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AD-43B5-9F02-08708EBC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71616"/>
        <c:axId val="244673152"/>
      </c:lineChart>
      <c:dateAx>
        <c:axId val="2446716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673152"/>
        <c:crosses val="autoZero"/>
        <c:auto val="0"/>
        <c:lblOffset val="100"/>
        <c:baseTimeUnit val="months"/>
        <c:majorUnit val="1"/>
        <c:majorTimeUnit val="years"/>
      </c:dateAx>
      <c:valAx>
        <c:axId val="244673152"/>
        <c:scaling>
          <c:orientation val="minMax"/>
          <c:max val="2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44671616"/>
        <c:crosses val="autoZero"/>
        <c:crossBetween val="between"/>
        <c:majorUnit val="50"/>
      </c:valAx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84329029255255339"/>
          <c:y val="2.7777777777777776E-2"/>
          <c:w val="0.14939709318784877"/>
          <c:h val="0.316991834354039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sv-SE" sz="1000">
                <a:latin typeface="Arial" panose="020B0604020202020204" pitchFamily="34" charset="0"/>
                <a:cs typeface="Arial" panose="020B0604020202020204" pitchFamily="34" charset="0"/>
              </a:rPr>
              <a:t>Årets resultat,</a:t>
            </a:r>
            <a:r>
              <a:rPr lang="sv-SE" sz="1000" baseline="0">
                <a:latin typeface="Arial" panose="020B0604020202020204" pitchFamily="34" charset="0"/>
                <a:cs typeface="Arial" panose="020B0604020202020204" pitchFamily="34" charset="0"/>
              </a:rPr>
              <a:t> PO4-P</a:t>
            </a:r>
            <a:endParaRPr lang="sv-SE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855071410085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920734615348"/>
          <c:y val="0.13646151061593179"/>
          <c:w val="0.85071241889286831"/>
          <c:h val="0.55506259534634073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</c:spPr>
          </c:marker>
          <c:cat>
            <c:numRef>
              <c:f>Diagram!$AR$171:$AR$182</c:f>
              <c:numCache>
                <c:formatCode>m/d/yyyy</c:formatCode>
                <c:ptCount val="12"/>
                <c:pt idx="0">
                  <c:v>45671</c:v>
                </c:pt>
                <c:pt idx="1">
                  <c:v>45706</c:v>
                </c:pt>
                <c:pt idx="2">
                  <c:v>45734</c:v>
                </c:pt>
                <c:pt idx="3">
                  <c:v>45761</c:v>
                </c:pt>
                <c:pt idx="4">
                  <c:v>45790</c:v>
                </c:pt>
                <c:pt idx="5">
                  <c:v>45826</c:v>
                </c:pt>
              </c:numCache>
            </c:numRef>
          </c:cat>
          <c:val>
            <c:numRef>
              <c:f>Diagram!$AS$171:$AS$182</c:f>
              <c:numCache>
                <c:formatCode>General</c:formatCode>
                <c:ptCount val="12"/>
                <c:pt idx="0">
                  <c:v>42</c:v>
                </c:pt>
                <c:pt idx="1">
                  <c:v>37</c:v>
                </c:pt>
                <c:pt idx="2">
                  <c:v>6.1</c:v>
                </c:pt>
                <c:pt idx="3">
                  <c:v>14</c:v>
                </c:pt>
                <c:pt idx="4">
                  <c:v>20</c:v>
                </c:pt>
                <c:pt idx="5">
                  <c:v>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8-42ED-BCC0-62C5CC3D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694016"/>
        <c:axId val="244700288"/>
      </c:lineChart>
      <c:dateAx>
        <c:axId val="2446940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sv-SE"/>
          </a:p>
        </c:txPr>
        <c:crossAx val="244700288"/>
        <c:crosses val="autoZero"/>
        <c:auto val="1"/>
        <c:lblOffset val="100"/>
        <c:baseTimeUnit val="days"/>
        <c:majorUnit val="1"/>
      </c:dateAx>
      <c:valAx>
        <c:axId val="244700288"/>
        <c:scaling>
          <c:orientation val="minMax"/>
          <c:max val="20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4694016"/>
        <c:crosses val="autoZero"/>
        <c:crossBetween val="between"/>
        <c:majorUnit val="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(Resultat!$B$5,Resultat!$B$27,Resultat!$B$39,Resultat!$B$61,Resultat!$B$73,Resultat!$B$95)</c:f>
              <c:strCache>
                <c:ptCount val="6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</c:strCache>
            </c:strRef>
          </c:cat>
          <c:val>
            <c:numRef>
              <c:f>(Resultat!#REF!,Resultat!#REF!,Resultat!#REF!,Resultat!#REF!,Resultat!#REF!,Resultat!#REF!)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1C0-A57C-96B09AEF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16160"/>
        <c:axId val="247117696"/>
      </c:barChart>
      <c:catAx>
        <c:axId val="2471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4711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11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4711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60364972631339"/>
          <c:y val="0.21388086905803441"/>
          <c:w val="0.7332561481612489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Syreprofiler!$C$29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Syreprofiler!$C$31:$C$47</c:f>
              <c:numCache>
                <c:formatCode>0.0</c:formatCode>
                <c:ptCount val="17"/>
                <c:pt idx="0">
                  <c:v>9.4</c:v>
                </c:pt>
                <c:pt idx="15">
                  <c:v>9.5</c:v>
                </c:pt>
              </c:numCache>
            </c:numRef>
          </c:xVal>
          <c:yVal>
            <c:numRef>
              <c:f>Syreprofiler!$B$31:$B$47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66-4954-8C4E-8F733A90F0B9}"/>
            </c:ext>
          </c:extLst>
        </c:ser>
        <c:ser>
          <c:idx val="1"/>
          <c:order val="1"/>
          <c:tx>
            <c:strRef>
              <c:f>Syreprofiler!$D$29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Syreprofiler!$D$31:$D$47</c:f>
              <c:numCache>
                <c:formatCode>0.0</c:formatCode>
                <c:ptCount val="17"/>
                <c:pt idx="0">
                  <c:v>11.78</c:v>
                </c:pt>
                <c:pt idx="15">
                  <c:v>11.41</c:v>
                </c:pt>
              </c:numCache>
            </c:numRef>
          </c:xVal>
          <c:yVal>
            <c:numRef>
              <c:f>Syreprofiler!$B$31:$B$47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66-4954-8C4E-8F733A90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</a:t>
                </a:r>
                <a:r>
                  <a:rPr lang="sv-SE"/>
                  <a:t>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6134627873067"/>
          <c:y val="0.21388086905803441"/>
          <c:w val="0.7480984516088317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Syreprofiler!$M$29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Syreprofiler!$M$31:$M$47</c:f>
              <c:numCache>
                <c:formatCode>0.0</c:formatCode>
                <c:ptCount val="17"/>
                <c:pt idx="0">
                  <c:v>12</c:v>
                </c:pt>
                <c:pt idx="8">
                  <c:v>11.4</c:v>
                </c:pt>
              </c:numCache>
            </c:numRef>
          </c:xVal>
          <c:yVal>
            <c:numRef>
              <c:f>Syreprofiler!$L$31:$L$47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13-4B2B-B916-4561D7C9AEE0}"/>
            </c:ext>
          </c:extLst>
        </c:ser>
        <c:ser>
          <c:idx val="1"/>
          <c:order val="1"/>
          <c:tx>
            <c:strRef>
              <c:f>Syreprofiler!$N$29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Syreprofiler!$N$31:$N$47</c:f>
              <c:numCache>
                <c:formatCode>0.0</c:formatCode>
                <c:ptCount val="17"/>
                <c:pt idx="0">
                  <c:v>10.79</c:v>
                </c:pt>
                <c:pt idx="8">
                  <c:v>10.52</c:v>
                </c:pt>
              </c:numCache>
            </c:numRef>
          </c:xVal>
          <c:yVal>
            <c:numRef>
              <c:f>Syreprofiler!$L$31:$L$47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13-4B2B-B916-4561D7C9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1391179620309"/>
          <c:y val="0.21388086905803441"/>
          <c:w val="0.7530458860913593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Syreprofiler!$W$29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Syreprofiler!$W$31:$W$47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Syreprofiler!$V$31:$V$47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25-4F30-9E49-B8706F93EA68}"/>
            </c:ext>
          </c:extLst>
        </c:ser>
        <c:ser>
          <c:idx val="1"/>
          <c:order val="1"/>
          <c:tx>
            <c:strRef>
              <c:f>Syreprofiler!$X$29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Syreprofiler!$X$31:$X$47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Syreprofiler!$V$31:$V$47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25-4F30-9E49-B8706F93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034627366636443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60364972631339"/>
          <c:y val="0.21388086905803441"/>
          <c:w val="0.7332561481612489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Syreprofiler!$C$50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Syreprofiler!$C$52:$C$68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Syreprofiler!$B$52:$B$68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93-4FFE-A3F7-AD10431FB0F9}"/>
            </c:ext>
          </c:extLst>
        </c:ser>
        <c:ser>
          <c:idx val="1"/>
          <c:order val="1"/>
          <c:tx>
            <c:strRef>
              <c:f>Syreprofiler!$D$50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Syreprofiler!$D$52:$D$68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Syreprofiler!$B$52:$B$68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93-4FFE-A3F7-AD10431F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</a:t>
                </a:r>
                <a:r>
                  <a:rPr lang="sv-SE"/>
                  <a:t>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6134627873067"/>
          <c:y val="0.21388086905803441"/>
          <c:w val="0.7480984516088317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Syreprofiler!$M$50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Syreprofiler!$M$52:$M$68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Syreprofiler!$L$52:$L$68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6-4673-845F-3EB4E1F0EC96}"/>
            </c:ext>
          </c:extLst>
        </c:ser>
        <c:ser>
          <c:idx val="1"/>
          <c:order val="1"/>
          <c:tx>
            <c:strRef>
              <c:f>Syreprofiler!$N$50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Syreprofiler!$N$52:$N$68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Syreprofiler!$L$52:$L$68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6-4673-845F-3EB4E1F0E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529370814889197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1391179620309"/>
          <c:y val="0.21388086905803441"/>
          <c:w val="0.75304588609135936"/>
          <c:h val="0.73519320501603957"/>
        </c:manualLayout>
      </c:layout>
      <c:scatterChart>
        <c:scatterStyle val="lineMarker"/>
        <c:varyColors val="0"/>
        <c:ser>
          <c:idx val="0"/>
          <c:order val="0"/>
          <c:tx>
            <c:strRef>
              <c:f>Syreprofiler!$W$50</c:f>
              <c:strCache>
                <c:ptCount val="1"/>
                <c:pt idx="0">
                  <c:v>Temp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Syreprofiler!$W$52:$W$68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Syreprofiler!$V$52:$V$68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8-4E48-A2EA-C5111333B154}"/>
            </c:ext>
          </c:extLst>
        </c:ser>
        <c:ser>
          <c:idx val="1"/>
          <c:order val="1"/>
          <c:tx>
            <c:strRef>
              <c:f>Syreprofiler!$X$50</c:f>
              <c:strCache>
                <c:ptCount val="1"/>
                <c:pt idx="0">
                  <c:v>Syrehalt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Syreprofiler!$X$52:$X$68</c:f>
              <c:numCache>
                <c:formatCode>0.0</c:formatCode>
                <c:ptCount val="17"/>
                <c:pt idx="0">
                  <c:v>0</c:v>
                </c:pt>
              </c:numCache>
            </c:numRef>
          </c:xVal>
          <c:yVal>
            <c:numRef>
              <c:f>Syreprofiler!$V$52:$V$68</c:f>
              <c:numCache>
                <c:formatCode>0</c:formatCode>
                <c:ptCount val="17"/>
                <c:pt idx="0" formatCode="0.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8-4E48-A2EA-C5111333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11327"/>
        <c:axId val="398584047"/>
      </c:scatterChart>
      <c:valAx>
        <c:axId val="561811327"/>
        <c:scaling>
          <c:orientation val="minMax"/>
          <c:max val="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Temp, °C </a:t>
                </a:r>
              </a:p>
              <a:p>
                <a:pPr algn="r">
                  <a:defRPr sz="800"/>
                </a:pPr>
                <a:r>
                  <a:rPr lang="sv-SE" sz="800"/>
                  <a:t>Syreh, mg/l</a:t>
                </a:r>
              </a:p>
            </c:rich>
          </c:tx>
          <c:layout>
            <c:manualLayout>
              <c:xMode val="edge"/>
              <c:yMode val="edge"/>
              <c:x val="0.76034627366636443"/>
              <c:y val="4.7665728530921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8584047"/>
        <c:crosses val="autoZero"/>
        <c:crossBetween val="midCat"/>
        <c:majorUnit val="5"/>
      </c:valAx>
      <c:valAx>
        <c:axId val="398584047"/>
        <c:scaling>
          <c:orientation val="maxMin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Djup,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61811327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847661632706324E-2"/>
          <c:y val="2.6101146395233012E-2"/>
          <c:w val="0.50071727179160219"/>
          <c:h val="6.4286164229471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Lines="19" dropStyle="combo" dx="22" fmlaLink="Provpunkter!$G$1" fmlaRange="Provpunkter!$B$1:$B$19" sel="1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Start!A1"/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jpeg"/><Relationship Id="rId3" Type="http://schemas.openxmlformats.org/officeDocument/2006/relationships/hyperlink" Target="#Start!A1"/><Relationship Id="rId7" Type="http://schemas.openxmlformats.org/officeDocument/2006/relationships/image" Target="../media/image27.jpeg"/><Relationship Id="rId2" Type="http://schemas.openxmlformats.org/officeDocument/2006/relationships/hyperlink" Target="#Rapport!A1"/><Relationship Id="rId1" Type="http://schemas.openxmlformats.org/officeDocument/2006/relationships/chart" Target="../charts/chart34.xml"/><Relationship Id="rId6" Type="http://schemas.openxmlformats.org/officeDocument/2006/relationships/image" Target="../media/image26.jpeg"/><Relationship Id="rId11" Type="http://schemas.openxmlformats.org/officeDocument/2006/relationships/image" Target="../media/image31.jpeg"/><Relationship Id="rId5" Type="http://schemas.openxmlformats.org/officeDocument/2006/relationships/image" Target="../media/image25.jpeg"/><Relationship Id="rId10" Type="http://schemas.openxmlformats.org/officeDocument/2006/relationships/image" Target="../media/image30.jpeg"/><Relationship Id="rId4" Type="http://schemas.openxmlformats.org/officeDocument/2006/relationships/image" Target="../media/image24.png"/><Relationship Id="rId9" Type="http://schemas.openxmlformats.org/officeDocument/2006/relationships/image" Target="../media/image2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hyperlink" Target="#Sorterat!A1"/><Relationship Id="rId1" Type="http://schemas.openxmlformats.org/officeDocument/2006/relationships/hyperlink" Target="#Resulta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F&#246;rklaring!A1"/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F&#246;rklaring!A1"/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hyperlink" Target="#Start!A1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image" Target="../media/image6.png"/><Relationship Id="rId1" Type="http://schemas.openxmlformats.org/officeDocument/2006/relationships/hyperlink" Target="#Diagram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18" Type="http://schemas.openxmlformats.org/officeDocument/2006/relationships/chart" Target="../charts/chart29.xml"/><Relationship Id="rId3" Type="http://schemas.openxmlformats.org/officeDocument/2006/relationships/chart" Target="../charts/chart14.xml"/><Relationship Id="rId21" Type="http://schemas.openxmlformats.org/officeDocument/2006/relationships/chart" Target="../charts/chart32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17" Type="http://schemas.openxmlformats.org/officeDocument/2006/relationships/chart" Target="../charts/chart28.xml"/><Relationship Id="rId2" Type="http://schemas.openxmlformats.org/officeDocument/2006/relationships/hyperlink" Target="#Statistik!A1"/><Relationship Id="rId16" Type="http://schemas.openxmlformats.org/officeDocument/2006/relationships/chart" Target="../charts/chart27.xml"/><Relationship Id="rId20" Type="http://schemas.openxmlformats.org/officeDocument/2006/relationships/chart" Target="../charts/chart31.xml"/><Relationship Id="rId1" Type="http://schemas.openxmlformats.org/officeDocument/2006/relationships/hyperlink" Target="#Start!A1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5" Type="http://schemas.openxmlformats.org/officeDocument/2006/relationships/chart" Target="../charts/chart26.xml"/><Relationship Id="rId10" Type="http://schemas.openxmlformats.org/officeDocument/2006/relationships/chart" Target="../charts/chart21.xml"/><Relationship Id="rId19" Type="http://schemas.openxmlformats.org/officeDocument/2006/relationships/chart" Target="../charts/chart30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Relationship Id="rId22" Type="http://schemas.openxmlformats.org/officeDocument/2006/relationships/chart" Target="../charts/chart3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12" Type="http://schemas.openxmlformats.org/officeDocument/2006/relationships/image" Target="../media/image21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11" Type="http://schemas.openxmlformats.org/officeDocument/2006/relationships/image" Target="../media/image20.emf"/><Relationship Id="rId5" Type="http://schemas.openxmlformats.org/officeDocument/2006/relationships/image" Target="../media/image14.emf"/><Relationship Id="rId10" Type="http://schemas.openxmlformats.org/officeDocument/2006/relationships/image" Target="../media/image19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Relationship Id="rId14" Type="http://schemas.openxmlformats.org/officeDocument/2006/relationships/image" Target="../media/image23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345055</xdr:rowOff>
    </xdr:from>
    <xdr:to>
      <xdr:col>9</xdr:col>
      <xdr:colOff>0</xdr:colOff>
      <xdr:row>5</xdr:row>
      <xdr:rowOff>95250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01AFA3C-3E03-915F-1251-5E0138BD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040" y="825115"/>
          <a:ext cx="5913120" cy="24095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38100</xdr:rowOff>
    </xdr:from>
    <xdr:to>
      <xdr:col>9</xdr:col>
      <xdr:colOff>19050</xdr:colOff>
      <xdr:row>15</xdr:row>
      <xdr:rowOff>142875</xdr:rowOff>
    </xdr:to>
    <xdr:sp macro="" textlink="">
      <xdr:nvSpPr>
        <xdr:cNvPr id="1432668" name="Rectangle 1">
          <a:extLst>
            <a:ext uri="{FF2B5EF4-FFF2-40B4-BE49-F238E27FC236}">
              <a16:creationId xmlns:a16="http://schemas.microsoft.com/office/drawing/2014/main" id="{00000000-0008-0000-0000-00005CDC1500}"/>
            </a:ext>
          </a:extLst>
        </xdr:cNvPr>
        <xdr:cNvSpPr>
          <a:spLocks noChangeArrowheads="1"/>
        </xdr:cNvSpPr>
      </xdr:nvSpPr>
      <xdr:spPr bwMode="auto">
        <a:xfrm>
          <a:off x="657225" y="333375"/>
          <a:ext cx="5819775" cy="5562600"/>
        </a:xfrm>
        <a:prstGeom prst="rect">
          <a:avLst/>
        </a:prstGeom>
        <a:noFill/>
        <a:ln w="57150" cmpd="thinThick">
          <a:solidFill>
            <a:srgbClr val="00A88F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100000">
                    <a:srgbClr xmlns:mc="http://schemas.openxmlformats.org/markup-compatibility/2006" val="99CCFF" mc:Ignorable="a14" a14:legacySpreadsheetColorIndex="44"/>
                  </a:gs>
                </a:gsLst>
                <a:lin ang="5400000" scaled="1"/>
              </a:gra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361950</xdr:colOff>
      <xdr:row>7</xdr:row>
      <xdr:rowOff>180975</xdr:rowOff>
    </xdr:from>
    <xdr:to>
      <xdr:col>8</xdr:col>
      <xdr:colOff>276225</xdr:colOff>
      <xdr:row>8</xdr:row>
      <xdr:rowOff>219075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9175" y="4124325"/>
          <a:ext cx="5000625" cy="3333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76200" dir="1200000" algn="ctr" rotWithShape="0">
            <a:srgbClr val="000000">
              <a:alpha val="43137"/>
            </a:srgbClr>
          </a:outerShdw>
        </a:effectLst>
        <a:scene3d>
          <a:camera prst="orthographicFront"/>
          <a:lightRig rig="threePt" dir="t"/>
        </a:scene3d>
        <a:sp3d>
          <a:bevelT w="635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Kommentarer,</a:t>
          </a:r>
          <a:r>
            <a:rPr lang="sv-SE" sz="1100" b="1" baseline="0"/>
            <a:t> klassning genom färgmarkering m m 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utförs ej </a:t>
          </a:r>
          <a:r>
            <a:rPr lang="sv-SE" sz="1100" b="1" baseline="0"/>
            <a:t>under ackreditering	</a:t>
          </a:r>
          <a:endParaRPr lang="sv-SE" sz="1100" b="1"/>
        </a:p>
      </xdr:txBody>
    </xdr:sp>
    <xdr:clientData/>
  </xdr:twoCellAnchor>
  <xdr:twoCellAnchor editAs="oneCell">
    <xdr:from>
      <xdr:col>7</xdr:col>
      <xdr:colOff>411480</xdr:colOff>
      <xdr:row>3</xdr:row>
      <xdr:rowOff>125730</xdr:rowOff>
    </xdr:from>
    <xdr:to>
      <xdr:col>8</xdr:col>
      <xdr:colOff>125730</xdr:colOff>
      <xdr:row>4</xdr:row>
      <xdr:rowOff>372894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420" y="963930"/>
          <a:ext cx="1131570" cy="4605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508000</xdr:colOff>
          <xdr:row>1</xdr:row>
          <xdr:rowOff>0</xdr:rowOff>
        </xdr:from>
        <xdr:to>
          <xdr:col>17</xdr:col>
          <xdr:colOff>603250</xdr:colOff>
          <xdr:row>9</xdr:row>
          <xdr:rowOff>6350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47625</xdr:rowOff>
    </xdr:from>
    <xdr:to>
      <xdr:col>1</xdr:col>
      <xdr:colOff>736013</xdr:colOff>
      <xdr:row>0</xdr:row>
      <xdr:rowOff>352496</xdr:rowOff>
    </xdr:to>
    <xdr:sp macro="" textlink="">
      <xdr:nvSpPr>
        <xdr:cNvPr id="2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14300" y="47625"/>
          <a:ext cx="617903" cy="301061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333399"/>
              </a:solidFill>
              <a:latin typeface="Arial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8</xdr:row>
          <xdr:rowOff>38100</xdr:rowOff>
        </xdr:from>
        <xdr:to>
          <xdr:col>1</xdr:col>
          <xdr:colOff>1168400</xdr:colOff>
          <xdr:row>9</xdr:row>
          <xdr:rowOff>0</xdr:rowOff>
        </xdr:to>
        <xdr:sp macro="" textlink="">
          <xdr:nvSpPr>
            <xdr:cNvPr id="722945" name="Button 1" hidden="1">
              <a:extLst>
                <a:ext uri="{63B3BB69-23CF-44E3-9099-C40C66FF867C}">
                  <a14:compatExt spid="_x0000_s722945"/>
                </a:ext>
                <a:ext uri="{FF2B5EF4-FFF2-40B4-BE49-F238E27FC236}">
                  <a16:creationId xmlns:a16="http://schemas.microsoft.com/office/drawing/2014/main" id="{00000000-0008-0000-0B00-000001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  <a:p>
              <a:pPr algn="ctr" rtl="0">
                <a:defRPr sz="1000"/>
              </a:pPr>
              <a:endParaRPr lang="sv-SE" sz="900" b="1" i="0" u="none" strike="noStrike" baseline="0">
                <a:solidFill>
                  <a:srgbClr val="00808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1229591</xdr:colOff>
      <xdr:row>8</xdr:row>
      <xdr:rowOff>17318</xdr:rowOff>
    </xdr:from>
    <xdr:to>
      <xdr:col>1</xdr:col>
      <xdr:colOff>1997274</xdr:colOff>
      <xdr:row>9</xdr:row>
      <xdr:rowOff>2079</xdr:rowOff>
    </xdr:to>
    <xdr:sp macro="[0]!JAN_kom" textlink="">
      <xdr:nvSpPr>
        <xdr:cNvPr id="3" name="Rectangle 7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229591" y="2867198"/>
          <a:ext cx="767683" cy="198121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1220066</xdr:colOff>
      <xdr:row>30</xdr:row>
      <xdr:rowOff>36368</xdr:rowOff>
    </xdr:from>
    <xdr:to>
      <xdr:col>1</xdr:col>
      <xdr:colOff>1958884</xdr:colOff>
      <xdr:row>31</xdr:row>
      <xdr:rowOff>19915</xdr:rowOff>
    </xdr:to>
    <xdr:sp macro="[0]!Feb_kom" textlink="">
      <xdr:nvSpPr>
        <xdr:cNvPr id="4" name="Rectangle 7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1220066" y="4463588"/>
          <a:ext cx="738818" cy="19690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1185776</xdr:colOff>
      <xdr:row>42</xdr:row>
      <xdr:rowOff>45894</xdr:rowOff>
    </xdr:from>
    <xdr:to>
      <xdr:col>1</xdr:col>
      <xdr:colOff>1923231</xdr:colOff>
      <xdr:row>43</xdr:row>
      <xdr:rowOff>866</xdr:rowOff>
    </xdr:to>
    <xdr:sp macro="[0]!Mar_kom" textlink="">
      <xdr:nvSpPr>
        <xdr:cNvPr id="5" name="Rectangle 7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1185776" y="6355254"/>
          <a:ext cx="737455" cy="168332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654050</xdr:colOff>
          <xdr:row>30</xdr:row>
          <xdr:rowOff>31750</xdr:rowOff>
        </xdr:from>
        <xdr:to>
          <xdr:col>1</xdr:col>
          <xdr:colOff>1174750</xdr:colOff>
          <xdr:row>31</xdr:row>
          <xdr:rowOff>0</xdr:rowOff>
        </xdr:to>
        <xdr:sp macro="" textlink="">
          <xdr:nvSpPr>
            <xdr:cNvPr id="722946" name="Button 2" hidden="1">
              <a:extLst>
                <a:ext uri="{63B3BB69-23CF-44E3-9099-C40C66FF867C}">
                  <a14:compatExt spid="_x0000_s722946"/>
                </a:ext>
                <a:ext uri="{FF2B5EF4-FFF2-40B4-BE49-F238E27FC236}">
                  <a16:creationId xmlns:a16="http://schemas.microsoft.com/office/drawing/2014/main" id="{00000000-0008-0000-0B00-000002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615950</xdr:colOff>
          <xdr:row>42</xdr:row>
          <xdr:rowOff>44450</xdr:rowOff>
        </xdr:from>
        <xdr:to>
          <xdr:col>1</xdr:col>
          <xdr:colOff>1136650</xdr:colOff>
          <xdr:row>43</xdr:row>
          <xdr:rowOff>6350</xdr:rowOff>
        </xdr:to>
        <xdr:sp macro="" textlink="">
          <xdr:nvSpPr>
            <xdr:cNvPr id="722947" name="Button 3" hidden="1">
              <a:extLst>
                <a:ext uri="{63B3BB69-23CF-44E3-9099-C40C66FF867C}">
                  <a14:compatExt spid="_x0000_s722947"/>
                </a:ext>
                <a:ext uri="{FF2B5EF4-FFF2-40B4-BE49-F238E27FC236}">
                  <a16:creationId xmlns:a16="http://schemas.microsoft.com/office/drawing/2014/main" id="{00000000-0008-0000-0B00-000003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596900</xdr:colOff>
          <xdr:row>64</xdr:row>
          <xdr:rowOff>31750</xdr:rowOff>
        </xdr:from>
        <xdr:to>
          <xdr:col>1</xdr:col>
          <xdr:colOff>1104900</xdr:colOff>
          <xdr:row>65</xdr:row>
          <xdr:rowOff>0</xdr:rowOff>
        </xdr:to>
        <xdr:sp macro="" textlink="">
          <xdr:nvSpPr>
            <xdr:cNvPr id="722948" name="Button 4" hidden="1">
              <a:extLst>
                <a:ext uri="{63B3BB69-23CF-44E3-9099-C40C66FF867C}">
                  <a14:compatExt spid="_x0000_s722948"/>
                </a:ext>
                <a:ext uri="{FF2B5EF4-FFF2-40B4-BE49-F238E27FC236}">
                  <a16:creationId xmlns:a16="http://schemas.microsoft.com/office/drawing/2014/main" id="{00000000-0008-0000-0B00-000004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1181966</xdr:colOff>
      <xdr:row>64</xdr:row>
      <xdr:rowOff>36368</xdr:rowOff>
    </xdr:from>
    <xdr:to>
      <xdr:col>1</xdr:col>
      <xdr:colOff>1926789</xdr:colOff>
      <xdr:row>65</xdr:row>
      <xdr:rowOff>19916</xdr:rowOff>
    </xdr:to>
    <xdr:sp macro="[0]!Apr_kom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1181966" y="8227868"/>
          <a:ext cx="744823" cy="196908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635000</xdr:colOff>
          <xdr:row>76</xdr:row>
          <xdr:rowOff>38100</xdr:rowOff>
        </xdr:from>
        <xdr:to>
          <xdr:col>1</xdr:col>
          <xdr:colOff>1143000</xdr:colOff>
          <xdr:row>77</xdr:row>
          <xdr:rowOff>6350</xdr:rowOff>
        </xdr:to>
        <xdr:sp macro="" textlink="">
          <xdr:nvSpPr>
            <xdr:cNvPr id="722949" name="Button 5" hidden="1">
              <a:extLst>
                <a:ext uri="{63B3BB69-23CF-44E3-9099-C40C66FF867C}">
                  <a14:compatExt spid="_x0000_s722949"/>
                </a:ext>
                <a:ext uri="{FF2B5EF4-FFF2-40B4-BE49-F238E27FC236}">
                  <a16:creationId xmlns:a16="http://schemas.microsoft.com/office/drawing/2014/main" id="{00000000-0008-0000-0B00-000005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1181966</xdr:colOff>
      <xdr:row>76</xdr:row>
      <xdr:rowOff>36368</xdr:rowOff>
    </xdr:from>
    <xdr:to>
      <xdr:col>1</xdr:col>
      <xdr:colOff>1926789</xdr:colOff>
      <xdr:row>77</xdr:row>
      <xdr:rowOff>2840</xdr:rowOff>
    </xdr:to>
    <xdr:sp macro="[0]!Maj_kom" textlink="">
      <xdr:nvSpPr>
        <xdr:cNvPr id="11" name="Rectangle 85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1181966" y="9805208"/>
          <a:ext cx="744823" cy="179832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98</xdr:row>
          <xdr:rowOff>44450</xdr:rowOff>
        </xdr:from>
        <xdr:to>
          <xdr:col>1</xdr:col>
          <xdr:colOff>1092200</xdr:colOff>
          <xdr:row>99</xdr:row>
          <xdr:rowOff>0</xdr:rowOff>
        </xdr:to>
        <xdr:sp macro="" textlink="">
          <xdr:nvSpPr>
            <xdr:cNvPr id="722950" name="Button 6" hidden="1">
              <a:extLst>
                <a:ext uri="{63B3BB69-23CF-44E3-9099-C40C66FF867C}">
                  <a14:compatExt spid="_x0000_s722950"/>
                </a:ext>
                <a:ext uri="{FF2B5EF4-FFF2-40B4-BE49-F238E27FC236}">
                  <a16:creationId xmlns:a16="http://schemas.microsoft.com/office/drawing/2014/main" id="{00000000-0008-0000-0B00-000006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1157201</xdr:colOff>
      <xdr:row>98</xdr:row>
      <xdr:rowOff>38273</xdr:rowOff>
    </xdr:from>
    <xdr:to>
      <xdr:col>1</xdr:col>
      <xdr:colOff>1889624</xdr:colOff>
      <xdr:row>99</xdr:row>
      <xdr:rowOff>960</xdr:rowOff>
    </xdr:to>
    <xdr:sp macro="[0]!Juni_kom" textlink="">
      <xdr:nvSpPr>
        <xdr:cNvPr id="13" name="Rectangle 87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 bwMode="auto">
        <a:xfrm>
          <a:off x="1157201" y="11689253"/>
          <a:ext cx="732423" cy="17604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596900</xdr:colOff>
          <xdr:row>110</xdr:row>
          <xdr:rowOff>25400</xdr:rowOff>
        </xdr:from>
        <xdr:to>
          <xdr:col>1</xdr:col>
          <xdr:colOff>1104900</xdr:colOff>
          <xdr:row>111</xdr:row>
          <xdr:rowOff>0</xdr:rowOff>
        </xdr:to>
        <xdr:sp macro="" textlink="">
          <xdr:nvSpPr>
            <xdr:cNvPr id="722951" name="Button 7" hidden="1">
              <a:extLst>
                <a:ext uri="{63B3BB69-23CF-44E3-9099-C40C66FF867C}">
                  <a14:compatExt spid="_x0000_s722951"/>
                </a:ext>
                <a:ext uri="{FF2B5EF4-FFF2-40B4-BE49-F238E27FC236}">
                  <a16:creationId xmlns:a16="http://schemas.microsoft.com/office/drawing/2014/main" id="{00000000-0008-0000-0B00-000007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1153391</xdr:colOff>
      <xdr:row>110</xdr:row>
      <xdr:rowOff>26843</xdr:rowOff>
    </xdr:from>
    <xdr:to>
      <xdr:col>1</xdr:col>
      <xdr:colOff>1921074</xdr:colOff>
      <xdr:row>111</xdr:row>
      <xdr:rowOff>866</xdr:rowOff>
    </xdr:to>
    <xdr:sp macro="[0]!Juli_kom" textlink="">
      <xdr:nvSpPr>
        <xdr:cNvPr id="15" name="Rectangle 89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 bwMode="auto">
        <a:xfrm>
          <a:off x="1153391" y="13255163"/>
          <a:ext cx="767683" cy="18738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577850</xdr:colOff>
          <xdr:row>132</xdr:row>
          <xdr:rowOff>25400</xdr:rowOff>
        </xdr:from>
        <xdr:to>
          <xdr:col>1</xdr:col>
          <xdr:colOff>1098550</xdr:colOff>
          <xdr:row>133</xdr:row>
          <xdr:rowOff>0</xdr:rowOff>
        </xdr:to>
        <xdr:sp macro="" textlink="">
          <xdr:nvSpPr>
            <xdr:cNvPr id="722952" name="Button 8" hidden="1">
              <a:extLst>
                <a:ext uri="{63B3BB69-23CF-44E3-9099-C40C66FF867C}">
                  <a14:compatExt spid="_x0000_s722952"/>
                </a:ext>
                <a:ext uri="{FF2B5EF4-FFF2-40B4-BE49-F238E27FC236}">
                  <a16:creationId xmlns:a16="http://schemas.microsoft.com/office/drawing/2014/main" id="{00000000-0008-0000-0B00-000008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1128626</xdr:colOff>
      <xdr:row>132</xdr:row>
      <xdr:rowOff>26843</xdr:rowOff>
    </xdr:from>
    <xdr:to>
      <xdr:col>1</xdr:col>
      <xdr:colOff>1869891</xdr:colOff>
      <xdr:row>133</xdr:row>
      <xdr:rowOff>866</xdr:rowOff>
    </xdr:to>
    <xdr:sp macro="[0]!Aug_kom" textlink="">
      <xdr:nvSpPr>
        <xdr:cNvPr id="17" name="Rectangle 9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 bwMode="auto">
        <a:xfrm>
          <a:off x="1128626" y="14832503"/>
          <a:ext cx="741265" cy="18738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692150</xdr:colOff>
          <xdr:row>144</xdr:row>
          <xdr:rowOff>38100</xdr:rowOff>
        </xdr:from>
        <xdr:to>
          <xdr:col>1</xdr:col>
          <xdr:colOff>1212850</xdr:colOff>
          <xdr:row>144</xdr:row>
          <xdr:rowOff>196850</xdr:rowOff>
        </xdr:to>
        <xdr:sp macro="" textlink="">
          <xdr:nvSpPr>
            <xdr:cNvPr id="722953" name="Button 9" hidden="1">
              <a:extLst>
                <a:ext uri="{63B3BB69-23CF-44E3-9099-C40C66FF867C}">
                  <a14:compatExt spid="_x0000_s722953"/>
                </a:ext>
                <a:ext uri="{FF2B5EF4-FFF2-40B4-BE49-F238E27FC236}">
                  <a16:creationId xmlns:a16="http://schemas.microsoft.com/office/drawing/2014/main" id="{00000000-0008-0000-0B00-000009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1227686</xdr:colOff>
      <xdr:row>144</xdr:row>
      <xdr:rowOff>36368</xdr:rowOff>
    </xdr:from>
    <xdr:to>
      <xdr:col>1</xdr:col>
      <xdr:colOff>1927695</xdr:colOff>
      <xdr:row>144</xdr:row>
      <xdr:rowOff>190933</xdr:rowOff>
    </xdr:to>
    <xdr:sp macro="[0]!Sep_kom" textlink="">
      <xdr:nvSpPr>
        <xdr:cNvPr id="19" name="Rectangle 93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227686" y="16731788"/>
          <a:ext cx="700009" cy="15456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615950</xdr:colOff>
          <xdr:row>166</xdr:row>
          <xdr:rowOff>6350</xdr:rowOff>
        </xdr:from>
        <xdr:to>
          <xdr:col>1</xdr:col>
          <xdr:colOff>1136650</xdr:colOff>
          <xdr:row>166</xdr:row>
          <xdr:rowOff>184150</xdr:rowOff>
        </xdr:to>
        <xdr:sp macro="" textlink="">
          <xdr:nvSpPr>
            <xdr:cNvPr id="722954" name="Button 10" hidden="1">
              <a:extLst>
                <a:ext uri="{63B3BB69-23CF-44E3-9099-C40C66FF867C}">
                  <a14:compatExt spid="_x0000_s722954"/>
                </a:ext>
                <a:ext uri="{FF2B5EF4-FFF2-40B4-BE49-F238E27FC236}">
                  <a16:creationId xmlns:a16="http://schemas.microsoft.com/office/drawing/2014/main" id="{00000000-0008-0000-0B00-00000A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1195301</xdr:colOff>
      <xdr:row>165</xdr:row>
      <xdr:rowOff>143050</xdr:rowOff>
    </xdr:from>
    <xdr:to>
      <xdr:col>1</xdr:col>
      <xdr:colOff>1923231</xdr:colOff>
      <xdr:row>167</xdr:row>
      <xdr:rowOff>1</xdr:rowOff>
    </xdr:to>
    <xdr:sp macro="[0]!Okt_kom" textlink="">
      <xdr:nvSpPr>
        <xdr:cNvPr id="21" name="Rectangle 95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1195301" y="18271030"/>
          <a:ext cx="727930" cy="215091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178</xdr:row>
          <xdr:rowOff>31750</xdr:rowOff>
        </xdr:from>
        <xdr:to>
          <xdr:col>1</xdr:col>
          <xdr:colOff>1250950</xdr:colOff>
          <xdr:row>179</xdr:row>
          <xdr:rowOff>0</xdr:rowOff>
        </xdr:to>
        <xdr:sp macro="" textlink="">
          <xdr:nvSpPr>
            <xdr:cNvPr id="722955" name="Button 11" hidden="1">
              <a:extLst>
                <a:ext uri="{63B3BB69-23CF-44E3-9099-C40C66FF867C}">
                  <a14:compatExt spid="_x0000_s722955"/>
                </a:ext>
                <a:ext uri="{FF2B5EF4-FFF2-40B4-BE49-F238E27FC236}">
                  <a16:creationId xmlns:a16="http://schemas.microsoft.com/office/drawing/2014/main" id="{00000000-0008-0000-0B00-00000B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1256261</xdr:colOff>
      <xdr:row>178</xdr:row>
      <xdr:rowOff>28574</xdr:rowOff>
    </xdr:from>
    <xdr:to>
      <xdr:col>1</xdr:col>
      <xdr:colOff>1961116</xdr:colOff>
      <xdr:row>179</xdr:row>
      <xdr:rowOff>19273</xdr:rowOff>
    </xdr:to>
    <xdr:sp macro="[0]!Nov_kom" textlink="">
      <xdr:nvSpPr>
        <xdr:cNvPr id="23" name="Rectangle 9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1256261" y="20183474"/>
          <a:ext cx="704855" cy="204059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730250</xdr:colOff>
          <xdr:row>200</xdr:row>
          <xdr:rowOff>31750</xdr:rowOff>
        </xdr:from>
        <xdr:to>
          <xdr:col>1</xdr:col>
          <xdr:colOff>1250950</xdr:colOff>
          <xdr:row>201</xdr:row>
          <xdr:rowOff>0</xdr:rowOff>
        </xdr:to>
        <xdr:sp macro="" textlink="">
          <xdr:nvSpPr>
            <xdr:cNvPr id="722956" name="Button 12" hidden="1">
              <a:extLst>
                <a:ext uri="{63B3BB69-23CF-44E3-9099-C40C66FF867C}">
                  <a14:compatExt spid="_x0000_s722956"/>
                </a:ext>
                <a:ext uri="{FF2B5EF4-FFF2-40B4-BE49-F238E27FC236}">
                  <a16:creationId xmlns:a16="http://schemas.microsoft.com/office/drawing/2014/main" id="{00000000-0008-0000-0B00-00000C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v-SE" sz="9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1256261</xdr:colOff>
      <xdr:row>200</xdr:row>
      <xdr:rowOff>28575</xdr:rowOff>
    </xdr:from>
    <xdr:to>
      <xdr:col>1</xdr:col>
      <xdr:colOff>1961116</xdr:colOff>
      <xdr:row>201</xdr:row>
      <xdr:rowOff>192</xdr:rowOff>
    </xdr:to>
    <xdr:sp macro="[0]!Dec_kom" textlink="">
      <xdr:nvSpPr>
        <xdr:cNvPr id="25" name="Rectangle 99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 bwMode="auto">
        <a:xfrm>
          <a:off x="1256261" y="21760815"/>
          <a:ext cx="704855" cy="18497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2</xdr:col>
      <xdr:colOff>685800</xdr:colOff>
      <xdr:row>2</xdr:row>
      <xdr:rowOff>9525</xdr:rowOff>
    </xdr:from>
    <xdr:to>
      <xdr:col>9</xdr:col>
      <xdr:colOff>281940</xdr:colOff>
      <xdr:row>5</xdr:row>
      <xdr:rowOff>167640</xdr:rowOff>
    </xdr:to>
    <xdr:pic>
      <xdr:nvPicPr>
        <xdr:cNvPr id="27" name="Bildobjekt 4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0420" y="1457325"/>
          <a:ext cx="2926080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514350</xdr:rowOff>
    </xdr:from>
    <xdr:to>
      <xdr:col>14</xdr:col>
      <xdr:colOff>262890</xdr:colOff>
      <xdr:row>0</xdr:row>
      <xdr:rowOff>1047750</xdr:rowOff>
    </xdr:to>
    <xdr:grpSp>
      <xdr:nvGrpSpPr>
        <xdr:cNvPr id="28" name="Group 10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GrpSpPr>
          <a:grpSpLocks/>
        </xdr:cNvGrpSpPr>
      </xdr:nvGrpSpPr>
      <xdr:grpSpPr bwMode="auto">
        <a:xfrm>
          <a:off x="3590925" y="514350"/>
          <a:ext cx="5184140" cy="533400"/>
          <a:chOff x="50" y="166"/>
          <a:chExt cx="518" cy="55"/>
        </a:xfrm>
      </xdr:grpSpPr>
      <xdr:sp macro="[0]!Jan_rapp" textlink="">
        <xdr:nvSpPr>
          <xdr:cNvPr id="29" name="Rectangle 78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Januari</a:t>
            </a:r>
          </a:p>
        </xdr:txBody>
      </xdr:sp>
      <xdr:sp macro="[0]!Feb_rapp" textlink="">
        <xdr:nvSpPr>
          <xdr:cNvPr id="30" name="Rectangle 79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Februari</a:t>
            </a:r>
          </a:p>
        </xdr:txBody>
      </xdr:sp>
      <xdr:sp macro="[0]!Mar_rapp" textlink="">
        <xdr:nvSpPr>
          <xdr:cNvPr id="31" name="Rectangle 80">
            <a:extLst>
              <a:ext uri="{FF2B5EF4-FFF2-40B4-BE49-F238E27FC236}">
                <a16:creationId xmlns:a16="http://schemas.microsoft.com/office/drawing/2014/main" id="{00000000-0008-0000-0B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Mars</a:t>
            </a:r>
          </a:p>
        </xdr:txBody>
      </xdr:sp>
      <xdr:sp macro="[0]!Apr_rapp" textlink="">
        <xdr:nvSpPr>
          <xdr:cNvPr id="32" name="Rectangle 81">
            <a:extLst>
              <a:ext uri="{FF2B5EF4-FFF2-40B4-BE49-F238E27FC236}">
                <a16:creationId xmlns:a16="http://schemas.microsoft.com/office/drawing/2014/main" id="{00000000-0008-0000-0B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April</a:t>
            </a:r>
          </a:p>
        </xdr:txBody>
      </xdr:sp>
      <xdr:sp macro="[0]!Maj_rapp" textlink="">
        <xdr:nvSpPr>
          <xdr:cNvPr id="33" name="Rectangle 82">
            <a:extLst>
              <a:ext uri="{FF2B5EF4-FFF2-40B4-BE49-F238E27FC236}">
                <a16:creationId xmlns:a16="http://schemas.microsoft.com/office/drawing/2014/main" id="{00000000-0008-0000-0B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Maj</a:t>
            </a:r>
          </a:p>
        </xdr:txBody>
      </xdr:sp>
      <xdr:sp macro="[0]!Jun_rapp" textlink="">
        <xdr:nvSpPr>
          <xdr:cNvPr id="34" name="Rectangle 83">
            <a:extLst>
              <a:ext uri="{FF2B5EF4-FFF2-40B4-BE49-F238E27FC236}">
                <a16:creationId xmlns:a16="http://schemas.microsoft.com/office/drawing/2014/main" id="{00000000-0008-0000-0B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Juni</a:t>
            </a:r>
          </a:p>
        </xdr:txBody>
      </xdr:sp>
      <xdr:sp macro="[0]!Jul_rapp" textlink="">
        <xdr:nvSpPr>
          <xdr:cNvPr id="35" name="Rectangle 84">
            <a:extLst>
              <a:ext uri="{FF2B5EF4-FFF2-40B4-BE49-F238E27FC236}">
                <a16:creationId xmlns:a16="http://schemas.microsoft.com/office/drawing/2014/main" id="{00000000-0008-0000-0B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Juli</a:t>
            </a:r>
          </a:p>
        </xdr:txBody>
      </xdr:sp>
      <xdr:sp macro="[0]!Aug_rapp" textlink="">
        <xdr:nvSpPr>
          <xdr:cNvPr id="36" name="Rectangle 85">
            <a:extLst>
              <a:ext uri="{FF2B5EF4-FFF2-40B4-BE49-F238E27FC236}">
                <a16:creationId xmlns:a16="http://schemas.microsoft.com/office/drawing/2014/main" id="{00000000-0008-0000-0B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Augusti</a:t>
            </a:r>
          </a:p>
        </xdr:txBody>
      </xdr:sp>
      <xdr:sp macro="[0]!Sep_rapp" textlink="">
        <xdr:nvSpPr>
          <xdr:cNvPr id="37" name="Rectangle 86">
            <a:extLst>
              <a:ext uri="{FF2B5EF4-FFF2-40B4-BE49-F238E27FC236}">
                <a16:creationId xmlns:a16="http://schemas.microsoft.com/office/drawing/2014/main" id="{00000000-0008-0000-0B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September</a:t>
            </a:r>
          </a:p>
        </xdr:txBody>
      </xdr:sp>
      <xdr:sp macro="[0]!Okt_rapp" textlink="">
        <xdr:nvSpPr>
          <xdr:cNvPr id="38" name="Rectangle 87">
            <a:extLst>
              <a:ext uri="{FF2B5EF4-FFF2-40B4-BE49-F238E27FC236}">
                <a16:creationId xmlns:a16="http://schemas.microsoft.com/office/drawing/2014/main" id="{00000000-0008-0000-0B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Oktober</a:t>
            </a:r>
          </a:p>
        </xdr:txBody>
      </xdr:sp>
      <xdr:sp macro="[0]!Nov_rapp" textlink="">
        <xdr:nvSpPr>
          <xdr:cNvPr id="39" name="Rectangle 88">
            <a:extLst>
              <a:ext uri="{FF2B5EF4-FFF2-40B4-BE49-F238E27FC236}">
                <a16:creationId xmlns:a16="http://schemas.microsoft.com/office/drawing/2014/main" id="{00000000-0008-0000-0B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November</a:t>
            </a:r>
          </a:p>
        </xdr:txBody>
      </xdr:sp>
      <xdr:sp macro="[0]!Dec_rapp" textlink="">
        <xdr:nvSpPr>
          <xdr:cNvPr id="40" name="Rectangle 89">
            <a:extLst>
              <a:ext uri="{FF2B5EF4-FFF2-40B4-BE49-F238E27FC236}">
                <a16:creationId xmlns:a16="http://schemas.microsoft.com/office/drawing/2014/main" id="{00000000-0008-0000-0B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December</a:t>
            </a:r>
          </a:p>
        </xdr:txBody>
      </xdr:sp>
    </xdr:grpSp>
    <xdr:clientData/>
  </xdr:twoCellAnchor>
  <xdr:twoCellAnchor editAs="oneCell">
    <xdr:from>
      <xdr:col>1</xdr:col>
      <xdr:colOff>114300</xdr:colOff>
      <xdr:row>0</xdr:row>
      <xdr:rowOff>47625</xdr:rowOff>
    </xdr:from>
    <xdr:to>
      <xdr:col>1</xdr:col>
      <xdr:colOff>745838</xdr:colOff>
      <xdr:row>0</xdr:row>
      <xdr:rowOff>326148</xdr:rowOff>
    </xdr:to>
    <xdr:sp macro="" textlink="">
      <xdr:nvSpPr>
        <xdr:cNvPr id="42" name="Rectangle 6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 bwMode="auto">
        <a:xfrm>
          <a:off x="114300" y="47625"/>
          <a:ext cx="631538" cy="27852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826F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 editAs="oneCell">
    <xdr:from>
      <xdr:col>10</xdr:col>
      <xdr:colOff>180975</xdr:colOff>
      <xdr:row>2</xdr:row>
      <xdr:rowOff>9526</xdr:rowOff>
    </xdr:from>
    <xdr:to>
      <xdr:col>16</xdr:col>
      <xdr:colOff>11941</xdr:colOff>
      <xdr:row>5</xdr:row>
      <xdr:rowOff>50173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50" y="1466851"/>
          <a:ext cx="1932181" cy="8083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5</xdr:col>
      <xdr:colOff>0</xdr:colOff>
      <xdr:row>20</xdr:row>
      <xdr:rowOff>0</xdr:rowOff>
    </xdr:to>
    <xdr:graphicFrame macro="">
      <xdr:nvGraphicFramePr>
        <xdr:cNvPr id="1346368" name="Diagram 15">
          <a:extLst>
            <a:ext uri="{FF2B5EF4-FFF2-40B4-BE49-F238E27FC236}">
              <a16:creationId xmlns:a16="http://schemas.microsoft.com/office/drawing/2014/main" id="{00000000-0008-0000-0C00-0000408B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6</xdr:row>
      <xdr:rowOff>0</xdr:rowOff>
    </xdr:from>
    <xdr:to>
      <xdr:col>1</xdr:col>
      <xdr:colOff>4935855</xdr:colOff>
      <xdr:row>7</xdr:row>
      <xdr:rowOff>0</xdr:rowOff>
    </xdr:to>
    <xdr:grpSp>
      <xdr:nvGrpSpPr>
        <xdr:cNvPr id="1346369" name="Group 103">
          <a:extLst>
            <a:ext uri="{FF2B5EF4-FFF2-40B4-BE49-F238E27FC236}">
              <a16:creationId xmlns:a16="http://schemas.microsoft.com/office/drawing/2014/main" id="{00000000-0008-0000-0C00-0000418B1400}"/>
            </a:ext>
          </a:extLst>
        </xdr:cNvPr>
        <xdr:cNvGrpSpPr>
          <a:grpSpLocks/>
        </xdr:cNvGrpSpPr>
      </xdr:nvGrpSpPr>
      <xdr:grpSpPr bwMode="auto">
        <a:xfrm>
          <a:off x="492125" y="1428750"/>
          <a:ext cx="4929505" cy="523875"/>
          <a:chOff x="50" y="166"/>
          <a:chExt cx="518" cy="55"/>
        </a:xfrm>
      </xdr:grpSpPr>
      <xdr:sp macro="[0]!JAN_kom" textlink="">
        <xdr:nvSpPr>
          <xdr:cNvPr id="9294" name="Rectangle 78">
            <a:extLst>
              <a:ext uri="{FF2B5EF4-FFF2-40B4-BE49-F238E27FC236}">
                <a16:creationId xmlns:a16="http://schemas.microsoft.com/office/drawing/2014/main" id="{00000000-0008-0000-0C00-00004E24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Januari</a:t>
            </a:r>
          </a:p>
        </xdr:txBody>
      </xdr:sp>
      <xdr:sp macro="[0]!Feb_kom" textlink="">
        <xdr:nvSpPr>
          <xdr:cNvPr id="9295" name="Rectangle 79">
            <a:extLst>
              <a:ext uri="{FF2B5EF4-FFF2-40B4-BE49-F238E27FC236}">
                <a16:creationId xmlns:a16="http://schemas.microsoft.com/office/drawing/2014/main" id="{00000000-0008-0000-0C00-00004F24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Februari</a:t>
            </a:r>
          </a:p>
        </xdr:txBody>
      </xdr:sp>
      <xdr:sp macro="[0]!Mar_kom" textlink="">
        <xdr:nvSpPr>
          <xdr:cNvPr id="9296" name="Rectangle 80">
            <a:extLst>
              <a:ext uri="{FF2B5EF4-FFF2-40B4-BE49-F238E27FC236}">
                <a16:creationId xmlns:a16="http://schemas.microsoft.com/office/drawing/2014/main" id="{00000000-0008-0000-0C00-00005024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Mars</a:t>
            </a:r>
          </a:p>
        </xdr:txBody>
      </xdr:sp>
      <xdr:sp macro="[0]!Apr_kom" textlink="">
        <xdr:nvSpPr>
          <xdr:cNvPr id="9297" name="Rectangle 81">
            <a:extLst>
              <a:ext uri="{FF2B5EF4-FFF2-40B4-BE49-F238E27FC236}">
                <a16:creationId xmlns:a16="http://schemas.microsoft.com/office/drawing/2014/main" id="{00000000-0008-0000-0C00-00005124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April</a:t>
            </a:r>
          </a:p>
        </xdr:txBody>
      </xdr:sp>
      <xdr:sp macro="[0]!Maj_kom" textlink="">
        <xdr:nvSpPr>
          <xdr:cNvPr id="9298" name="Rectangle 82">
            <a:extLst>
              <a:ext uri="{FF2B5EF4-FFF2-40B4-BE49-F238E27FC236}">
                <a16:creationId xmlns:a16="http://schemas.microsoft.com/office/drawing/2014/main" id="{00000000-0008-0000-0C00-00005224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Maj</a:t>
            </a:r>
          </a:p>
        </xdr:txBody>
      </xdr:sp>
      <xdr:sp macro="[0]!Juni_kom" textlink="">
        <xdr:nvSpPr>
          <xdr:cNvPr id="9299" name="Rectangle 83">
            <a:extLst>
              <a:ext uri="{FF2B5EF4-FFF2-40B4-BE49-F238E27FC236}">
                <a16:creationId xmlns:a16="http://schemas.microsoft.com/office/drawing/2014/main" id="{00000000-0008-0000-0C00-00005324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Juni</a:t>
            </a:r>
          </a:p>
        </xdr:txBody>
      </xdr:sp>
      <xdr:sp macro="[0]!Juli_kom" textlink="">
        <xdr:nvSpPr>
          <xdr:cNvPr id="9300" name="Rectangle 84">
            <a:extLst>
              <a:ext uri="{FF2B5EF4-FFF2-40B4-BE49-F238E27FC236}">
                <a16:creationId xmlns:a16="http://schemas.microsoft.com/office/drawing/2014/main" id="{00000000-0008-0000-0C00-00005424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Juli</a:t>
            </a:r>
          </a:p>
        </xdr:txBody>
      </xdr:sp>
      <xdr:sp macro="[0]!Aug_kom" textlink="">
        <xdr:nvSpPr>
          <xdr:cNvPr id="9301" name="Rectangle 85">
            <a:extLst>
              <a:ext uri="{FF2B5EF4-FFF2-40B4-BE49-F238E27FC236}">
                <a16:creationId xmlns:a16="http://schemas.microsoft.com/office/drawing/2014/main" id="{00000000-0008-0000-0C00-00005524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Augusti</a:t>
            </a:r>
          </a:p>
        </xdr:txBody>
      </xdr:sp>
      <xdr:sp macro="[0]!Sep_kom" textlink="">
        <xdr:nvSpPr>
          <xdr:cNvPr id="9302" name="Rectangle 86">
            <a:extLst>
              <a:ext uri="{FF2B5EF4-FFF2-40B4-BE49-F238E27FC236}">
                <a16:creationId xmlns:a16="http://schemas.microsoft.com/office/drawing/2014/main" id="{00000000-0008-0000-0C00-00005624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September</a:t>
            </a:r>
          </a:p>
        </xdr:txBody>
      </xdr:sp>
      <xdr:sp macro="[0]!Okt_kom" textlink="">
        <xdr:nvSpPr>
          <xdr:cNvPr id="9303" name="Rectangle 87">
            <a:extLst>
              <a:ext uri="{FF2B5EF4-FFF2-40B4-BE49-F238E27FC236}">
                <a16:creationId xmlns:a16="http://schemas.microsoft.com/office/drawing/2014/main" id="{00000000-0008-0000-0C00-00005724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Oktober</a:t>
            </a:r>
          </a:p>
        </xdr:txBody>
      </xdr:sp>
      <xdr:sp macro="[0]!Nov_kom" textlink="">
        <xdr:nvSpPr>
          <xdr:cNvPr id="9304" name="Rectangle 88">
            <a:extLst>
              <a:ext uri="{FF2B5EF4-FFF2-40B4-BE49-F238E27FC236}">
                <a16:creationId xmlns:a16="http://schemas.microsoft.com/office/drawing/2014/main" id="{00000000-0008-0000-0C00-00005824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November</a:t>
            </a:r>
          </a:p>
        </xdr:txBody>
      </xdr:sp>
      <xdr:sp macro="[0]!Dec_kom" textlink="">
        <xdr:nvSpPr>
          <xdr:cNvPr id="9305" name="Rectangle 89">
            <a:extLst>
              <a:ext uri="{FF2B5EF4-FFF2-40B4-BE49-F238E27FC236}">
                <a16:creationId xmlns:a16="http://schemas.microsoft.com/office/drawing/2014/main" id="{00000000-0008-0000-0C00-00005924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December</a:t>
            </a:r>
          </a:p>
        </xdr:txBody>
      </xdr:sp>
    </xdr:grpSp>
    <xdr:clientData/>
  </xdr:twoCellAnchor>
  <xdr:twoCellAnchor editAs="oneCell">
    <xdr:from>
      <xdr:col>1</xdr:col>
      <xdr:colOff>542697</xdr:colOff>
      <xdr:row>0</xdr:row>
      <xdr:rowOff>46622</xdr:rowOff>
    </xdr:from>
    <xdr:to>
      <xdr:col>1</xdr:col>
      <xdr:colOff>1203732</xdr:colOff>
      <xdr:row>0</xdr:row>
      <xdr:rowOff>322046</xdr:rowOff>
    </xdr:to>
    <xdr:sp macro="" textlink="">
      <xdr:nvSpPr>
        <xdr:cNvPr id="9321" name="Rectangle 10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69240000}"/>
            </a:ext>
          </a:extLst>
        </xdr:cNvPr>
        <xdr:cNvSpPr>
          <a:spLocks noChangeArrowheads="1"/>
        </xdr:cNvSpPr>
      </xdr:nvSpPr>
      <xdr:spPr bwMode="auto">
        <a:xfrm>
          <a:off x="1008921" y="46622"/>
          <a:ext cx="657225" cy="279234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Rapport</a:t>
          </a:r>
        </a:p>
      </xdr:txBody>
    </xdr:sp>
    <xdr:clientData fPrintsWithSheet="0"/>
  </xdr:twoCellAnchor>
  <xdr:twoCellAnchor>
    <xdr:from>
      <xdr:col>3</xdr:col>
      <xdr:colOff>333375</xdr:colOff>
      <xdr:row>28</xdr:row>
      <xdr:rowOff>3571875</xdr:rowOff>
    </xdr:from>
    <xdr:to>
      <xdr:col>3</xdr:col>
      <xdr:colOff>3895725</xdr:colOff>
      <xdr:row>28</xdr:row>
      <xdr:rowOff>3819525</xdr:rowOff>
    </xdr:to>
    <xdr:sp macro="" textlink="">
      <xdr:nvSpPr>
        <xdr:cNvPr id="21" name="textruta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/>
      </xdr:nvSpPr>
      <xdr:spPr>
        <a:xfrm>
          <a:off x="6610350" y="15287625"/>
          <a:ext cx="35623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100">
              <a:solidFill>
                <a:schemeClr val="bg1"/>
              </a:solidFill>
            </a:rPr>
            <a:t>Provpunkt 24, Långgropen nedströms Eslöv 2020-02-18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12</xdr:row>
          <xdr:rowOff>368300</xdr:rowOff>
        </xdr:from>
        <xdr:to>
          <xdr:col>1</xdr:col>
          <xdr:colOff>4756150</xdr:colOff>
          <xdr:row>18</xdr:row>
          <xdr:rowOff>5060950</xdr:rowOff>
        </xdr:to>
        <xdr:sp macro="" textlink="">
          <xdr:nvSpPr>
            <xdr:cNvPr id="605185" name="Object 1" hidden="1">
              <a:extLst>
                <a:ext uri="{63B3BB69-23CF-44E3-9099-C40C66FF867C}">
                  <a14:compatExt spid="_x0000_s605185"/>
                </a:ext>
                <a:ext uri="{FF2B5EF4-FFF2-40B4-BE49-F238E27FC236}">
                  <a16:creationId xmlns:a16="http://schemas.microsoft.com/office/drawing/2014/main" id="{00000000-0008-0000-0C00-000001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4724400</xdr:colOff>
          <xdr:row>28</xdr:row>
          <xdr:rowOff>4800600</xdr:rowOff>
        </xdr:to>
        <xdr:sp macro="" textlink="">
          <xdr:nvSpPr>
            <xdr:cNvPr id="605186" name="Object 2" hidden="1">
              <a:extLst>
                <a:ext uri="{63B3BB69-23CF-44E3-9099-C40C66FF867C}">
                  <a14:compatExt spid="_x0000_s605186"/>
                </a:ext>
                <a:ext uri="{FF2B5EF4-FFF2-40B4-BE49-F238E27FC236}">
                  <a16:creationId xmlns:a16="http://schemas.microsoft.com/office/drawing/2014/main" id="{00000000-0008-0000-0C00-000002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368300</xdr:rowOff>
        </xdr:from>
        <xdr:to>
          <xdr:col>1</xdr:col>
          <xdr:colOff>5092700</xdr:colOff>
          <xdr:row>38</xdr:row>
          <xdr:rowOff>4749800</xdr:rowOff>
        </xdr:to>
        <xdr:sp macro="" textlink="">
          <xdr:nvSpPr>
            <xdr:cNvPr id="605187" name="Object 3" hidden="1">
              <a:extLst>
                <a:ext uri="{63B3BB69-23CF-44E3-9099-C40C66FF867C}">
                  <a14:compatExt spid="_x0000_s605187"/>
                </a:ext>
                <a:ext uri="{FF2B5EF4-FFF2-40B4-BE49-F238E27FC236}">
                  <a16:creationId xmlns:a16="http://schemas.microsoft.com/office/drawing/2014/main" id="{00000000-0008-0000-0C00-000003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4832350</xdr:colOff>
          <xdr:row>48</xdr:row>
          <xdr:rowOff>4267200</xdr:rowOff>
        </xdr:to>
        <xdr:sp macro="" textlink="">
          <xdr:nvSpPr>
            <xdr:cNvPr id="605188" name="Object 4" hidden="1">
              <a:extLst>
                <a:ext uri="{63B3BB69-23CF-44E3-9099-C40C66FF867C}">
                  <a14:compatExt spid="_x0000_s605188"/>
                </a:ext>
                <a:ext uri="{FF2B5EF4-FFF2-40B4-BE49-F238E27FC236}">
                  <a16:creationId xmlns:a16="http://schemas.microsoft.com/office/drawing/2014/main" id="{00000000-0008-0000-0C00-000004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53</xdr:row>
          <xdr:rowOff>0</xdr:rowOff>
        </xdr:from>
        <xdr:to>
          <xdr:col>2</xdr:col>
          <xdr:colOff>139700</xdr:colOff>
          <xdr:row>58</xdr:row>
          <xdr:rowOff>4800600</xdr:rowOff>
        </xdr:to>
        <xdr:sp macro="" textlink="">
          <xdr:nvSpPr>
            <xdr:cNvPr id="605189" name="Object 5" hidden="1">
              <a:extLst>
                <a:ext uri="{63B3BB69-23CF-44E3-9099-C40C66FF867C}">
                  <a14:compatExt spid="_x0000_s605189"/>
                </a:ext>
                <a:ext uri="{FF2B5EF4-FFF2-40B4-BE49-F238E27FC236}">
                  <a16:creationId xmlns:a16="http://schemas.microsoft.com/office/drawing/2014/main" id="{00000000-0008-0000-0C00-000005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374650</xdr:rowOff>
        </xdr:from>
        <xdr:to>
          <xdr:col>2</xdr:col>
          <xdr:colOff>139700</xdr:colOff>
          <xdr:row>69</xdr:row>
          <xdr:rowOff>184150</xdr:rowOff>
        </xdr:to>
        <xdr:sp macro="" textlink="">
          <xdr:nvSpPr>
            <xdr:cNvPr id="605190" name="Object 6" hidden="1">
              <a:extLst>
                <a:ext uri="{63B3BB69-23CF-44E3-9099-C40C66FF867C}">
                  <a14:compatExt spid="_x0000_s605190"/>
                </a:ext>
                <a:ext uri="{FF2B5EF4-FFF2-40B4-BE49-F238E27FC236}">
                  <a16:creationId xmlns:a16="http://schemas.microsoft.com/office/drawing/2014/main" id="{00000000-0008-0000-0C00-000006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76200</xdr:colOff>
      <xdr:row>0</xdr:row>
      <xdr:rowOff>38100</xdr:rowOff>
    </xdr:from>
    <xdr:to>
      <xdr:col>1</xdr:col>
      <xdr:colOff>248633</xdr:colOff>
      <xdr:row>0</xdr:row>
      <xdr:rowOff>320433</xdr:rowOff>
    </xdr:to>
    <xdr:sp macro="" textlink="">
      <xdr:nvSpPr>
        <xdr:cNvPr id="36" name="Rectangle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 noChangeArrowheads="1"/>
        </xdr:cNvSpPr>
      </xdr:nvSpPr>
      <xdr:spPr bwMode="auto">
        <a:xfrm>
          <a:off x="76200" y="3810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3</xdr:col>
      <xdr:colOff>109220</xdr:colOff>
      <xdr:row>18</xdr:row>
      <xdr:rowOff>3095625</xdr:rowOff>
    </xdr:from>
    <xdr:to>
      <xdr:col>3</xdr:col>
      <xdr:colOff>3105785</xdr:colOff>
      <xdr:row>18</xdr:row>
      <xdr:rowOff>3339465</xdr:rowOff>
    </xdr:to>
    <xdr:sp macro="" textlink="">
      <xdr:nvSpPr>
        <xdr:cNvPr id="40" name="textruta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/>
      </xdr:nvSpPr>
      <xdr:spPr>
        <a:xfrm>
          <a:off x="6570345" y="7112000"/>
          <a:ext cx="2996565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100">
              <a:solidFill>
                <a:schemeClr val="bg1"/>
              </a:solidFill>
            </a:rPr>
            <a:t>Provpunkt 20, Björkaån  2020-01-14</a:t>
          </a:r>
        </a:p>
      </xdr:txBody>
    </xdr:sp>
    <xdr:clientData/>
  </xdr:twoCellAnchor>
  <xdr:twoCellAnchor>
    <xdr:from>
      <xdr:col>2</xdr:col>
      <xdr:colOff>525122</xdr:colOff>
      <xdr:row>18</xdr:row>
      <xdr:rowOff>3187036</xdr:rowOff>
    </xdr:from>
    <xdr:to>
      <xdr:col>3</xdr:col>
      <xdr:colOff>3698852</xdr:colOff>
      <xdr:row>18</xdr:row>
      <xdr:rowOff>3430876</xdr:rowOff>
    </xdr:to>
    <xdr:sp macro="" textlink="">
      <xdr:nvSpPr>
        <xdr:cNvPr id="43" name="textruta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/>
      </xdr:nvSpPr>
      <xdr:spPr>
        <a:xfrm>
          <a:off x="5942466" y="7163724"/>
          <a:ext cx="403098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100">
              <a:solidFill>
                <a:schemeClr val="bg1"/>
              </a:solidFill>
            </a:rPr>
            <a:t>Exempel:Provpunkt 3:2, Örstorpsbäcken</a:t>
          </a:r>
          <a:r>
            <a:rPr lang="sv-SE" sz="1100" baseline="0">
              <a:solidFill>
                <a:schemeClr val="bg1"/>
              </a:solidFill>
            </a:rPr>
            <a:t> </a:t>
          </a:r>
          <a:r>
            <a:rPr lang="sv-SE" sz="1100">
              <a:solidFill>
                <a:schemeClr val="bg1"/>
              </a:solidFill>
            </a:rPr>
            <a:t>2021-01-25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73</xdr:row>
          <xdr:rowOff>0</xdr:rowOff>
        </xdr:from>
        <xdr:to>
          <xdr:col>2</xdr:col>
          <xdr:colOff>25400</xdr:colOff>
          <xdr:row>78</xdr:row>
          <xdr:rowOff>3327400</xdr:rowOff>
        </xdr:to>
        <xdr:sp macro="" textlink="">
          <xdr:nvSpPr>
            <xdr:cNvPr id="605191" name="Object 7" hidden="1">
              <a:extLst>
                <a:ext uri="{63B3BB69-23CF-44E3-9099-C40C66FF867C}">
                  <a14:compatExt spid="_x0000_s605191"/>
                </a:ext>
                <a:ext uri="{FF2B5EF4-FFF2-40B4-BE49-F238E27FC236}">
                  <a16:creationId xmlns:a16="http://schemas.microsoft.com/office/drawing/2014/main" id="{00000000-0008-0000-0C00-000007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83</xdr:row>
          <xdr:rowOff>31750</xdr:rowOff>
        </xdr:from>
        <xdr:to>
          <xdr:col>2</xdr:col>
          <xdr:colOff>6350</xdr:colOff>
          <xdr:row>88</xdr:row>
          <xdr:rowOff>4235450</xdr:rowOff>
        </xdr:to>
        <xdr:sp macro="" textlink="">
          <xdr:nvSpPr>
            <xdr:cNvPr id="605192" name="Object 8" hidden="1">
              <a:extLst>
                <a:ext uri="{63B3BB69-23CF-44E3-9099-C40C66FF867C}">
                  <a14:compatExt spid="_x0000_s605192"/>
                </a:ext>
                <a:ext uri="{FF2B5EF4-FFF2-40B4-BE49-F238E27FC236}">
                  <a16:creationId xmlns:a16="http://schemas.microsoft.com/office/drawing/2014/main" id="{00000000-0008-0000-0C00-000008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93</xdr:row>
          <xdr:rowOff>76200</xdr:rowOff>
        </xdr:from>
        <xdr:to>
          <xdr:col>2</xdr:col>
          <xdr:colOff>266700</xdr:colOff>
          <xdr:row>98</xdr:row>
          <xdr:rowOff>4959350</xdr:rowOff>
        </xdr:to>
        <xdr:sp macro="" textlink="">
          <xdr:nvSpPr>
            <xdr:cNvPr id="605193" name="Object 9" hidden="1">
              <a:extLst>
                <a:ext uri="{63B3BB69-23CF-44E3-9099-C40C66FF867C}">
                  <a14:compatExt spid="_x0000_s605193"/>
                </a:ext>
                <a:ext uri="{FF2B5EF4-FFF2-40B4-BE49-F238E27FC236}">
                  <a16:creationId xmlns:a16="http://schemas.microsoft.com/office/drawing/2014/main" id="{00000000-0008-0000-0C00-000009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102</xdr:row>
          <xdr:rowOff>368300</xdr:rowOff>
        </xdr:from>
        <xdr:to>
          <xdr:col>1</xdr:col>
          <xdr:colOff>120650</xdr:colOff>
          <xdr:row>229</xdr:row>
          <xdr:rowOff>0</xdr:rowOff>
        </xdr:to>
        <xdr:sp macro="" textlink="">
          <xdr:nvSpPr>
            <xdr:cNvPr id="605194" name="Object 10" hidden="1">
              <a:extLst>
                <a:ext uri="{63B3BB69-23CF-44E3-9099-C40C66FF867C}">
                  <a14:compatExt spid="_x0000_s605194"/>
                </a:ext>
                <a:ext uri="{FF2B5EF4-FFF2-40B4-BE49-F238E27FC236}">
                  <a16:creationId xmlns:a16="http://schemas.microsoft.com/office/drawing/2014/main" id="{00000000-0008-0000-0C00-00000A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114</xdr:row>
          <xdr:rowOff>31750</xdr:rowOff>
        </xdr:from>
        <xdr:to>
          <xdr:col>2</xdr:col>
          <xdr:colOff>184150</xdr:colOff>
          <xdr:row>119</xdr:row>
          <xdr:rowOff>571500</xdr:rowOff>
        </xdr:to>
        <xdr:sp macro="" textlink="">
          <xdr:nvSpPr>
            <xdr:cNvPr id="605195" name="Object 11" hidden="1">
              <a:extLst>
                <a:ext uri="{63B3BB69-23CF-44E3-9099-C40C66FF867C}">
                  <a14:compatExt spid="_x0000_s605195"/>
                </a:ext>
                <a:ext uri="{FF2B5EF4-FFF2-40B4-BE49-F238E27FC236}">
                  <a16:creationId xmlns:a16="http://schemas.microsoft.com/office/drawing/2014/main" id="{00000000-0008-0000-0C00-00000B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123</xdr:row>
          <xdr:rowOff>6350</xdr:rowOff>
        </xdr:from>
        <xdr:to>
          <xdr:col>2</xdr:col>
          <xdr:colOff>63500</xdr:colOff>
          <xdr:row>129</xdr:row>
          <xdr:rowOff>190500</xdr:rowOff>
        </xdr:to>
        <xdr:sp macro="" textlink="">
          <xdr:nvSpPr>
            <xdr:cNvPr id="605196" name="Object 12" hidden="1">
              <a:extLst>
                <a:ext uri="{63B3BB69-23CF-44E3-9099-C40C66FF867C}">
                  <a14:compatExt spid="_x0000_s605196"/>
                </a:ext>
                <a:ext uri="{FF2B5EF4-FFF2-40B4-BE49-F238E27FC236}">
                  <a16:creationId xmlns:a16="http://schemas.microsoft.com/office/drawing/2014/main" id="{00000000-0008-0000-0C00-00000C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134</xdr:row>
          <xdr:rowOff>76200</xdr:rowOff>
        </xdr:from>
        <xdr:to>
          <xdr:col>2</xdr:col>
          <xdr:colOff>44450</xdr:colOff>
          <xdr:row>138</xdr:row>
          <xdr:rowOff>4826000</xdr:rowOff>
        </xdr:to>
        <xdr:sp macro="" textlink="">
          <xdr:nvSpPr>
            <xdr:cNvPr id="605197" name="Object 13" hidden="1">
              <a:extLst>
                <a:ext uri="{63B3BB69-23CF-44E3-9099-C40C66FF867C}">
                  <a14:compatExt spid="_x0000_s605197"/>
                </a:ext>
                <a:ext uri="{FF2B5EF4-FFF2-40B4-BE49-F238E27FC236}">
                  <a16:creationId xmlns:a16="http://schemas.microsoft.com/office/drawing/2014/main" id="{00000000-0008-0000-0C00-00000D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476250</xdr:colOff>
      <xdr:row>98</xdr:row>
      <xdr:rowOff>4200525</xdr:rowOff>
    </xdr:from>
    <xdr:to>
      <xdr:col>4</xdr:col>
      <xdr:colOff>91</xdr:colOff>
      <xdr:row>98</xdr:row>
      <xdr:rowOff>4453890</xdr:rowOff>
    </xdr:to>
    <xdr:sp macro="" textlink="">
      <xdr:nvSpPr>
        <xdr:cNvPr id="52" name="textruta 5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/>
      </xdr:nvSpPr>
      <xdr:spPr>
        <a:xfrm>
          <a:off x="6934200" y="70913625"/>
          <a:ext cx="4038691" cy="253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100">
              <a:solidFill>
                <a:schemeClr val="bg1"/>
              </a:solidFill>
            </a:rPr>
            <a:t>Provpunkt 3:2, Örstorpsbäcken</a:t>
          </a:r>
          <a:r>
            <a:rPr lang="sv-SE" sz="1100" baseline="0">
              <a:solidFill>
                <a:schemeClr val="bg1"/>
              </a:solidFill>
            </a:rPr>
            <a:t> </a:t>
          </a:r>
          <a:r>
            <a:rPr lang="sv-SE" sz="1100">
              <a:solidFill>
                <a:schemeClr val="bg1"/>
              </a:solidFill>
            </a:rPr>
            <a:t>2021-09-29, med </a:t>
          </a:r>
          <a:r>
            <a:rPr lang="sv-SE" sz="1100" baseline="0">
              <a:solidFill>
                <a:schemeClr val="bg1"/>
              </a:solidFill>
            </a:rPr>
            <a:t>kippta kanter</a:t>
          </a:r>
          <a:endParaRPr lang="sv-SE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3940969</xdr:colOff>
      <xdr:row>5</xdr:row>
      <xdr:rowOff>11906</xdr:rowOff>
    </xdr:from>
    <xdr:to>
      <xdr:col>7</xdr:col>
      <xdr:colOff>14113</xdr:colOff>
      <xdr:row>7</xdr:row>
      <xdr:rowOff>133350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15563" y="1250156"/>
          <a:ext cx="2026269" cy="8477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108</xdr:row>
          <xdr:rowOff>368300</xdr:rowOff>
        </xdr:from>
        <xdr:to>
          <xdr:col>2</xdr:col>
          <xdr:colOff>215900</xdr:colOff>
          <xdr:row>108</xdr:row>
          <xdr:rowOff>4489450</xdr:rowOff>
        </xdr:to>
        <xdr:sp macro="" textlink="">
          <xdr:nvSpPr>
            <xdr:cNvPr id="605198" name="Object 14" hidden="1">
              <a:extLst>
                <a:ext uri="{63B3BB69-23CF-44E3-9099-C40C66FF867C}">
                  <a14:compatExt spid="_x0000_s605198"/>
                </a:ext>
                <a:ext uri="{FF2B5EF4-FFF2-40B4-BE49-F238E27FC236}">
                  <a16:creationId xmlns:a16="http://schemas.microsoft.com/office/drawing/2014/main" id="{00000000-0008-0000-0C00-00000E3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822960</xdr:colOff>
      <xdr:row>13</xdr:row>
      <xdr:rowOff>182881</xdr:rowOff>
    </xdr:from>
    <xdr:to>
      <xdr:col>6</xdr:col>
      <xdr:colOff>2078</xdr:colOff>
      <xdr:row>18</xdr:row>
      <xdr:rowOff>4526281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EEF658A-F164-1891-D888-1A5C6900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00800" y="3246121"/>
          <a:ext cx="5541818" cy="5242560"/>
        </a:xfrm>
        <a:prstGeom prst="rect">
          <a:avLst/>
        </a:prstGeom>
      </xdr:spPr>
    </xdr:pic>
    <xdr:clientData/>
  </xdr:twoCellAnchor>
  <xdr:twoCellAnchor>
    <xdr:from>
      <xdr:col>2</xdr:col>
      <xdr:colOff>813435</xdr:colOff>
      <xdr:row>18</xdr:row>
      <xdr:rowOff>4061460</xdr:rowOff>
    </xdr:from>
    <xdr:to>
      <xdr:col>3</xdr:col>
      <xdr:colOff>3329940</xdr:colOff>
      <xdr:row>18</xdr:row>
      <xdr:rowOff>4432935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6391275" y="8023860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Torpsbäcken,</a:t>
          </a:r>
          <a:r>
            <a:rPr lang="sv-SE" sz="1200" b="1" baseline="0">
              <a:solidFill>
                <a:schemeClr val="bg1"/>
              </a:solidFill>
            </a:rPr>
            <a:t> 13/1-2025</a:t>
          </a:r>
          <a:endParaRPr lang="sv-SE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76200</xdr:colOff>
      <xdr:row>23</xdr:row>
      <xdr:rowOff>171450</xdr:rowOff>
    </xdr:from>
    <xdr:to>
      <xdr:col>3</xdr:col>
      <xdr:colOff>3524820</xdr:colOff>
      <xdr:row>28</xdr:row>
      <xdr:rowOff>4238626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4AE031CB-3406-E2F7-1950-50D6D7ED4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5610509" y="11763091"/>
          <a:ext cx="4933951" cy="3448620"/>
        </a:xfrm>
        <a:prstGeom prst="rect">
          <a:avLst/>
        </a:prstGeom>
      </xdr:spPr>
    </xdr:pic>
    <xdr:clientData/>
  </xdr:twoCellAnchor>
  <xdr:twoCellAnchor editAs="oneCell">
    <xdr:from>
      <xdr:col>2</xdr:col>
      <xdr:colOff>845821</xdr:colOff>
      <xdr:row>32</xdr:row>
      <xdr:rowOff>114301</xdr:rowOff>
    </xdr:from>
    <xdr:to>
      <xdr:col>3</xdr:col>
      <xdr:colOff>4105276</xdr:colOff>
      <xdr:row>38</xdr:row>
      <xdr:rowOff>4358640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52A32B5-6441-98A7-8F6D-69301663C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733099" y="19130963"/>
          <a:ext cx="5524499" cy="4143375"/>
        </a:xfrm>
        <a:prstGeom prst="rect">
          <a:avLst/>
        </a:prstGeom>
      </xdr:spPr>
    </xdr:pic>
    <xdr:clientData/>
  </xdr:twoCellAnchor>
  <xdr:twoCellAnchor>
    <xdr:from>
      <xdr:col>2</xdr:col>
      <xdr:colOff>876301</xdr:colOff>
      <xdr:row>38</xdr:row>
      <xdr:rowOff>3977641</xdr:rowOff>
    </xdr:from>
    <xdr:to>
      <xdr:col>3</xdr:col>
      <xdr:colOff>3392806</xdr:colOff>
      <xdr:row>38</xdr:row>
      <xdr:rowOff>4349116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41D92C83-BA65-4C04-85D3-947DACABCFDA}"/>
            </a:ext>
          </a:extLst>
        </xdr:cNvPr>
        <xdr:cNvSpPr txBox="1"/>
      </xdr:nvSpPr>
      <xdr:spPr>
        <a:xfrm>
          <a:off x="6454141" y="23583901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Bråån,</a:t>
          </a:r>
          <a:r>
            <a:rPr lang="sv-SE" sz="1200" b="1" baseline="0">
              <a:solidFill>
                <a:schemeClr val="bg1"/>
              </a:solidFill>
            </a:rPr>
            <a:t> 18/3-2025</a:t>
          </a:r>
          <a:endParaRPr lang="sv-SE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845818</xdr:colOff>
      <xdr:row>43</xdr:row>
      <xdr:rowOff>106684</xdr:rowOff>
    </xdr:from>
    <xdr:to>
      <xdr:col>3</xdr:col>
      <xdr:colOff>4492169</xdr:colOff>
      <xdr:row>48</xdr:row>
      <xdr:rowOff>4648202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3904218-B133-1A10-00BA-E50EA6674C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8" r="20153"/>
        <a:stretch/>
      </xdr:blipFill>
      <xdr:spPr>
        <a:xfrm rot="5400000">
          <a:off x="5968455" y="27087107"/>
          <a:ext cx="5440678" cy="4530271"/>
        </a:xfrm>
        <a:prstGeom prst="rect">
          <a:avLst/>
        </a:prstGeom>
      </xdr:spPr>
    </xdr:pic>
    <xdr:clientData/>
  </xdr:twoCellAnchor>
  <xdr:twoCellAnchor>
    <xdr:from>
      <xdr:col>2</xdr:col>
      <xdr:colOff>868678</xdr:colOff>
      <xdr:row>48</xdr:row>
      <xdr:rowOff>4305304</xdr:rowOff>
    </xdr:from>
    <xdr:to>
      <xdr:col>3</xdr:col>
      <xdr:colOff>3385183</xdr:colOff>
      <xdr:row>48</xdr:row>
      <xdr:rowOff>4676779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6F5B6F80-85E2-476D-9BEC-FEC208AD39A7}"/>
            </a:ext>
          </a:extLst>
        </xdr:cNvPr>
        <xdr:cNvSpPr txBox="1"/>
      </xdr:nvSpPr>
      <xdr:spPr>
        <a:xfrm>
          <a:off x="6446518" y="31729684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Högsmölla, 14/4 2025</a:t>
          </a:r>
        </a:p>
      </xdr:txBody>
    </xdr:sp>
    <xdr:clientData/>
  </xdr:twoCellAnchor>
  <xdr:twoCellAnchor editAs="oneCell">
    <xdr:from>
      <xdr:col>2</xdr:col>
      <xdr:colOff>876300</xdr:colOff>
      <xdr:row>50</xdr:row>
      <xdr:rowOff>152400</xdr:rowOff>
    </xdr:from>
    <xdr:to>
      <xdr:col>3</xdr:col>
      <xdr:colOff>4411980</xdr:colOff>
      <xdr:row>58</xdr:row>
      <xdr:rowOff>4429760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C31ED5C-34AD-795A-3345-6DAFF5EA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33779460"/>
          <a:ext cx="4419600" cy="5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53340</xdr:colOff>
      <xdr:row>58</xdr:row>
      <xdr:rowOff>4008120</xdr:rowOff>
    </xdr:from>
    <xdr:to>
      <xdr:col>3</xdr:col>
      <xdr:colOff>3453765</xdr:colOff>
      <xdr:row>58</xdr:row>
      <xdr:rowOff>4379595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35E0AB05-A62E-4988-B4B7-114C99F2B8B2}"/>
            </a:ext>
          </a:extLst>
        </xdr:cNvPr>
        <xdr:cNvSpPr txBox="1"/>
      </xdr:nvSpPr>
      <xdr:spPr>
        <a:xfrm>
          <a:off x="6515100" y="39250620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Borstbäcken, 15/5 2025</a:t>
          </a:r>
        </a:p>
      </xdr:txBody>
    </xdr:sp>
    <xdr:clientData/>
  </xdr:twoCellAnchor>
  <xdr:twoCellAnchor editAs="oneCell">
    <xdr:from>
      <xdr:col>3</xdr:col>
      <xdr:colOff>510541</xdr:colOff>
      <xdr:row>63</xdr:row>
      <xdr:rowOff>149867</xdr:rowOff>
    </xdr:from>
    <xdr:to>
      <xdr:col>4</xdr:col>
      <xdr:colOff>160020</xdr:colOff>
      <xdr:row>68</xdr:row>
      <xdr:rowOff>4808225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78F911D-45E6-54D8-A891-EE675AA82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277612" y="43006016"/>
          <a:ext cx="5557518" cy="4168139"/>
        </a:xfrm>
        <a:prstGeom prst="rect">
          <a:avLst/>
        </a:prstGeom>
      </xdr:spPr>
    </xdr:pic>
    <xdr:clientData/>
  </xdr:twoCellAnchor>
  <xdr:twoCellAnchor>
    <xdr:from>
      <xdr:col>3</xdr:col>
      <xdr:colOff>525781</xdr:colOff>
      <xdr:row>68</xdr:row>
      <xdr:rowOff>4394204</xdr:rowOff>
    </xdr:from>
    <xdr:to>
      <xdr:col>3</xdr:col>
      <xdr:colOff>3926206</xdr:colOff>
      <xdr:row>68</xdr:row>
      <xdr:rowOff>4765679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B8497681-EE18-4528-9A22-39B2350D8F25}"/>
            </a:ext>
          </a:extLst>
        </xdr:cNvPr>
        <xdr:cNvSpPr txBox="1"/>
      </xdr:nvSpPr>
      <xdr:spPr>
        <a:xfrm>
          <a:off x="6987541" y="47454824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Kävlinge</a:t>
          </a:r>
          <a:r>
            <a:rPr lang="sv-SE" sz="1200" b="1" baseline="0">
              <a:solidFill>
                <a:schemeClr val="bg1"/>
              </a:solidFill>
            </a:rPr>
            <a:t>ån, juni 2024</a:t>
          </a:r>
          <a:endParaRPr lang="sv-SE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289560</xdr:colOff>
      <xdr:row>72</xdr:row>
      <xdr:rowOff>22859</xdr:rowOff>
    </xdr:from>
    <xdr:to>
      <xdr:col>3</xdr:col>
      <xdr:colOff>4285756</xdr:colOff>
      <xdr:row>78</xdr:row>
      <xdr:rowOff>3108960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B0BAAD9-2BC1-C9DA-8362-EA8F185CC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51320" y="49621439"/>
          <a:ext cx="3996196" cy="4366261"/>
        </a:xfrm>
        <a:prstGeom prst="rect">
          <a:avLst/>
        </a:prstGeom>
      </xdr:spPr>
    </xdr:pic>
    <xdr:clientData/>
  </xdr:twoCellAnchor>
  <xdr:twoCellAnchor>
    <xdr:from>
      <xdr:col>3</xdr:col>
      <xdr:colOff>289560</xdr:colOff>
      <xdr:row>78</xdr:row>
      <xdr:rowOff>2773679</xdr:rowOff>
    </xdr:from>
    <xdr:to>
      <xdr:col>3</xdr:col>
      <xdr:colOff>3689985</xdr:colOff>
      <xdr:row>78</xdr:row>
      <xdr:rowOff>3145154</xdr:rowOff>
    </xdr:to>
    <xdr:sp macro="" textlink="">
      <xdr:nvSpPr>
        <xdr:cNvPr id="15" name="textruta 14">
          <a:extLst>
            <a:ext uri="{FF2B5EF4-FFF2-40B4-BE49-F238E27FC236}">
              <a16:creationId xmlns:a16="http://schemas.microsoft.com/office/drawing/2014/main" id="{900F3F1B-0BDD-44FA-B125-D8FF33973252}"/>
            </a:ext>
          </a:extLst>
        </xdr:cNvPr>
        <xdr:cNvSpPr txBox="1"/>
      </xdr:nvSpPr>
      <xdr:spPr>
        <a:xfrm>
          <a:off x="6751320" y="53652419"/>
          <a:ext cx="3400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>
              <a:solidFill>
                <a:schemeClr val="bg1"/>
              </a:solidFill>
            </a:rPr>
            <a:t>Vombsjöns utlopp</a:t>
          </a:r>
          <a:r>
            <a:rPr lang="sv-SE" sz="1200" b="1" baseline="0">
              <a:solidFill>
                <a:schemeClr val="bg1"/>
              </a:solidFill>
            </a:rPr>
            <a:t>, juli 2025</a:t>
          </a:r>
          <a:endParaRPr lang="sv-SE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0.19059</cdr:x>
      <cdr:y>0.19023</cdr:y>
    </cdr:from>
    <cdr:to>
      <cdr:x>0.74686</cdr:x>
      <cdr:y>0.33011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13219" y="142697"/>
          <a:ext cx="3052410" cy="102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00" b="0" i="0" u="none" strike="noStrike" baseline="0">
              <a:solidFill>
                <a:srgbClr val="000000"/>
              </a:solidFill>
              <a:latin typeface="Arial"/>
              <a:cs typeface="Arial"/>
            </a:rPr>
            <a:t>Fosforhalter i Ringsjöns utlopp</a:t>
          </a:r>
        </a:p>
      </cdr:txBody>
    </cdr:sp>
  </cdr:relSizeAnchor>
  <cdr:relSizeAnchor xmlns:cdr="http://schemas.openxmlformats.org/drawingml/2006/chartDrawing">
    <cdr:from>
      <cdr:x>0.00859</cdr:x>
      <cdr:y>0.11671</cdr:y>
    </cdr:from>
    <cdr:to>
      <cdr:x>0.05303</cdr:x>
      <cdr:y>0.25397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8771"/>
          <a:ext cx="314639" cy="100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µg/l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681068</xdr:colOff>
      <xdr:row>1</xdr:row>
      <xdr:rowOff>9918</xdr:rowOff>
    </xdr:to>
    <xdr:sp macro="" textlink="">
      <xdr:nvSpPr>
        <xdr:cNvPr id="3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19050</xdr:colOff>
      <xdr:row>1</xdr:row>
      <xdr:rowOff>133350</xdr:rowOff>
    </xdr:to>
    <xdr:sp macro="" textlink="">
      <xdr:nvSpPr>
        <xdr:cNvPr id="3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57150" y="38100"/>
          <a:ext cx="647700" cy="25717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57151</xdr:colOff>
      <xdr:row>0</xdr:row>
      <xdr:rowOff>80010</xdr:rowOff>
    </xdr:from>
    <xdr:to>
      <xdr:col>8</xdr:col>
      <xdr:colOff>184031</xdr:colOff>
      <xdr:row>1</xdr:row>
      <xdr:rowOff>119238</xdr:rowOff>
    </xdr:to>
    <xdr:sp macro="" textlink="">
      <xdr:nvSpPr>
        <xdr:cNvPr id="4100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100000}"/>
            </a:ext>
          </a:extLst>
        </xdr:cNvPr>
        <xdr:cNvSpPr>
          <a:spLocks noChangeArrowheads="1"/>
        </xdr:cNvSpPr>
      </xdr:nvSpPr>
      <xdr:spPr bwMode="auto">
        <a:xfrm>
          <a:off x="3771901" y="80010"/>
          <a:ext cx="1536580" cy="31545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826F"/>
              </a:solidFill>
              <a:latin typeface="Arial"/>
              <a:cs typeface="Arial"/>
            </a:rPr>
            <a:t>Resultat, per månad</a:t>
          </a:r>
        </a:p>
      </xdr:txBody>
    </xdr:sp>
    <xdr:clientData fPrintsWithSheet="0"/>
  </xdr:twoCellAnchor>
  <xdr:twoCellAnchor editAs="oneCell">
    <xdr:from>
      <xdr:col>8</xdr:col>
      <xdr:colOff>457200</xdr:colOff>
      <xdr:row>0</xdr:row>
      <xdr:rowOff>85725</xdr:rowOff>
    </xdr:from>
    <xdr:to>
      <xdr:col>11</xdr:col>
      <xdr:colOff>542925</xdr:colOff>
      <xdr:row>1</xdr:row>
      <xdr:rowOff>124953</xdr:rowOff>
    </xdr:to>
    <xdr:sp macro="" textlink="">
      <xdr:nvSpPr>
        <xdr:cNvPr id="3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5581650" y="85725"/>
          <a:ext cx="1885950" cy="31545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826F"/>
              </a:solidFill>
              <a:latin typeface="Arial"/>
              <a:cs typeface="Arial"/>
            </a:rPr>
            <a:t>Sorterat per provpunkt</a:t>
          </a:r>
        </a:p>
      </xdr:txBody>
    </xdr:sp>
    <xdr:clientData fPrintsWithSheet="0"/>
  </xdr:twoCellAnchor>
  <xdr:twoCellAnchor editAs="oneCell">
    <xdr:from>
      <xdr:col>0</xdr:col>
      <xdr:colOff>38100</xdr:colOff>
      <xdr:row>0</xdr:row>
      <xdr:rowOff>47626</xdr:rowOff>
    </xdr:from>
    <xdr:to>
      <xdr:col>0</xdr:col>
      <xdr:colOff>638175</xdr:colOff>
      <xdr:row>1</xdr:row>
      <xdr:rowOff>19051</xdr:rowOff>
    </xdr:to>
    <xdr:sp macro="" textlink="">
      <xdr:nvSpPr>
        <xdr:cNvPr id="4" name="Rectangle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38100" y="47626"/>
          <a:ext cx="600075" cy="247650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1229591</xdr:colOff>
      <xdr:row>8</xdr:row>
      <xdr:rowOff>17318</xdr:rowOff>
    </xdr:from>
    <xdr:to>
      <xdr:col>1</xdr:col>
      <xdr:colOff>2001084</xdr:colOff>
      <xdr:row>9</xdr:row>
      <xdr:rowOff>2079</xdr:rowOff>
    </xdr:to>
    <xdr:sp macro="[0]!JAN_kom" textlink="">
      <xdr:nvSpPr>
        <xdr:cNvPr id="16" name="Rectangle 7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696316" y="2874818"/>
          <a:ext cx="756253" cy="190501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1220066</xdr:colOff>
      <xdr:row>30</xdr:row>
      <xdr:rowOff>7793</xdr:rowOff>
    </xdr:from>
    <xdr:to>
      <xdr:col>1</xdr:col>
      <xdr:colOff>1962694</xdr:colOff>
      <xdr:row>31</xdr:row>
      <xdr:rowOff>865</xdr:rowOff>
    </xdr:to>
    <xdr:sp macro="[0]!Feb_kom" textlink="">
      <xdr:nvSpPr>
        <xdr:cNvPr id="17" name="Rectangle 7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686791" y="6227618"/>
          <a:ext cx="742628" cy="198812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1185776</xdr:colOff>
      <xdr:row>42</xdr:row>
      <xdr:rowOff>45894</xdr:rowOff>
    </xdr:from>
    <xdr:to>
      <xdr:col>1</xdr:col>
      <xdr:colOff>1927041</xdr:colOff>
      <xdr:row>43</xdr:row>
      <xdr:rowOff>866</xdr:rowOff>
    </xdr:to>
    <xdr:sp macro="[0]!Mar_kom" textlink="">
      <xdr:nvSpPr>
        <xdr:cNvPr id="18" name="Rectangle 7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652501" y="6389544"/>
          <a:ext cx="741265" cy="17404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1172441</xdr:colOff>
      <xdr:row>64</xdr:row>
      <xdr:rowOff>7793</xdr:rowOff>
    </xdr:from>
    <xdr:to>
      <xdr:col>1</xdr:col>
      <xdr:colOff>1924884</xdr:colOff>
      <xdr:row>65</xdr:row>
      <xdr:rowOff>866</xdr:rowOff>
    </xdr:to>
    <xdr:sp macro="[0]!Apr_kom" textlink="">
      <xdr:nvSpPr>
        <xdr:cNvPr id="22" name="Rectangle 8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1639166" y="11237768"/>
          <a:ext cx="741013" cy="19881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1181966</xdr:colOff>
      <xdr:row>76</xdr:row>
      <xdr:rowOff>7793</xdr:rowOff>
    </xdr:from>
    <xdr:to>
      <xdr:col>1</xdr:col>
      <xdr:colOff>1922979</xdr:colOff>
      <xdr:row>76</xdr:row>
      <xdr:rowOff>193340</xdr:rowOff>
    </xdr:to>
    <xdr:sp macro="[0]!Maj_kom" textlink="">
      <xdr:nvSpPr>
        <xdr:cNvPr id="24" name="Rectangle 8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1648691" y="12980843"/>
          <a:ext cx="741013" cy="18554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1157201</xdr:colOff>
      <xdr:row>98</xdr:row>
      <xdr:rowOff>28748</xdr:rowOff>
    </xdr:from>
    <xdr:to>
      <xdr:col>1</xdr:col>
      <xdr:colOff>1885814</xdr:colOff>
      <xdr:row>99</xdr:row>
      <xdr:rowOff>960</xdr:rowOff>
    </xdr:to>
    <xdr:sp macro="[0]!Juni_kom" textlink="">
      <xdr:nvSpPr>
        <xdr:cNvPr id="26" name="Rectangle 8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1623926" y="16268873"/>
          <a:ext cx="728613" cy="181762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1153391</xdr:colOff>
      <xdr:row>110</xdr:row>
      <xdr:rowOff>26843</xdr:rowOff>
    </xdr:from>
    <xdr:to>
      <xdr:col>1</xdr:col>
      <xdr:colOff>1924884</xdr:colOff>
      <xdr:row>111</xdr:row>
      <xdr:rowOff>866</xdr:rowOff>
    </xdr:to>
    <xdr:sp macro="[0]!Juli_kom" textlink="">
      <xdr:nvSpPr>
        <xdr:cNvPr id="28" name="Rectangle 8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1620116" y="13342793"/>
          <a:ext cx="756253" cy="18357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1128626</xdr:colOff>
      <xdr:row>132</xdr:row>
      <xdr:rowOff>26843</xdr:rowOff>
    </xdr:from>
    <xdr:to>
      <xdr:col>1</xdr:col>
      <xdr:colOff>1869891</xdr:colOff>
      <xdr:row>133</xdr:row>
      <xdr:rowOff>866</xdr:rowOff>
    </xdr:to>
    <xdr:sp macro="[0]!Aug_kom" textlink="">
      <xdr:nvSpPr>
        <xdr:cNvPr id="30" name="Rectangle 9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1595351" y="14476268"/>
          <a:ext cx="741265" cy="193098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1227686</xdr:colOff>
      <xdr:row>144</xdr:row>
      <xdr:rowOff>17318</xdr:rowOff>
    </xdr:from>
    <xdr:to>
      <xdr:col>1</xdr:col>
      <xdr:colOff>1923885</xdr:colOff>
      <xdr:row>145</xdr:row>
      <xdr:rowOff>0</xdr:rowOff>
    </xdr:to>
    <xdr:sp macro="[0]!Sep_kom" textlink="">
      <xdr:nvSpPr>
        <xdr:cNvPr id="32" name="Rectangle 9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1694411" y="23010668"/>
          <a:ext cx="696199" cy="18270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1195301</xdr:colOff>
      <xdr:row>166</xdr:row>
      <xdr:rowOff>0</xdr:rowOff>
    </xdr:from>
    <xdr:to>
      <xdr:col>1</xdr:col>
      <xdr:colOff>1927041</xdr:colOff>
      <xdr:row>167</xdr:row>
      <xdr:rowOff>0</xdr:rowOff>
    </xdr:to>
    <xdr:sp macro="[0]!Okt_kom" textlink="">
      <xdr:nvSpPr>
        <xdr:cNvPr id="34" name="Rectangle 9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1662026" y="26260425"/>
          <a:ext cx="731740" cy="20002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1256261</xdr:colOff>
      <xdr:row>178</xdr:row>
      <xdr:rowOff>28574</xdr:rowOff>
    </xdr:from>
    <xdr:to>
      <xdr:col>1</xdr:col>
      <xdr:colOff>1964926</xdr:colOff>
      <xdr:row>179</xdr:row>
      <xdr:rowOff>0</xdr:rowOff>
    </xdr:to>
    <xdr:sp macro="[0]!Nov_kom" textlink="">
      <xdr:nvSpPr>
        <xdr:cNvPr id="36" name="Rectangle 9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1722986" y="28032074"/>
          <a:ext cx="708665" cy="190501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1</xdr:col>
      <xdr:colOff>1256261</xdr:colOff>
      <xdr:row>200</xdr:row>
      <xdr:rowOff>28575</xdr:rowOff>
    </xdr:from>
    <xdr:to>
      <xdr:col>1</xdr:col>
      <xdr:colOff>1964926</xdr:colOff>
      <xdr:row>201</xdr:row>
      <xdr:rowOff>192</xdr:rowOff>
    </xdr:to>
    <xdr:sp macro="[0]!Dec_kom" textlink="">
      <xdr:nvSpPr>
        <xdr:cNvPr id="38" name="Rectangle 9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1722986" y="21450300"/>
          <a:ext cx="718190" cy="181167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900" b="1" i="0" u="none" strike="noStrike" baseline="0">
              <a:solidFill>
                <a:srgbClr val="00826F"/>
              </a:solidFill>
              <a:latin typeface="Arial"/>
              <a:cs typeface="Arial"/>
            </a:rPr>
            <a:t>kommentar</a:t>
          </a:r>
        </a:p>
      </xdr:txBody>
    </xdr:sp>
    <xdr:clientData fPrintsWithSheet="0"/>
  </xdr:twoCellAnchor>
  <xdr:twoCellAnchor editAs="oneCell">
    <xdr:from>
      <xdr:col>2</xdr:col>
      <xdr:colOff>762000</xdr:colOff>
      <xdr:row>0</xdr:row>
      <xdr:rowOff>514350</xdr:rowOff>
    </xdr:from>
    <xdr:to>
      <xdr:col>14</xdr:col>
      <xdr:colOff>209550</xdr:colOff>
      <xdr:row>0</xdr:row>
      <xdr:rowOff>1043940</xdr:rowOff>
    </xdr:to>
    <xdr:grpSp>
      <xdr:nvGrpSpPr>
        <xdr:cNvPr id="1465001" name="Group 103">
          <a:extLst>
            <a:ext uri="{FF2B5EF4-FFF2-40B4-BE49-F238E27FC236}">
              <a16:creationId xmlns:a16="http://schemas.microsoft.com/office/drawing/2014/main" id="{00000000-0008-0000-0100-0000A95A1600}"/>
            </a:ext>
          </a:extLst>
        </xdr:cNvPr>
        <xdr:cNvGrpSpPr>
          <a:grpSpLocks/>
        </xdr:cNvGrpSpPr>
      </xdr:nvGrpSpPr>
      <xdr:grpSpPr bwMode="auto">
        <a:xfrm>
          <a:off x="3590925" y="514350"/>
          <a:ext cx="5210175" cy="526415"/>
          <a:chOff x="50" y="166"/>
          <a:chExt cx="518" cy="55"/>
        </a:xfrm>
      </xdr:grpSpPr>
      <xdr:sp macro="[0]!Jan_rapp" textlink="">
        <xdr:nvSpPr>
          <xdr:cNvPr id="31" name="Rectangle 78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Januari</a:t>
            </a:r>
          </a:p>
        </xdr:txBody>
      </xdr:sp>
      <xdr:sp macro="[0]!Feb_rapp" textlink="">
        <xdr:nvSpPr>
          <xdr:cNvPr id="33" name="Rectangle 79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Februari</a:t>
            </a:r>
          </a:p>
        </xdr:txBody>
      </xdr:sp>
      <xdr:sp macro="[0]!Mar_rapp" textlink="">
        <xdr:nvSpPr>
          <xdr:cNvPr id="35" name="Rectangle 80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Mars</a:t>
            </a:r>
          </a:p>
        </xdr:txBody>
      </xdr:sp>
      <xdr:sp macro="[0]!Apr_rapp" textlink="">
        <xdr:nvSpPr>
          <xdr:cNvPr id="37" name="Rectangle 81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April</a:t>
            </a:r>
          </a:p>
        </xdr:txBody>
      </xdr:sp>
      <xdr:sp macro="[0]!Maj_rapp" textlink="">
        <xdr:nvSpPr>
          <xdr:cNvPr id="39" name="Rectangle 82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Maj</a:t>
            </a:r>
          </a:p>
        </xdr:txBody>
      </xdr:sp>
      <xdr:sp macro="[0]!Jun_rapp" textlink="">
        <xdr:nvSpPr>
          <xdr:cNvPr id="40" name="Rectangle 8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66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Juni</a:t>
            </a:r>
          </a:p>
        </xdr:txBody>
      </xdr:sp>
      <xdr:sp macro="[0]!Jul_rapp" textlink="">
        <xdr:nvSpPr>
          <xdr:cNvPr id="41" name="Rectangle 84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0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Juli</a:t>
            </a:r>
          </a:p>
        </xdr:txBody>
      </xdr:sp>
      <xdr:sp macro="[0]!Aug_rapp" textlink="">
        <xdr:nvSpPr>
          <xdr:cNvPr id="42" name="Rectangle 85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Augusti</a:t>
            </a:r>
          </a:p>
        </xdr:txBody>
      </xdr:sp>
      <xdr:sp macro="[0]!Sep_rapp" textlink="">
        <xdr:nvSpPr>
          <xdr:cNvPr id="43" name="Rectangle 86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24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September</a:t>
            </a:r>
          </a:p>
        </xdr:txBody>
      </xdr:sp>
      <xdr:sp macro="[0]!Okt_rapp" textlink="">
        <xdr:nvSpPr>
          <xdr:cNvPr id="44" name="Rectangle 87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311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Oktober</a:t>
            </a:r>
          </a:p>
        </xdr:txBody>
      </xdr:sp>
      <xdr:sp macro="[0]!Nov_rapp" textlink="">
        <xdr:nvSpPr>
          <xdr:cNvPr id="45" name="Rectangle 88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98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indent="0"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November</a:t>
            </a:r>
          </a:p>
        </xdr:txBody>
      </xdr:sp>
      <xdr:sp macro="[0]!Dec_rapp" textlink="">
        <xdr:nvSpPr>
          <xdr:cNvPr id="46" name="Rectangle 89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85" y="198"/>
            <a:ext cx="83" cy="23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sv-SE" sz="1000" b="0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December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260350</xdr:colOff>
          <xdr:row>0</xdr:row>
          <xdr:rowOff>38100</xdr:rowOff>
        </xdr:from>
        <xdr:to>
          <xdr:col>10</xdr:col>
          <xdr:colOff>311150</xdr:colOff>
          <xdr:row>0</xdr:row>
          <xdr:rowOff>425450</xdr:rowOff>
        </xdr:to>
        <xdr:sp macro="" textlink="">
          <xdr:nvSpPr>
            <xdr:cNvPr id="604194" name="Button 34" hidden="1">
              <a:extLst>
                <a:ext uri="{63B3BB69-23CF-44E3-9099-C40C66FF867C}">
                  <a14:compatExt spid="_x0000_s604194"/>
                </a:ext>
                <a:ext uri="{FF2B5EF4-FFF2-40B4-BE49-F238E27FC236}">
                  <a16:creationId xmlns:a16="http://schemas.microsoft.com/office/drawing/2014/main" id="{00000000-0008-0000-0100-0000223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sv-SE" sz="1400" b="1" i="0" u="none" strike="noStrike" baseline="0">
                  <a:solidFill>
                    <a:srgbClr val="008080"/>
                  </a:solidFill>
                  <a:latin typeface="Arial"/>
                  <a:cs typeface="Arial"/>
                </a:rPr>
                <a:t>Uppdatera sortering</a:t>
              </a:r>
            </a:p>
            <a:p>
              <a:pPr algn="ctr" rtl="0">
                <a:defRPr sz="1000"/>
              </a:pPr>
              <a:endParaRPr lang="sv-SE" sz="1400" b="1" i="0" u="none" strike="noStrike" baseline="0">
                <a:solidFill>
                  <a:srgbClr val="008080"/>
                </a:solidFill>
                <a:latin typeface="Arial"/>
                <a:cs typeface="Arial"/>
              </a:endParaRPr>
            </a:p>
          </xdr:txBody>
        </xdr:sp>
        <xdr:clientData fLocksWithSheet="0" fPrintsWithSheet="0"/>
      </xdr:twoCellAnchor>
    </mc:Choice>
    <mc:Fallback/>
  </mc:AlternateContent>
  <xdr:twoCellAnchor editAs="oneCell">
    <xdr:from>
      <xdr:col>1</xdr:col>
      <xdr:colOff>114300</xdr:colOff>
      <xdr:row>0</xdr:row>
      <xdr:rowOff>47625</xdr:rowOff>
    </xdr:from>
    <xdr:to>
      <xdr:col>1</xdr:col>
      <xdr:colOff>742028</xdr:colOff>
      <xdr:row>0</xdr:row>
      <xdr:rowOff>322338</xdr:rowOff>
    </xdr:to>
    <xdr:sp macro="" textlink="">
      <xdr:nvSpPr>
        <xdr:cNvPr id="47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114300" y="47625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826F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16</xdr:col>
      <xdr:colOff>152400</xdr:colOff>
      <xdr:row>0</xdr:row>
      <xdr:rowOff>95250</xdr:rowOff>
    </xdr:from>
    <xdr:to>
      <xdr:col>21</xdr:col>
      <xdr:colOff>57149</xdr:colOff>
      <xdr:row>0</xdr:row>
      <xdr:rowOff>1019176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77275" y="95250"/>
          <a:ext cx="3314699" cy="92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När du klickar på "Uppdatera sortering":</a:t>
          </a:r>
        </a:p>
        <a:p>
          <a:r>
            <a:rPr lang="sv-SE" sz="1100"/>
            <a:t>* Kopieras data från denna flik till Sorterat-fliken, och * Data som ska redovisa under vår ackreditering</a:t>
          </a:r>
        </a:p>
        <a:p>
          <a:r>
            <a:rPr lang="sv-SE" sz="1100" baseline="0"/>
            <a:t>   </a:t>
          </a:r>
          <a:r>
            <a:rPr lang="sv-SE" sz="1100"/>
            <a:t>kopieras till Rapport-fliken.</a:t>
          </a:r>
        </a:p>
      </xdr:txBody>
    </xdr:sp>
    <xdr:clientData/>
  </xdr:twoCellAnchor>
  <xdr:twoCellAnchor>
    <xdr:from>
      <xdr:col>10</xdr:col>
      <xdr:colOff>342900</xdr:colOff>
      <xdr:row>0</xdr:row>
      <xdr:rowOff>171450</xdr:rowOff>
    </xdr:from>
    <xdr:to>
      <xdr:col>16</xdr:col>
      <xdr:colOff>142875</xdr:colOff>
      <xdr:row>0</xdr:row>
      <xdr:rowOff>190500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 flipH="1" flipV="1">
          <a:off x="6553200" y="171450"/>
          <a:ext cx="2114550" cy="190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11</xdr:col>
      <xdr:colOff>9525</xdr:colOff>
      <xdr:row>2</xdr:row>
      <xdr:rowOff>323850</xdr:rowOff>
    </xdr:from>
    <xdr:to>
      <xdr:col>11</xdr:col>
      <xdr:colOff>304763</xdr:colOff>
      <xdr:row>4</xdr:row>
      <xdr:rowOff>19012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8925" y="1781175"/>
          <a:ext cx="295238" cy="3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0</xdr:row>
      <xdr:rowOff>85724</xdr:rowOff>
    </xdr:from>
    <xdr:to>
      <xdr:col>17</xdr:col>
      <xdr:colOff>716482</xdr:colOff>
      <xdr:row>0</xdr:row>
      <xdr:rowOff>1600199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SpPr txBox="1">
          <a:spLocks noChangeArrowheads="1"/>
        </xdr:cNvSpPr>
      </xdr:nvSpPr>
      <xdr:spPr bwMode="auto">
        <a:xfrm>
          <a:off x="7924800" y="85724"/>
          <a:ext cx="2192857" cy="151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50000"/>
          </a:srgbClr>
        </a:solidFill>
        <a:ln w="47625" cmpd="thinThick">
          <a:solidFill>
            <a:srgbClr val="00826F"/>
          </a:solidFill>
          <a:miter lim="800000"/>
          <a:headEnd/>
          <a:tailEnd/>
        </a:ln>
      </xdr:spPr>
      <xdr:txBody>
        <a:bodyPr vertOverflow="clip" wrap="square" lIns="72000" tIns="100800" rIns="90000" bIns="4680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Parametrar som färgklassas är: </a:t>
          </a:r>
        </a:p>
        <a:p>
          <a:pPr algn="l" rtl="0"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Syrehalt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pH               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Grumlighet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Totalfosfor             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Totalkväve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Klorofyll a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Siktdjup</a:t>
          </a:r>
        </a:p>
        <a:p>
          <a:pPr algn="l" rtl="0">
            <a:defRPr sz="1000"/>
          </a:pPr>
          <a:endParaRPr lang="sv-SE" sz="8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133350</xdr:colOff>
      <xdr:row>0</xdr:row>
      <xdr:rowOff>152400</xdr:rowOff>
    </xdr:from>
    <xdr:to>
      <xdr:col>1</xdr:col>
      <xdr:colOff>780128</xdr:colOff>
      <xdr:row>0</xdr:row>
      <xdr:rowOff>434733</xdr:rowOff>
    </xdr:to>
    <xdr:sp macro="" textlink="">
      <xdr:nvSpPr>
        <xdr:cNvPr id="2115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3080000}"/>
            </a:ext>
          </a:extLst>
        </xdr:cNvPr>
        <xdr:cNvSpPr>
          <a:spLocks noChangeArrowheads="1"/>
        </xdr:cNvSpPr>
      </xdr:nvSpPr>
      <xdr:spPr bwMode="auto">
        <a:xfrm>
          <a:off x="133350" y="15240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2</xdr:col>
      <xdr:colOff>561975</xdr:colOff>
      <xdr:row>0</xdr:row>
      <xdr:rowOff>95250</xdr:rowOff>
    </xdr:from>
    <xdr:to>
      <xdr:col>12</xdr:col>
      <xdr:colOff>485776</xdr:colOff>
      <xdr:row>0</xdr:row>
      <xdr:rowOff>1609725</xdr:rowOff>
    </xdr:to>
    <xdr:grpSp>
      <xdr:nvGrpSpPr>
        <xdr:cNvPr id="3" name="Grup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3282950" y="95250"/>
          <a:ext cx="4581526" cy="1511300"/>
          <a:chOff x="3162300" y="95250"/>
          <a:chExt cx="4352926" cy="1514475"/>
        </a:xfrm>
      </xdr:grpSpPr>
      <xdr:grpSp>
        <xdr:nvGrpSpPr>
          <xdr:cNvPr id="2" name="Grupp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3162300" y="95250"/>
            <a:ext cx="4352926" cy="1514475"/>
            <a:chOff x="3162300" y="95250"/>
            <a:chExt cx="4352926" cy="1514475"/>
          </a:xfrm>
        </xdr:grpSpPr>
        <xdr:sp macro="" textlink="">
          <xdr:nvSpPr>
            <xdr:cNvPr id="2101" name="Text Box 53">
              <a:extLs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62300" y="95250"/>
              <a:ext cx="4352926" cy="151447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CFFFF" mc:Ignorable="a14" a14:legacySpreadsheetColorIndex="41">
                <a:alpha val="50000"/>
              </a:srgbClr>
            </a:solidFill>
            <a:ln w="57150" cmpd="thinThick">
              <a:solidFill>
                <a:srgbClr val="00826F"/>
              </a:solidFill>
              <a:miter lim="800000"/>
              <a:headEnd/>
              <a:tailEnd/>
            </a:ln>
          </xdr:spPr>
          <xdr:txBody>
            <a:bodyPr vertOverflow="clip" wrap="square" lIns="144000" tIns="108000" rIns="144000" bIns="36000" anchor="t" upright="1"/>
            <a:lstStyle/>
            <a:p>
              <a:pPr algn="ctr" rtl="0">
                <a:defRPr sz="1000"/>
              </a:pPr>
              <a:r>
                <a:rPr lang="sv-SE" sz="1000" b="1" i="0" u="none" strike="noStrike" baseline="0">
                  <a:solidFill>
                    <a:srgbClr val="00826F"/>
                  </a:solidFill>
                  <a:latin typeface="Arial"/>
                  <a:cs typeface="Arial"/>
                </a:rPr>
                <a:t>Här kan du få automatisk klassning av halter och värden</a:t>
              </a:r>
              <a:endPara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sv-SE" sz="800" b="0" i="0" u="none" strike="noStrike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/>
                  <a:cs typeface="Arial"/>
                </a:rPr>
                <a:t>Bra eller önskat tillstånd                               Dåligt eller oönskat tillstånd            </a:t>
              </a:r>
              <a:endParaRPr lang="sv-SE" sz="800" b="0" i="1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235914" name="AutoShape 55">
              <a:extLst>
                <a:ext uri="{FF2B5EF4-FFF2-40B4-BE49-F238E27FC236}">
                  <a16:creationId xmlns:a16="http://schemas.microsoft.com/office/drawing/2014/main" id="{00000000-0008-0000-0200-0000CADB1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73223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val="00B0F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235915" name="AutoShape 56">
              <a:extLst>
                <a:ext uri="{FF2B5EF4-FFF2-40B4-BE49-F238E27FC236}">
                  <a16:creationId xmlns:a16="http://schemas.microsoft.com/office/drawing/2014/main" id="{00000000-0008-0000-0200-0000CBDB1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65576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val="92D05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235916" name="AutoShape 57">
              <a:extLst>
                <a:ext uri="{FF2B5EF4-FFF2-40B4-BE49-F238E27FC236}">
                  <a16:creationId xmlns:a16="http://schemas.microsoft.com/office/drawing/2014/main" id="{00000000-0008-0000-0200-0000CCDB1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8108" y="1263826"/>
              <a:ext cx="351042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FF00" mc:Ignorable="a14" a14:legacySpreadsheetColorIndex="13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235917" name="AutoShape 58">
              <a:extLst>
                <a:ext uri="{FF2B5EF4-FFF2-40B4-BE49-F238E27FC236}">
                  <a16:creationId xmlns:a16="http://schemas.microsoft.com/office/drawing/2014/main" id="{00000000-0008-0000-0200-0000CDDB1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10758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235918" name="AutoShape 59">
              <a:extLst>
                <a:ext uri="{FF2B5EF4-FFF2-40B4-BE49-F238E27FC236}">
                  <a16:creationId xmlns:a16="http://schemas.microsoft.com/office/drawing/2014/main" id="{00000000-0008-0000-0200-0000CEDB1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13439" y="1254478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235919" name="Line 60">
              <a:extLst>
                <a:ext uri="{FF2B5EF4-FFF2-40B4-BE49-F238E27FC236}">
                  <a16:creationId xmlns:a16="http://schemas.microsoft.com/office/drawing/2014/main" id="{00000000-0008-0000-0200-0000CFDB12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419001" y="1179689"/>
              <a:ext cx="167497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61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609975" y="1182814"/>
              <a:ext cx="15646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0" name="Button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200-00003E080000}"/>
                  </a:ext>
                </a:extLst>
              </xdr:cNvPr>
              <xdr:cNvSpPr/>
            </xdr:nvSpPr>
            <xdr:spPr bwMode="auto">
              <a:xfrm>
                <a:off x="3371850" y="438150"/>
                <a:ext cx="981075" cy="3810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sv-SE" sz="1000" b="1" i="0" u="none" strike="noStrike" baseline="0">
                    <a:solidFill>
                      <a:srgbClr val="008080"/>
                    </a:solidFill>
                    <a:latin typeface="Arial"/>
                    <a:cs typeface="Arial"/>
                  </a:rPr>
                  <a:t>Färgmarkera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11" name="Button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200-00003F080000}"/>
                  </a:ext>
                </a:extLst>
              </xdr:cNvPr>
              <xdr:cNvSpPr/>
            </xdr:nvSpPr>
            <xdr:spPr bwMode="auto">
              <a:xfrm>
                <a:off x="4476750" y="438150"/>
                <a:ext cx="1085850" cy="3905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sv-SE" sz="1000" b="1" i="0" u="none" strike="noStrike" baseline="0">
                    <a:solidFill>
                      <a:srgbClr val="008080"/>
                    </a:solidFill>
                    <a:latin typeface="Arial"/>
                    <a:cs typeface="Arial"/>
                  </a:rPr>
                  <a:t>Avmarkera</a:t>
                </a:r>
              </a:p>
            </xdr:txBody>
          </xdr:sp>
        </mc:Choice>
        <mc:Fallback/>
      </mc:AlternateContent>
      <xdr:sp macro="" textlink="">
        <xdr:nvSpPr>
          <xdr:cNvPr id="2149" name="Rectangle 10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65080000}"/>
              </a:ext>
            </a:extLst>
          </xdr:cNvPr>
          <xdr:cNvSpPr>
            <a:spLocks noChangeArrowheads="1"/>
          </xdr:cNvSpPr>
        </xdr:nvSpPr>
        <xdr:spPr bwMode="auto">
          <a:xfrm>
            <a:off x="5667375" y="440055"/>
            <a:ext cx="1538198" cy="388620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sv-SE" sz="1000" b="1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Förklaringar av färger och klassindelningar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1</xdr:col>
      <xdr:colOff>757268</xdr:colOff>
      <xdr:row>0</xdr:row>
      <xdr:rowOff>343293</xdr:rowOff>
    </xdr:to>
    <xdr:sp macro="" textlink="">
      <xdr:nvSpPr>
        <xdr:cNvPr id="16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114300" y="5715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2</xdr:col>
      <xdr:colOff>647700</xdr:colOff>
      <xdr:row>0</xdr:row>
      <xdr:rowOff>95250</xdr:rowOff>
    </xdr:from>
    <xdr:to>
      <xdr:col>11</xdr:col>
      <xdr:colOff>314326</xdr:colOff>
      <xdr:row>3</xdr:row>
      <xdr:rowOff>542925</xdr:rowOff>
    </xdr:to>
    <xdr:grpSp>
      <xdr:nvGrpSpPr>
        <xdr:cNvPr id="26" name="Grupp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/>
      </xdr:nvGrpSpPr>
      <xdr:grpSpPr>
        <a:xfrm>
          <a:off x="3362325" y="95250"/>
          <a:ext cx="4597401" cy="1511300"/>
          <a:chOff x="3162300" y="95250"/>
          <a:chExt cx="4352926" cy="1514475"/>
        </a:xfrm>
      </xdr:grpSpPr>
      <xdr:grpSp>
        <xdr:nvGrpSpPr>
          <xdr:cNvPr id="28" name="Grupp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GrpSpPr/>
        </xdr:nvGrpSpPr>
        <xdr:grpSpPr>
          <a:xfrm>
            <a:off x="3162300" y="95250"/>
            <a:ext cx="4352926" cy="1514475"/>
            <a:chOff x="3162300" y="95250"/>
            <a:chExt cx="4352926" cy="1514475"/>
          </a:xfrm>
        </xdr:grpSpPr>
        <xdr:sp macro="" textlink="">
          <xdr:nvSpPr>
            <xdr:cNvPr id="30" name="Text Box 53">
              <a:extLst>
                <a:ext uri="{FF2B5EF4-FFF2-40B4-BE49-F238E27FC236}">
                  <a16:creationId xmlns:a16="http://schemas.microsoft.com/office/drawing/2014/main" id="{00000000-0008-0000-0400-00001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62300" y="95250"/>
              <a:ext cx="4352926" cy="151447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CFFFF" mc:Ignorable="a14" a14:legacySpreadsheetColorIndex="41">
                <a:alpha val="50000"/>
              </a:srgbClr>
            </a:solidFill>
            <a:ln w="57150" cmpd="thinThick">
              <a:solidFill>
                <a:srgbClr val="00826F"/>
              </a:solidFill>
              <a:miter lim="800000"/>
              <a:headEnd/>
              <a:tailEnd/>
            </a:ln>
          </xdr:spPr>
          <xdr:txBody>
            <a:bodyPr vertOverflow="clip" wrap="square" lIns="144000" tIns="108000" rIns="144000" bIns="36000" anchor="t" upright="1"/>
            <a:lstStyle/>
            <a:p>
              <a:pPr algn="ctr" rtl="0">
                <a:defRPr sz="1000"/>
              </a:pPr>
              <a:r>
                <a:rPr lang="sv-SE" sz="1000" b="1" i="0" u="none" strike="noStrike" baseline="0">
                  <a:solidFill>
                    <a:srgbClr val="00826F"/>
                  </a:solidFill>
                  <a:latin typeface="Arial"/>
                  <a:cs typeface="Arial"/>
                </a:rPr>
                <a:t>Här kan du få automatisk klassning av halter och värden</a:t>
              </a:r>
              <a:endParaRPr lang="sv-SE" sz="1000" b="0" i="0" u="none" strike="noStrike" baseline="0">
                <a:solidFill>
                  <a:srgbClr val="00826F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sv-SE" sz="800" b="0" i="0" u="none" strike="noStrike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/>
                  <a:cs typeface="Arial"/>
                </a:rPr>
                <a:t>Bra eller önskat tillstånd                               Dåligt eller oönskat tillstånd            </a:t>
              </a:r>
              <a:endParaRPr lang="sv-SE" sz="800" b="0" i="1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endParaRPr lang="sv-SE" sz="600" b="0" i="1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32" name="AutoShape 55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73223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val="00B0F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3" name="AutoShape 56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65576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val="92D05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4" name="AutoShape 57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8108" y="1263826"/>
              <a:ext cx="351042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FF00" mc:Ignorable="a14" a14:legacySpreadsheetColorIndex="13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5" name="AutoShape 58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10758" y="1263826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6" name="AutoShape 59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13439" y="1254478"/>
              <a:ext cx="341013" cy="243064"/>
            </a:xfrm>
            <a:prstGeom prst="octagon">
              <a:avLst>
                <a:gd name="adj" fmla="val 29287"/>
              </a:avLst>
            </a:prstGeom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7" name="Line 60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419001" y="1179689"/>
              <a:ext cx="167497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61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609975" y="1182814"/>
              <a:ext cx="15646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08" name="Button 944" hidden="1">
                <a:extLst>
                  <a:ext uri="{63B3BB69-23CF-44E3-9099-C40C66FF867C}">
                    <a14:compatExt spid="_x0000_s12208"/>
                  </a:ext>
                  <a:ext uri="{FF2B5EF4-FFF2-40B4-BE49-F238E27FC236}">
                    <a16:creationId xmlns:a16="http://schemas.microsoft.com/office/drawing/2014/main" id="{00000000-0008-0000-0400-0000B02F0000}"/>
                  </a:ext>
                </a:extLst>
              </xdr:cNvPr>
              <xdr:cNvSpPr/>
            </xdr:nvSpPr>
            <xdr:spPr bwMode="auto">
              <a:xfrm>
                <a:off x="3371850" y="438150"/>
                <a:ext cx="981075" cy="3810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sv-SE" sz="1000" b="1" i="0" u="none" strike="noStrike" baseline="0">
                    <a:solidFill>
                      <a:srgbClr val="008080"/>
                    </a:solidFill>
                    <a:latin typeface="Arial"/>
                    <a:cs typeface="Arial"/>
                  </a:rPr>
                  <a:t>Färgmarkera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09" name="Button 945" hidden="1">
                <a:extLst>
                  <a:ext uri="{63B3BB69-23CF-44E3-9099-C40C66FF867C}">
                    <a14:compatExt spid="_x0000_s12209"/>
                  </a:ext>
                  <a:ext uri="{FF2B5EF4-FFF2-40B4-BE49-F238E27FC236}">
                    <a16:creationId xmlns:a16="http://schemas.microsoft.com/office/drawing/2014/main" id="{00000000-0008-0000-0400-0000B12F0000}"/>
                  </a:ext>
                </a:extLst>
              </xdr:cNvPr>
              <xdr:cNvSpPr/>
            </xdr:nvSpPr>
            <xdr:spPr bwMode="auto">
              <a:xfrm>
                <a:off x="4476750" y="438150"/>
                <a:ext cx="1085850" cy="3905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32004" rIns="36576" bIns="32004" anchor="ctr" upright="1"/>
              <a:lstStyle/>
              <a:p>
                <a:pPr algn="ctr" rtl="0">
                  <a:defRPr sz="1000"/>
                </a:pPr>
                <a:r>
                  <a:rPr lang="sv-SE" sz="1000" b="1" i="0" u="none" strike="noStrike" baseline="0">
                    <a:solidFill>
                      <a:srgbClr val="008080"/>
                    </a:solidFill>
                    <a:latin typeface="Arial"/>
                    <a:cs typeface="Arial"/>
                  </a:rPr>
                  <a:t>Avmarkera</a:t>
                </a:r>
              </a:p>
            </xdr:txBody>
          </xdr:sp>
        </mc:Choice>
        <mc:Fallback/>
      </mc:AlternateContent>
      <xdr:sp macro="" textlink="">
        <xdr:nvSpPr>
          <xdr:cNvPr id="29" name="Rectangle 10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5667375" y="440055"/>
            <a:ext cx="1538198" cy="388620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sv-SE" sz="1000" b="1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Förklaringar av färger och klassindelningar</a:t>
            </a:r>
          </a:p>
        </xdr:txBody>
      </xdr:sp>
    </xdr:grpSp>
    <xdr:clientData/>
  </xdr:twoCellAnchor>
  <xdr:twoCellAnchor editAs="oneCell">
    <xdr:from>
      <xdr:col>20</xdr:col>
      <xdr:colOff>171450</xdr:colOff>
      <xdr:row>0</xdr:row>
      <xdr:rowOff>38100</xdr:rowOff>
    </xdr:from>
    <xdr:to>
      <xdr:col>23</xdr:col>
      <xdr:colOff>285750</xdr:colOff>
      <xdr:row>3</xdr:row>
      <xdr:rowOff>485775</xdr:rowOff>
    </xdr:to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2439650" y="38100"/>
          <a:ext cx="1933575" cy="151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>
            <a:alpha val="50000"/>
          </a:srgbClr>
        </a:solidFill>
        <a:ln w="47625" cmpd="thinThick">
          <a:solidFill>
            <a:srgbClr val="00826F"/>
          </a:solidFill>
          <a:miter lim="800000"/>
          <a:headEnd/>
          <a:tailEnd/>
        </a:ln>
      </xdr:spPr>
      <xdr:txBody>
        <a:bodyPr vertOverflow="clip" wrap="square" lIns="72000" tIns="100800" rIns="90000" bIns="46800" anchor="t" upright="1"/>
        <a:lstStyle/>
        <a:p>
          <a:pPr algn="l" rtl="0">
            <a:defRPr sz="1000"/>
          </a:pPr>
          <a:r>
            <a:rPr lang="sv-SE" sz="800" b="1" i="0" u="none" strike="noStrike" baseline="0">
              <a:solidFill>
                <a:srgbClr val="00826F"/>
              </a:solidFill>
              <a:latin typeface="Arial"/>
              <a:cs typeface="Arial"/>
            </a:rPr>
            <a:t>Parametrar som färgklassas är: </a:t>
          </a:r>
        </a:p>
        <a:p>
          <a:pPr algn="l" rtl="0"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Syrehalt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pH               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Grumlighet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Totalfosfor                                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Totalkväve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Klorofyll a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Siktdjup</a:t>
          </a:r>
        </a:p>
        <a:p>
          <a:pPr algn="l" rtl="0"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333399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85725</xdr:rowOff>
    </xdr:from>
    <xdr:to>
      <xdr:col>1</xdr:col>
      <xdr:colOff>856328</xdr:colOff>
      <xdr:row>0</xdr:row>
      <xdr:rowOff>360438</xdr:rowOff>
    </xdr:to>
    <xdr:sp macro="" textlink="">
      <xdr:nvSpPr>
        <xdr:cNvPr id="3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209550" y="85725"/>
          <a:ext cx="646778" cy="28233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157163</xdr:colOff>
      <xdr:row>7</xdr:row>
      <xdr:rowOff>28574</xdr:rowOff>
    </xdr:from>
    <xdr:to>
      <xdr:col>9</xdr:col>
      <xdr:colOff>123825</xdr:colOff>
      <xdr:row>25</xdr:row>
      <xdr:rowOff>95249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139700</xdr:colOff>
      <xdr:row>0</xdr:row>
      <xdr:rowOff>122767</xdr:rowOff>
    </xdr:from>
    <xdr:to>
      <xdr:col>3</xdr:col>
      <xdr:colOff>59191</xdr:colOff>
      <xdr:row>0</xdr:row>
      <xdr:rowOff>360892</xdr:rowOff>
    </xdr:to>
    <xdr:sp macro="" textlink="">
      <xdr:nvSpPr>
        <xdr:cNvPr id="18" name="Rectangle 6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901700" y="122767"/>
          <a:ext cx="639158" cy="23812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14</xdr:col>
      <xdr:colOff>157163</xdr:colOff>
      <xdr:row>7</xdr:row>
      <xdr:rowOff>28574</xdr:rowOff>
    </xdr:from>
    <xdr:to>
      <xdr:col>19</xdr:col>
      <xdr:colOff>123825</xdr:colOff>
      <xdr:row>25</xdr:row>
      <xdr:rowOff>95249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157163</xdr:colOff>
      <xdr:row>7</xdr:row>
      <xdr:rowOff>28574</xdr:rowOff>
    </xdr:from>
    <xdr:to>
      <xdr:col>29</xdr:col>
      <xdr:colOff>123825</xdr:colOff>
      <xdr:row>25</xdr:row>
      <xdr:rowOff>95249</xdr:rowOff>
    </xdr:to>
    <xdr:graphicFrame macro="">
      <xdr:nvGraphicFramePr>
        <xdr:cNvPr id="45" name="Diagram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157163</xdr:colOff>
      <xdr:row>28</xdr:row>
      <xdr:rowOff>28574</xdr:rowOff>
    </xdr:from>
    <xdr:to>
      <xdr:col>9</xdr:col>
      <xdr:colOff>123825</xdr:colOff>
      <xdr:row>46</xdr:row>
      <xdr:rowOff>95249</xdr:rowOff>
    </xdr:to>
    <xdr:graphicFrame macro="">
      <xdr:nvGraphicFramePr>
        <xdr:cNvPr id="46" name="Diagram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157163</xdr:colOff>
      <xdr:row>28</xdr:row>
      <xdr:rowOff>28574</xdr:rowOff>
    </xdr:from>
    <xdr:to>
      <xdr:col>19</xdr:col>
      <xdr:colOff>123825</xdr:colOff>
      <xdr:row>46</xdr:row>
      <xdr:rowOff>95249</xdr:rowOff>
    </xdr:to>
    <xdr:graphicFrame macro="">
      <xdr:nvGraphicFramePr>
        <xdr:cNvPr id="47" name="Diagram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157163</xdr:colOff>
      <xdr:row>28</xdr:row>
      <xdr:rowOff>28574</xdr:rowOff>
    </xdr:from>
    <xdr:to>
      <xdr:col>29</xdr:col>
      <xdr:colOff>123825</xdr:colOff>
      <xdr:row>46</xdr:row>
      <xdr:rowOff>95249</xdr:rowOff>
    </xdr:to>
    <xdr:graphicFrame macro="">
      <xdr:nvGraphicFramePr>
        <xdr:cNvPr id="48" name="Diagram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157163</xdr:colOff>
      <xdr:row>49</xdr:row>
      <xdr:rowOff>28574</xdr:rowOff>
    </xdr:from>
    <xdr:to>
      <xdr:col>9</xdr:col>
      <xdr:colOff>123825</xdr:colOff>
      <xdr:row>67</xdr:row>
      <xdr:rowOff>95249</xdr:rowOff>
    </xdr:to>
    <xdr:graphicFrame macro="">
      <xdr:nvGraphicFramePr>
        <xdr:cNvPr id="49" name="Diagram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157163</xdr:colOff>
      <xdr:row>49</xdr:row>
      <xdr:rowOff>28574</xdr:rowOff>
    </xdr:from>
    <xdr:to>
      <xdr:col>19</xdr:col>
      <xdr:colOff>123825</xdr:colOff>
      <xdr:row>67</xdr:row>
      <xdr:rowOff>95249</xdr:rowOff>
    </xdr:to>
    <xdr:graphicFrame macro="">
      <xdr:nvGraphicFramePr>
        <xdr:cNvPr id="50" name="Diagram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157163</xdr:colOff>
      <xdr:row>49</xdr:row>
      <xdr:rowOff>28574</xdr:rowOff>
    </xdr:from>
    <xdr:to>
      <xdr:col>29</xdr:col>
      <xdr:colOff>123825</xdr:colOff>
      <xdr:row>67</xdr:row>
      <xdr:rowOff>95249</xdr:rowOff>
    </xdr:to>
    <xdr:graphicFrame macro="">
      <xdr:nvGraphicFramePr>
        <xdr:cNvPr id="51" name="Diagram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157163</xdr:colOff>
      <xdr:row>70</xdr:row>
      <xdr:rowOff>28574</xdr:rowOff>
    </xdr:from>
    <xdr:to>
      <xdr:col>9</xdr:col>
      <xdr:colOff>123825</xdr:colOff>
      <xdr:row>88</xdr:row>
      <xdr:rowOff>95249</xdr:rowOff>
    </xdr:to>
    <xdr:graphicFrame macro="">
      <xdr:nvGraphicFramePr>
        <xdr:cNvPr id="52" name="Diagram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157163</xdr:colOff>
      <xdr:row>70</xdr:row>
      <xdr:rowOff>28574</xdr:rowOff>
    </xdr:from>
    <xdr:to>
      <xdr:col>19</xdr:col>
      <xdr:colOff>123825</xdr:colOff>
      <xdr:row>88</xdr:row>
      <xdr:rowOff>95249</xdr:rowOff>
    </xdr:to>
    <xdr:graphicFrame macro="">
      <xdr:nvGraphicFramePr>
        <xdr:cNvPr id="53" name="Diagram 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157163</xdr:colOff>
      <xdr:row>70</xdr:row>
      <xdr:rowOff>28574</xdr:rowOff>
    </xdr:from>
    <xdr:to>
      <xdr:col>29</xdr:col>
      <xdr:colOff>123825</xdr:colOff>
      <xdr:row>88</xdr:row>
      <xdr:rowOff>95249</xdr:rowOff>
    </xdr:to>
    <xdr:graphicFrame macro="">
      <xdr:nvGraphicFramePr>
        <xdr:cNvPr id="54" name="Diagram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238125</xdr:colOff>
      <xdr:row>1</xdr:row>
      <xdr:rowOff>9525</xdr:rowOff>
    </xdr:from>
    <xdr:to>
      <xdr:col>15</xdr:col>
      <xdr:colOff>542925</xdr:colOff>
      <xdr:row>2</xdr:row>
      <xdr:rowOff>104775</xdr:rowOff>
    </xdr:to>
    <xdr:sp macro="[0]!JAN_JUNI_Syre" textlink="">
      <xdr:nvSpPr>
        <xdr:cNvPr id="55" name="Rectangle 78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4829175" y="400050"/>
          <a:ext cx="1333500" cy="39052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  <a:t>Utskrift</a:t>
          </a:r>
          <a:b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</a:br>
          <a: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  <a:t>Januari - Juni</a:t>
          </a:r>
        </a:p>
      </xdr:txBody>
    </xdr:sp>
    <xdr:clientData/>
  </xdr:twoCellAnchor>
  <xdr:twoCellAnchor>
    <xdr:from>
      <xdr:col>16</xdr:col>
      <xdr:colOff>123825</xdr:colOff>
      <xdr:row>1</xdr:row>
      <xdr:rowOff>9525</xdr:rowOff>
    </xdr:from>
    <xdr:to>
      <xdr:col>18</xdr:col>
      <xdr:colOff>238125</xdr:colOff>
      <xdr:row>2</xdr:row>
      <xdr:rowOff>104775</xdr:rowOff>
    </xdr:to>
    <xdr:sp macro="[0]!JULI_DEC_Syre" textlink="">
      <xdr:nvSpPr>
        <xdr:cNvPr id="56" name="Rectangle 7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6353175" y="400050"/>
          <a:ext cx="1333500" cy="39052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  <a:t>Utskrift</a:t>
          </a:r>
          <a:b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</a:br>
          <a:r>
            <a:rPr lang="sv-SE" sz="1000" b="0" i="0" u="none" strike="noStrike" baseline="0">
              <a:solidFill>
                <a:srgbClr val="00826F"/>
              </a:solidFill>
              <a:latin typeface="Arial"/>
              <a:cs typeface="Arial"/>
            </a:rPr>
            <a:t>Juli - December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123825</xdr:rowOff>
    </xdr:from>
    <xdr:to>
      <xdr:col>5</xdr:col>
      <xdr:colOff>828675</xdr:colOff>
      <xdr:row>26</xdr:row>
      <xdr:rowOff>28575</xdr:rowOff>
    </xdr:to>
    <xdr:graphicFrame macro="">
      <xdr:nvGraphicFramePr>
        <xdr:cNvPr id="285373" name="Diagram 4">
          <a:extLst>
            <a:ext uri="{FF2B5EF4-FFF2-40B4-BE49-F238E27FC236}">
              <a16:creationId xmlns:a16="http://schemas.microsoft.com/office/drawing/2014/main" id="{00000000-0008-0000-0700-0000BD5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743933</xdr:colOff>
      <xdr:row>1</xdr:row>
      <xdr:rowOff>15633</xdr:rowOff>
    </xdr:to>
    <xdr:sp macro="" textlink="">
      <xdr:nvSpPr>
        <xdr:cNvPr id="5" name="Rectangle 6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85725" y="1905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indent="0"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200025</xdr:rowOff>
    </xdr:from>
    <xdr:to>
      <xdr:col>10</xdr:col>
      <xdr:colOff>314325</xdr:colOff>
      <xdr:row>5</xdr:row>
      <xdr:rowOff>457594</xdr:rowOff>
    </xdr:to>
    <xdr:grpSp>
      <xdr:nvGrpSpPr>
        <xdr:cNvPr id="2" name="Grup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7505700" y="492125"/>
          <a:ext cx="2187575" cy="1108469"/>
          <a:chOff x="7000875" y="371475"/>
          <a:chExt cx="2105025" cy="1105294"/>
        </a:xfrm>
      </xdr:grpSpPr>
      <xdr:sp macro="" textlink="">
        <xdr:nvSpPr>
          <xdr:cNvPr id="5" name="Rectangle 6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000875" y="371475"/>
            <a:ext cx="2105025" cy="1105294"/>
          </a:xfrm>
          <a:prstGeom prst="rect">
            <a:avLst/>
          </a:prstGeom>
          <a:solidFill>
            <a:srgbClr val="E9E9E9"/>
          </a:solidFill>
          <a:ln w="1270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algn="ctr" rtl="0">
              <a:defRPr sz="1000"/>
            </a:pPr>
            <a:r>
              <a:rPr lang="sv-SE" sz="1400" b="1" i="0" u="none" strike="noStrike" baseline="0">
                <a:solidFill>
                  <a:srgbClr val="00826F"/>
                </a:solidFill>
                <a:latin typeface="Arial"/>
                <a:cs typeface="Arial"/>
              </a:rPr>
              <a:t>Visa diagram</a:t>
            </a:r>
          </a:p>
        </xdr:txBody>
      </xdr:sp>
      <xdr:pic>
        <xdr:nvPicPr>
          <xdr:cNvPr id="3" name="Bildobjekt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20635" y="653203"/>
            <a:ext cx="1537615" cy="76424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47624</xdr:colOff>
      <xdr:row>0</xdr:row>
      <xdr:rowOff>38100</xdr:rowOff>
    </xdr:from>
    <xdr:to>
      <xdr:col>0</xdr:col>
      <xdr:colOff>708659</xdr:colOff>
      <xdr:row>1</xdr:row>
      <xdr:rowOff>0</xdr:rowOff>
    </xdr:to>
    <xdr:sp macro="" textlink="">
      <xdr:nvSpPr>
        <xdr:cNvPr id="4" name="Rectangle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47624" y="38100"/>
          <a:ext cx="657225" cy="257175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>
    <xdr:from>
      <xdr:col>2</xdr:col>
      <xdr:colOff>266699</xdr:colOff>
      <xdr:row>1</xdr:row>
      <xdr:rowOff>209549</xdr:rowOff>
    </xdr:from>
    <xdr:to>
      <xdr:col>6</xdr:col>
      <xdr:colOff>561974</xdr:colOff>
      <xdr:row>5</xdr:row>
      <xdr:rowOff>457199</xdr:rowOff>
    </xdr:to>
    <xdr:grpSp>
      <xdr:nvGrpSpPr>
        <xdr:cNvPr id="8" name="Grupp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4286249" y="504824"/>
          <a:ext cx="3108325" cy="1095375"/>
          <a:chOff x="3933824" y="380999"/>
          <a:chExt cx="2981325" cy="1095375"/>
        </a:xfrm>
      </xdr:grpSpPr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 bwMode="auto">
          <a:xfrm>
            <a:off x="3933824" y="380999"/>
            <a:ext cx="2981325" cy="1095375"/>
          </a:xfrm>
          <a:prstGeom prst="rect">
            <a:avLst/>
          </a:prstGeom>
          <a:solidFill>
            <a:srgbClr val="E9E9E9"/>
          </a:solidFill>
          <a:ln w="635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marL="0" indent="0" algn="ctr" rtl="0">
              <a:defRPr sz="1000"/>
            </a:pPr>
            <a:r>
              <a:rPr lang="sv-SE" sz="1400" b="1" i="0" u="none" strike="noStrike" baseline="0">
                <a:solidFill>
                  <a:srgbClr val="00826F"/>
                </a:solidFill>
                <a:latin typeface="Arial"/>
                <a:ea typeface="+mn-ea"/>
                <a:cs typeface="Arial"/>
              </a:rPr>
              <a:t>Välj provpunkt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53314" name="Drop Down 2" hidden="1">
                <a:extLst>
                  <a:ext uri="{63B3BB69-23CF-44E3-9099-C40C66FF867C}">
                    <a14:compatExt spid="_x0000_s653314"/>
                  </a:ext>
                  <a:ext uri="{FF2B5EF4-FFF2-40B4-BE49-F238E27FC236}">
                    <a16:creationId xmlns:a16="http://schemas.microsoft.com/office/drawing/2014/main" id="{00000000-0008-0000-0800-000002F80900}"/>
                  </a:ext>
                </a:extLst>
              </xdr:cNvPr>
              <xdr:cNvSpPr/>
            </xdr:nvSpPr>
            <xdr:spPr bwMode="auto">
              <a:xfrm>
                <a:off x="4095750" y="819150"/>
                <a:ext cx="2667000" cy="27622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246728</xdr:colOff>
      <xdr:row>1</xdr:row>
      <xdr:rowOff>97548</xdr:rowOff>
    </xdr:to>
    <xdr:sp macro="" textlink="">
      <xdr:nvSpPr>
        <xdr:cNvPr id="4" name="Rectangl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114300" y="57150"/>
          <a:ext cx="642968" cy="286143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6859"/>
              </a:solidFill>
              <a:latin typeface="Arial"/>
              <a:ea typeface="+mn-ea"/>
              <a:cs typeface="Arial"/>
            </a:rPr>
            <a:t>Startsida</a:t>
          </a:r>
        </a:p>
      </xdr:txBody>
    </xdr:sp>
    <xdr:clientData fPrintsWithSheet="0"/>
  </xdr:twoCellAnchor>
  <xdr:twoCellAnchor editAs="oneCell">
    <xdr:from>
      <xdr:col>10</xdr:col>
      <xdr:colOff>542925</xdr:colOff>
      <xdr:row>0</xdr:row>
      <xdr:rowOff>104776</xdr:rowOff>
    </xdr:from>
    <xdr:to>
      <xdr:col>16</xdr:col>
      <xdr:colOff>167640</xdr:colOff>
      <xdr:row>2</xdr:row>
      <xdr:rowOff>91441</xdr:rowOff>
    </xdr:to>
    <xdr:sp macro="" textlink="">
      <xdr:nvSpPr>
        <xdr:cNvPr id="5" name="Rectangle 6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5743575" y="104776"/>
          <a:ext cx="2124075" cy="476250"/>
        </a:xfrm>
        <a:prstGeom prst="rect">
          <a:avLst/>
        </a:prstGeom>
        <a:solidFill>
          <a:srgbClr val="E9E9E9"/>
        </a:solidFill>
        <a:ln w="63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400" b="1" i="0" u="none" strike="noStrike" baseline="0">
              <a:solidFill>
                <a:srgbClr val="00826F"/>
              </a:solidFill>
              <a:latin typeface="Arial"/>
              <a:cs typeface="Arial"/>
            </a:rPr>
            <a:t>Statistik / Välj provpunkt</a:t>
          </a:r>
        </a:p>
      </xdr:txBody>
    </xdr:sp>
    <xdr:clientData fPrintsWithSheet="0"/>
  </xdr:twoCellAnchor>
  <xdr:twoCellAnchor>
    <xdr:from>
      <xdr:col>1</xdr:col>
      <xdr:colOff>600075</xdr:colOff>
      <xdr:row>41</xdr:row>
      <xdr:rowOff>0</xdr:rowOff>
    </xdr:from>
    <xdr:to>
      <xdr:col>10</xdr:col>
      <xdr:colOff>504825</xdr:colOff>
      <xdr:row>57</xdr:row>
      <xdr:rowOff>152400</xdr:rowOff>
    </xdr:to>
    <xdr:graphicFrame macro="">
      <xdr:nvGraphicFramePr>
        <xdr:cNvPr id="691947" name="Diagram 1">
          <a:extLst>
            <a:ext uri="{FF2B5EF4-FFF2-40B4-BE49-F238E27FC236}">
              <a16:creationId xmlns:a16="http://schemas.microsoft.com/office/drawing/2014/main" id="{00000000-0008-0000-0900-0000EB8E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600075</xdr:colOff>
      <xdr:row>23</xdr:row>
      <xdr:rowOff>0</xdr:rowOff>
    </xdr:from>
    <xdr:to>
      <xdr:col>10</xdr:col>
      <xdr:colOff>504825</xdr:colOff>
      <xdr:row>39</xdr:row>
      <xdr:rowOff>152400</xdr:rowOff>
    </xdr:to>
    <xdr:graphicFrame macro="">
      <xdr:nvGraphicFramePr>
        <xdr:cNvPr id="691949" name="Diagram 1">
          <a:extLst>
            <a:ext uri="{FF2B5EF4-FFF2-40B4-BE49-F238E27FC236}">
              <a16:creationId xmlns:a16="http://schemas.microsoft.com/office/drawing/2014/main" id="{00000000-0008-0000-0900-0000ED8E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1</xdr:col>
      <xdr:colOff>609599</xdr:colOff>
      <xdr:row>5</xdr:row>
      <xdr:rowOff>0</xdr:rowOff>
    </xdr:from>
    <xdr:to>
      <xdr:col>10</xdr:col>
      <xdr:colOff>485774</xdr:colOff>
      <xdr:row>21</xdr:row>
      <xdr:rowOff>152400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20</xdr:col>
      <xdr:colOff>333374</xdr:colOff>
      <xdr:row>5</xdr:row>
      <xdr:rowOff>14287</xdr:rowOff>
    </xdr:from>
    <xdr:to>
      <xdr:col>27</xdr:col>
      <xdr:colOff>85724</xdr:colOff>
      <xdr:row>21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21</xdr:col>
      <xdr:colOff>0</xdr:colOff>
      <xdr:row>23</xdr:row>
      <xdr:rowOff>9525</xdr:rowOff>
    </xdr:from>
    <xdr:to>
      <xdr:col>27</xdr:col>
      <xdr:colOff>85725</xdr:colOff>
      <xdr:row>39</xdr:row>
      <xdr:rowOff>4762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21</xdr:col>
      <xdr:colOff>0</xdr:colOff>
      <xdr:row>41</xdr:row>
      <xdr:rowOff>9525</xdr:rowOff>
    </xdr:from>
    <xdr:to>
      <xdr:col>27</xdr:col>
      <xdr:colOff>85725</xdr:colOff>
      <xdr:row>57</xdr:row>
      <xdr:rowOff>4762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1</xdr:col>
      <xdr:colOff>600075</xdr:colOff>
      <xdr:row>59</xdr:row>
      <xdr:rowOff>0</xdr:rowOff>
    </xdr:from>
    <xdr:to>
      <xdr:col>10</xdr:col>
      <xdr:colOff>504825</xdr:colOff>
      <xdr:row>75</xdr:row>
      <xdr:rowOff>152400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21</xdr:col>
      <xdr:colOff>0</xdr:colOff>
      <xdr:row>59</xdr:row>
      <xdr:rowOff>9525</xdr:rowOff>
    </xdr:from>
    <xdr:to>
      <xdr:col>27</xdr:col>
      <xdr:colOff>85725</xdr:colOff>
      <xdr:row>75</xdr:row>
      <xdr:rowOff>4762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1</xdr:col>
      <xdr:colOff>600075</xdr:colOff>
      <xdr:row>77</xdr:row>
      <xdr:rowOff>0</xdr:rowOff>
    </xdr:from>
    <xdr:to>
      <xdr:col>10</xdr:col>
      <xdr:colOff>504825</xdr:colOff>
      <xdr:row>93</xdr:row>
      <xdr:rowOff>152400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twoCellAnchor>
  <xdr:twoCellAnchor>
    <xdr:from>
      <xdr:col>21</xdr:col>
      <xdr:colOff>0</xdr:colOff>
      <xdr:row>77</xdr:row>
      <xdr:rowOff>9525</xdr:rowOff>
    </xdr:from>
    <xdr:to>
      <xdr:col>27</xdr:col>
      <xdr:colOff>85725</xdr:colOff>
      <xdr:row>93</xdr:row>
      <xdr:rowOff>4762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twoCellAnchor>
  <xdr:twoCellAnchor>
    <xdr:from>
      <xdr:col>1</xdr:col>
      <xdr:colOff>600075</xdr:colOff>
      <xdr:row>95</xdr:row>
      <xdr:rowOff>0</xdr:rowOff>
    </xdr:from>
    <xdr:to>
      <xdr:col>10</xdr:col>
      <xdr:colOff>504825</xdr:colOff>
      <xdr:row>111</xdr:row>
      <xdr:rowOff>152400</xdr:rowOff>
    </xdr:to>
    <xdr:graphicFrame macro="">
      <xdr:nvGraphicFramePr>
        <xdr:cNvPr id="16" name="Diagram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twoCellAnchor>
  <xdr:twoCellAnchor>
    <xdr:from>
      <xdr:col>21</xdr:col>
      <xdr:colOff>0</xdr:colOff>
      <xdr:row>95</xdr:row>
      <xdr:rowOff>9525</xdr:rowOff>
    </xdr:from>
    <xdr:to>
      <xdr:col>27</xdr:col>
      <xdr:colOff>85725</xdr:colOff>
      <xdr:row>111</xdr:row>
      <xdr:rowOff>4762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twoCellAnchor>
  <xdr:twoCellAnchor>
    <xdr:from>
      <xdr:col>1</xdr:col>
      <xdr:colOff>600075</xdr:colOff>
      <xdr:row>113</xdr:row>
      <xdr:rowOff>0</xdr:rowOff>
    </xdr:from>
    <xdr:to>
      <xdr:col>10</xdr:col>
      <xdr:colOff>504825</xdr:colOff>
      <xdr:row>129</xdr:row>
      <xdr:rowOff>152400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twoCellAnchor>
  <xdr:twoCellAnchor>
    <xdr:from>
      <xdr:col>21</xdr:col>
      <xdr:colOff>0</xdr:colOff>
      <xdr:row>113</xdr:row>
      <xdr:rowOff>9525</xdr:rowOff>
    </xdr:from>
    <xdr:to>
      <xdr:col>27</xdr:col>
      <xdr:colOff>85725</xdr:colOff>
      <xdr:row>129</xdr:row>
      <xdr:rowOff>4762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twoCellAnchor>
  <xdr:twoCellAnchor>
    <xdr:from>
      <xdr:col>1</xdr:col>
      <xdr:colOff>600075</xdr:colOff>
      <xdr:row>131</xdr:row>
      <xdr:rowOff>0</xdr:rowOff>
    </xdr:from>
    <xdr:to>
      <xdr:col>10</xdr:col>
      <xdr:colOff>504825</xdr:colOff>
      <xdr:row>147</xdr:row>
      <xdr:rowOff>152400</xdr:rowOff>
    </xdr:to>
    <xdr:graphicFrame macro="">
      <xdr:nvGraphicFramePr>
        <xdr:cNvPr id="20" name="Diagram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twoCellAnchor>
  <xdr:twoCellAnchor>
    <xdr:from>
      <xdr:col>21</xdr:col>
      <xdr:colOff>0</xdr:colOff>
      <xdr:row>131</xdr:row>
      <xdr:rowOff>9525</xdr:rowOff>
    </xdr:from>
    <xdr:to>
      <xdr:col>27</xdr:col>
      <xdr:colOff>85725</xdr:colOff>
      <xdr:row>147</xdr:row>
      <xdr:rowOff>4762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twoCellAnchor>
  <xdr:twoCellAnchor>
    <xdr:from>
      <xdr:col>1</xdr:col>
      <xdr:colOff>600075</xdr:colOff>
      <xdr:row>149</xdr:row>
      <xdr:rowOff>0</xdr:rowOff>
    </xdr:from>
    <xdr:to>
      <xdr:col>10</xdr:col>
      <xdr:colOff>504825</xdr:colOff>
      <xdr:row>165</xdr:row>
      <xdr:rowOff>152400</xdr:rowOff>
    </xdr:to>
    <xdr:graphicFrame macro="">
      <xdr:nvGraphicFramePr>
        <xdr:cNvPr id="22" name="Diagram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twoCellAnchor>
  <xdr:twoCellAnchor>
    <xdr:from>
      <xdr:col>21</xdr:col>
      <xdr:colOff>0</xdr:colOff>
      <xdr:row>149</xdr:row>
      <xdr:rowOff>9525</xdr:rowOff>
    </xdr:from>
    <xdr:to>
      <xdr:col>27</xdr:col>
      <xdr:colOff>85725</xdr:colOff>
      <xdr:row>165</xdr:row>
      <xdr:rowOff>4762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twoCellAnchor>
  <xdr:twoCellAnchor>
    <xdr:from>
      <xdr:col>1</xdr:col>
      <xdr:colOff>600075</xdr:colOff>
      <xdr:row>167</xdr:row>
      <xdr:rowOff>0</xdr:rowOff>
    </xdr:from>
    <xdr:to>
      <xdr:col>10</xdr:col>
      <xdr:colOff>504825</xdr:colOff>
      <xdr:row>183</xdr:row>
      <xdr:rowOff>152400</xdr:rowOff>
    </xdr:to>
    <xdr:graphicFrame macro="">
      <xdr:nvGraphicFramePr>
        <xdr:cNvPr id="24" name="Diagram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>
    <xdr:from>
      <xdr:col>21</xdr:col>
      <xdr:colOff>0</xdr:colOff>
      <xdr:row>167</xdr:row>
      <xdr:rowOff>9525</xdr:rowOff>
    </xdr:from>
    <xdr:to>
      <xdr:col>27</xdr:col>
      <xdr:colOff>85725</xdr:colOff>
      <xdr:row>183</xdr:row>
      <xdr:rowOff>4762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  <xdr:twoCellAnchor>
    <xdr:from>
      <xdr:col>3</xdr:col>
      <xdr:colOff>133350</xdr:colOff>
      <xdr:row>0</xdr:row>
      <xdr:rowOff>104775</xdr:rowOff>
    </xdr:from>
    <xdr:to>
      <xdr:col>10</xdr:col>
      <xdr:colOff>219075</xdr:colOff>
      <xdr:row>2</xdr:row>
      <xdr:rowOff>57150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38275" y="104775"/>
          <a:ext cx="398145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Tips</a:t>
          </a:r>
          <a:r>
            <a:rPr lang="sv-SE" sz="1100"/>
            <a:t>:  Skalorna på värde-axlarna i diagrammen är förinställda.</a:t>
          </a:r>
        </a:p>
        <a:p>
          <a:r>
            <a:rPr lang="sv-SE" sz="1100"/>
            <a:t>           De går att ändra manuellt, om  värden hamnar utanför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omments" Target="../comments7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12.bin"/><Relationship Id="rId16" Type="http://schemas.openxmlformats.org/officeDocument/2006/relationships/ctrlProp" Target="../ctrlProps/ctrlProp17.xml"/><Relationship Id="rId1" Type="http://schemas.openxmlformats.org/officeDocument/2006/relationships/hyperlink" Target="http://www.ekologgruppen.com/vattenkontroll/Vattenmetoder_EIG.xlsm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vmlDrawing" Target="../drawings/vmlDrawing11.v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package" Target="../embeddings/Microsoft_Word_Document5.docx"/><Relationship Id="rId18" Type="http://schemas.openxmlformats.org/officeDocument/2006/relationships/image" Target="../media/image16.emf"/><Relationship Id="rId26" Type="http://schemas.openxmlformats.org/officeDocument/2006/relationships/image" Target="../media/image20.emf"/><Relationship Id="rId3" Type="http://schemas.openxmlformats.org/officeDocument/2006/relationships/vmlDrawing" Target="../drawings/vmlDrawing12.vml"/><Relationship Id="rId21" Type="http://schemas.openxmlformats.org/officeDocument/2006/relationships/package" Target="../embeddings/Microsoft_Word_Document9.docx"/><Relationship Id="rId7" Type="http://schemas.openxmlformats.org/officeDocument/2006/relationships/package" Target="../embeddings/Microsoft_Word_Document2.docx"/><Relationship Id="rId12" Type="http://schemas.openxmlformats.org/officeDocument/2006/relationships/image" Target="../media/image13.emf"/><Relationship Id="rId17" Type="http://schemas.openxmlformats.org/officeDocument/2006/relationships/package" Target="../embeddings/Microsoft_Word_Document7.docx"/><Relationship Id="rId25" Type="http://schemas.openxmlformats.org/officeDocument/2006/relationships/package" Target="../embeddings/Microsoft_Word_Document11.docx"/><Relationship Id="rId2" Type="http://schemas.openxmlformats.org/officeDocument/2006/relationships/drawing" Target="../drawings/drawing12.xml"/><Relationship Id="rId16" Type="http://schemas.openxmlformats.org/officeDocument/2006/relationships/image" Target="../media/image15.emf"/><Relationship Id="rId20" Type="http://schemas.openxmlformats.org/officeDocument/2006/relationships/image" Target="../media/image17.emf"/><Relationship Id="rId29" Type="http://schemas.openxmlformats.org/officeDocument/2006/relationships/package" Target="../embeddings/Microsoft_Word_Document13.docx"/><Relationship Id="rId1" Type="http://schemas.openxmlformats.org/officeDocument/2006/relationships/printerSettings" Target="../printerSettings/printerSettings13.bin"/><Relationship Id="rId6" Type="http://schemas.openxmlformats.org/officeDocument/2006/relationships/image" Target="../media/image10.emf"/><Relationship Id="rId11" Type="http://schemas.openxmlformats.org/officeDocument/2006/relationships/package" Target="../embeddings/Microsoft_Word_Document4.docx"/><Relationship Id="rId24" Type="http://schemas.openxmlformats.org/officeDocument/2006/relationships/image" Target="../media/image19.emf"/><Relationship Id="rId32" Type="http://schemas.openxmlformats.org/officeDocument/2006/relationships/image" Target="../media/image23.emf"/><Relationship Id="rId5" Type="http://schemas.openxmlformats.org/officeDocument/2006/relationships/package" Target="../embeddings/Microsoft_Word_Document1.docx"/><Relationship Id="rId15" Type="http://schemas.openxmlformats.org/officeDocument/2006/relationships/package" Target="../embeddings/Microsoft_Word_Document6.docx"/><Relationship Id="rId23" Type="http://schemas.openxmlformats.org/officeDocument/2006/relationships/package" Target="../embeddings/Microsoft_Word_Document10.docx"/><Relationship Id="rId28" Type="http://schemas.openxmlformats.org/officeDocument/2006/relationships/image" Target="../media/image21.emf"/><Relationship Id="rId10" Type="http://schemas.openxmlformats.org/officeDocument/2006/relationships/image" Target="../media/image12.emf"/><Relationship Id="rId19" Type="http://schemas.openxmlformats.org/officeDocument/2006/relationships/package" Target="../embeddings/Microsoft_Word_Document8.docx"/><Relationship Id="rId31" Type="http://schemas.openxmlformats.org/officeDocument/2006/relationships/package" Target="../embeddings/Microsoft_Word_Document14.docx"/><Relationship Id="rId4" Type="http://schemas.openxmlformats.org/officeDocument/2006/relationships/vmlDrawing" Target="../drawings/vmlDrawing13.vml"/><Relationship Id="rId9" Type="http://schemas.openxmlformats.org/officeDocument/2006/relationships/package" Target="../embeddings/Microsoft_Word_Document3.docx"/><Relationship Id="rId14" Type="http://schemas.openxmlformats.org/officeDocument/2006/relationships/image" Target="../media/image14.emf"/><Relationship Id="rId22" Type="http://schemas.openxmlformats.org/officeDocument/2006/relationships/image" Target="../media/image18.emf"/><Relationship Id="rId27" Type="http://schemas.openxmlformats.org/officeDocument/2006/relationships/package" Target="../embeddings/Microsoft_Word_Document12.docx"/><Relationship Id="rId30" Type="http://schemas.openxmlformats.org/officeDocument/2006/relationships/image" Target="../media/image22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vlingean.se/" TargetMode="External"/><Relationship Id="rId2" Type="http://schemas.openxmlformats.org/officeDocument/2006/relationships/hyperlink" Target="http://www.ekologigruppen.se/" TargetMode="External"/><Relationship Id="rId1" Type="http://schemas.openxmlformats.org/officeDocument/2006/relationships/hyperlink" Target="mailto:julia.karslsson@ekologigruppen.se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therese.parodi@lund.se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iljodata.slu.se/mvm/" TargetMode="External"/><Relationship Id="rId3" Type="http://schemas.openxmlformats.org/officeDocument/2006/relationships/hyperlink" Target="https://ext-geoportal.lansstyrelsen.se/standard/?appid=1589fd5a099a4e309035beb900d12399" TargetMode="External"/><Relationship Id="rId7" Type="http://schemas.openxmlformats.org/officeDocument/2006/relationships/hyperlink" Target="https://kavlingean.se/" TargetMode="External"/><Relationship Id="rId2" Type="http://schemas.openxmlformats.org/officeDocument/2006/relationships/hyperlink" Target="http://www.naturvardsverket.se/" TargetMode="External"/><Relationship Id="rId1" Type="http://schemas.openxmlformats.org/officeDocument/2006/relationships/hyperlink" Target="https://www.lansstyrelsen.se/skane.html" TargetMode="External"/><Relationship Id="rId6" Type="http://schemas.openxmlformats.org/officeDocument/2006/relationships/hyperlink" Target="https://vattenatlas.se/" TargetMode="External"/><Relationship Id="rId5" Type="http://schemas.openxmlformats.org/officeDocument/2006/relationships/hyperlink" Target="http://www.vattenmyndigheterna.se/sv/Pages/default.aspx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https://viss.lansstyrelsen.se/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file:///C:\Users\Bengt%20Wedding\AppData\Roaming\Microsoft\Arsfil_Versionshistorik_och_makron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vattenwebb.smhi.se/modelarea/" TargetMode="External"/><Relationship Id="rId2" Type="http://schemas.openxmlformats.org/officeDocument/2006/relationships/hyperlink" Target="https://www.smhi.se/data/hydrologi/ladda-ner-hydrologiska-observationer" TargetMode="External"/><Relationship Id="rId1" Type="http://schemas.openxmlformats.org/officeDocument/2006/relationships/hyperlink" Target="https://vattenweb.smhi.se/station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0"/>
  </sheetPr>
  <dimension ref="B1:Q19"/>
  <sheetViews>
    <sheetView showRowColHeaders="0" tabSelected="1" zoomScaleNormal="100" workbookViewId="0"/>
  </sheetViews>
  <sheetFormatPr defaultColWidth="9.08984375" defaultRowHeight="12.5"/>
  <cols>
    <col min="1" max="1" width="9.90625" style="341" customWidth="1"/>
    <col min="2" max="2" width="10.6328125" style="341" customWidth="1"/>
    <col min="3" max="3" width="20.6328125" style="341" customWidth="1"/>
    <col min="4" max="4" width="1.6328125" style="341" customWidth="1"/>
    <col min="5" max="5" width="20.6328125" style="341" customWidth="1"/>
    <col min="6" max="6" width="1.6328125" style="341" customWidth="1"/>
    <col min="7" max="7" width="20.6328125" style="341" hidden="1" customWidth="1"/>
    <col min="8" max="8" width="20.6328125" style="341" customWidth="1"/>
    <col min="9" max="9" width="10.6328125" style="341" customWidth="1"/>
    <col min="10" max="16384" width="9.08984375" style="341"/>
  </cols>
  <sheetData>
    <row r="1" spans="2:17" ht="23.25" customHeight="1"/>
    <row r="2" spans="2:17" ht="15" customHeight="1">
      <c r="B2" s="344"/>
      <c r="C2" s="344"/>
      <c r="D2" s="345"/>
      <c r="E2" s="345"/>
      <c r="F2" s="345"/>
      <c r="G2" s="344"/>
      <c r="H2" s="344"/>
      <c r="I2" s="344"/>
      <c r="K2" s="754"/>
      <c r="L2" s="755"/>
    </row>
    <row r="3" spans="2:17" ht="28.5" customHeight="1">
      <c r="B3" s="344"/>
      <c r="C3" s="513"/>
      <c r="D3" s="344"/>
      <c r="E3" s="607" t="s">
        <v>401</v>
      </c>
      <c r="F3" s="346"/>
      <c r="G3" s="344"/>
      <c r="H3" s="344"/>
      <c r="I3" s="344"/>
      <c r="K3" s="748"/>
      <c r="L3" s="749"/>
    </row>
    <row r="4" spans="2:17" ht="17.25" customHeight="1">
      <c r="B4" s="344"/>
      <c r="C4" s="344"/>
      <c r="D4" s="344"/>
      <c r="E4" s="346"/>
      <c r="F4" s="346"/>
      <c r="G4" s="344"/>
      <c r="H4" s="344"/>
      <c r="I4" s="344"/>
    </row>
    <row r="5" spans="2:17" ht="164.4" customHeight="1">
      <c r="B5" s="344"/>
      <c r="C5" s="347"/>
      <c r="D5" s="344"/>
      <c r="E5" s="348"/>
      <c r="F5" s="349"/>
      <c r="G5" s="344"/>
      <c r="H5" s="344"/>
      <c r="I5" s="344"/>
      <c r="Q5" s="750"/>
    </row>
    <row r="6" spans="2:17" ht="23.4" customHeight="1">
      <c r="B6" s="350" t="s">
        <v>428</v>
      </c>
      <c r="C6" s="351"/>
      <c r="D6" s="344"/>
      <c r="E6" s="352"/>
      <c r="F6" s="344"/>
      <c r="G6" s="344"/>
      <c r="H6" s="352"/>
      <c r="I6" s="344"/>
      <c r="J6" s="342"/>
    </row>
    <row r="7" spans="2:17" ht="39" customHeight="1">
      <c r="B7" s="344"/>
      <c r="C7" s="376" t="s">
        <v>160</v>
      </c>
      <c r="D7" s="353"/>
      <c r="E7" s="376" t="s">
        <v>161</v>
      </c>
      <c r="F7" s="344"/>
      <c r="G7" s="354"/>
      <c r="H7" s="376" t="s">
        <v>190</v>
      </c>
      <c r="I7" s="344"/>
      <c r="J7" s="342"/>
      <c r="L7" s="756"/>
      <c r="N7" s="756"/>
    </row>
    <row r="8" spans="2:17" ht="23.25" customHeight="1">
      <c r="B8" s="344"/>
      <c r="C8" s="344"/>
      <c r="D8" s="353"/>
      <c r="E8" s="344"/>
      <c r="F8" s="344"/>
      <c r="G8" s="344"/>
      <c r="H8" s="355"/>
      <c r="I8" s="344"/>
      <c r="J8" s="342"/>
      <c r="N8" s="751"/>
    </row>
    <row r="9" spans="2:17" ht="23.25" customHeight="1">
      <c r="B9" s="344"/>
      <c r="C9" s="344"/>
      <c r="D9" s="353"/>
      <c r="E9" s="344"/>
      <c r="F9" s="344"/>
      <c r="G9" s="354"/>
      <c r="H9" s="344"/>
      <c r="I9" s="344"/>
      <c r="J9" s="342"/>
    </row>
    <row r="10" spans="2:17" ht="15" customHeight="1">
      <c r="B10" s="356"/>
      <c r="C10" s="356"/>
      <c r="D10" s="348"/>
      <c r="E10" s="356"/>
      <c r="F10" s="344"/>
      <c r="G10" s="344"/>
      <c r="H10" s="355"/>
      <c r="I10" s="344"/>
      <c r="J10" s="342"/>
    </row>
    <row r="11" spans="2:17" ht="22.5" customHeight="1">
      <c r="B11" s="356"/>
      <c r="C11" s="377" t="s">
        <v>217</v>
      </c>
      <c r="D11" s="356"/>
      <c r="E11" s="377" t="s">
        <v>126</v>
      </c>
      <c r="F11" s="344"/>
      <c r="G11" s="344"/>
      <c r="H11" s="377" t="s">
        <v>127</v>
      </c>
      <c r="I11" s="344"/>
      <c r="J11" s="342"/>
      <c r="K11" s="749"/>
      <c r="L11" s="752"/>
    </row>
    <row r="12" spans="2:17" ht="9.75" customHeight="1">
      <c r="B12" s="356"/>
      <c r="C12" s="357"/>
      <c r="D12" s="356"/>
      <c r="E12" s="356"/>
      <c r="F12" s="344"/>
      <c r="G12" s="344"/>
      <c r="H12" s="358"/>
      <c r="I12" s="344"/>
      <c r="J12" s="342"/>
      <c r="L12" s="749"/>
    </row>
    <row r="13" spans="2:17" ht="21.75" customHeight="1">
      <c r="B13" s="356"/>
      <c r="C13" s="377" t="s">
        <v>0</v>
      </c>
      <c r="D13" s="356"/>
      <c r="E13" s="377" t="s">
        <v>1</v>
      </c>
      <c r="F13" s="344"/>
      <c r="G13" s="344"/>
      <c r="H13" s="377"/>
      <c r="I13" s="344"/>
      <c r="J13" s="342"/>
      <c r="K13" s="749"/>
      <c r="L13" s="753"/>
    </row>
    <row r="14" spans="2:17" ht="12" customHeight="1">
      <c r="B14" s="344"/>
      <c r="C14" s="359"/>
      <c r="D14" s="344"/>
      <c r="E14" s="360"/>
      <c r="F14" s="344"/>
      <c r="G14" s="344"/>
      <c r="H14" s="344"/>
      <c r="I14" s="344"/>
      <c r="J14" s="342"/>
    </row>
    <row r="15" spans="2:17" ht="15" customHeight="1">
      <c r="B15" s="344"/>
      <c r="C15" s="361" t="s">
        <v>272</v>
      </c>
      <c r="D15" s="344"/>
      <c r="E15" s="353"/>
      <c r="F15" s="344"/>
      <c r="G15" s="344"/>
      <c r="H15" s="344"/>
      <c r="I15" s="344"/>
      <c r="K15" s="749"/>
      <c r="L15" s="753"/>
      <c r="P15" s="342"/>
    </row>
    <row r="16" spans="2:17" ht="21.65" customHeight="1">
      <c r="C16" s="343"/>
      <c r="E16" s="343"/>
      <c r="H16" s="343"/>
      <c r="J16" s="342"/>
    </row>
    <row r="17" ht="30" customHeight="1"/>
    <row r="18" ht="18" customHeight="1"/>
    <row r="19" ht="18" customHeight="1"/>
  </sheetData>
  <sheetProtection algorithmName="SHA-512" hashValue="MlV/K14YUk3y7t+aIa1jqPAzFHInUYl2WJ8u9VTozIXKCW8yzuEj/QpdcqTe0T3CZZJvWf4+EQHF3410ayR/LA==" saltValue="OuTqzm1M+jmZUb2VySL/sQ==" spinCount="100000" sheet="1" objects="1" scenarios="1"/>
  <phoneticPr fontId="0" type="noConversion"/>
  <hyperlinks>
    <hyperlink ref="E7" location="Sorterat!A1" display="Resultat sorterat per provpunkt" xr:uid="{00000000-0004-0000-0000-000000000000}"/>
    <hyperlink ref="E13" location="Kontakt!A1" display="Kontaktinformation" xr:uid="{00000000-0004-0000-0000-000001000000}"/>
    <hyperlink ref="C7" location="Resultat!A1" display="Resultat sorterat per månad" xr:uid="{00000000-0004-0000-0000-000002000000}"/>
    <hyperlink ref="H7" location="Statistik!A1" display="Diagram och statistik" xr:uid="{00000000-0004-0000-0000-000004000000}"/>
    <hyperlink ref="H11" location="Vattenföring!A1" display="Vattenföring" xr:uid="{00000000-0004-0000-0000-000006000000}"/>
    <hyperlink ref="C13" location="Länkar!A1" display="Länkar" xr:uid="{00000000-0004-0000-0000-000007000000}"/>
    <hyperlink ref="E11" location="Kommentarer!A1" display="Kommentarer" xr:uid="{00000000-0004-0000-0000-000008000000}"/>
    <hyperlink ref="C11" location="Rapport!A1" display="Rapport" xr:uid="{00000000-0004-0000-0000-000009000000}"/>
  </hyperlinks>
  <pageMargins left="0.75" right="0.75" top="1" bottom="0.49" header="0.5" footer="0.24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locked="0" defaultSize="0" r:id="rId5">
            <anchor moveWithCells="1">
              <from>
                <xdr:col>9</xdr:col>
                <xdr:colOff>508000</xdr:colOff>
                <xdr:row>1</xdr:row>
                <xdr:rowOff>0</xdr:rowOff>
              </from>
              <to>
                <xdr:col>17</xdr:col>
                <xdr:colOff>603250</xdr:colOff>
                <xdr:row>9</xdr:row>
                <xdr:rowOff>6350</xdr:rowOff>
              </to>
            </anchor>
          </objectPr>
        </oleObject>
      </mc:Choice>
      <mc:Fallback>
        <oleObject progId="Word.Document.12" shapeId="102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1">
    <tabColor rgb="FFFFC000"/>
  </sheetPr>
  <dimension ref="A1:AS226"/>
  <sheetViews>
    <sheetView showRowColHeaders="0" zoomScaleNormal="100" workbookViewId="0">
      <pane ySplit="4" topLeftCell="A5" activePane="bottomLeft" state="frozen"/>
      <selection pane="bottomLeft"/>
    </sheetView>
  </sheetViews>
  <sheetFormatPr defaultRowHeight="12.5"/>
  <cols>
    <col min="1" max="1" width="3.08984375" customWidth="1"/>
    <col min="2" max="2" width="4.36328125" customWidth="1"/>
    <col min="3" max="3" width="12.08984375" customWidth="1"/>
    <col min="8" max="8" width="10.453125" customWidth="1"/>
    <col min="9" max="9" width="10.36328125" customWidth="1"/>
    <col min="10" max="10" width="1.54296875" customWidth="1"/>
    <col min="11" max="11" width="10.36328125" customWidth="1"/>
    <col min="12" max="12" width="1.08984375" customWidth="1"/>
    <col min="13" max="13" width="11" customWidth="1"/>
    <col min="14" max="14" width="7.54296875" customWidth="1"/>
    <col min="15" max="15" width="2.36328125" customWidth="1"/>
    <col min="16" max="16" width="5.36328125" customWidth="1"/>
    <col min="17" max="17" width="3.90625" customWidth="1"/>
    <col min="18" max="18" width="10.36328125" bestFit="1" customWidth="1"/>
    <col min="19" max="19" width="7.453125" style="101" customWidth="1"/>
    <col min="20" max="20" width="5.36328125" customWidth="1"/>
    <col min="21" max="21" width="5" customWidth="1"/>
    <col min="44" max="44" width="12.54296875" style="216" bestFit="1" customWidth="1"/>
  </cols>
  <sheetData>
    <row r="1" spans="1:45" ht="20.149999999999999" customHeight="1">
      <c r="A1" s="243"/>
      <c r="B1" s="243"/>
      <c r="C1" s="243"/>
      <c r="D1" s="244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557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</row>
    <row r="2" spans="1:45" ht="20.149999999999999" customHeight="1">
      <c r="A2" s="243"/>
      <c r="B2" s="243"/>
      <c r="C2" s="243"/>
      <c r="D2" s="244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557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</row>
    <row r="3" spans="1:45" ht="20.149999999999999" customHeight="1">
      <c r="A3" s="243"/>
      <c r="B3" s="243"/>
      <c r="C3" s="244" t="s">
        <v>163</v>
      </c>
      <c r="D3" s="244"/>
      <c r="E3" s="243"/>
      <c r="F3" s="243"/>
      <c r="G3" s="243"/>
      <c r="H3" s="243"/>
      <c r="I3" s="245"/>
      <c r="J3" s="243"/>
      <c r="K3" s="243"/>
      <c r="L3" s="243"/>
      <c r="M3" s="243"/>
      <c r="N3" s="243"/>
      <c r="O3" s="243"/>
      <c r="P3" s="243"/>
      <c r="Q3" s="243"/>
      <c r="R3" s="245" t="s">
        <v>164</v>
      </c>
      <c r="S3" s="557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R3" s="216" t="s">
        <v>164</v>
      </c>
    </row>
    <row r="4" spans="1:45" ht="20.149999999999999" customHeight="1">
      <c r="A4" s="243"/>
      <c r="B4" s="243"/>
      <c r="C4" s="312" t="str">
        <f>Statistik!$B8</f>
        <v>3   Kävlingeån, vid Högsmölla</v>
      </c>
      <c r="D4" s="312"/>
      <c r="E4" s="313"/>
      <c r="F4" s="313"/>
      <c r="G4" s="313"/>
      <c r="H4" s="363" t="s">
        <v>192</v>
      </c>
      <c r="I4" s="364">
        <f>MIN(Statistik!$C9:$C192)</f>
        <v>40192</v>
      </c>
      <c r="J4" s="365" t="s">
        <v>179</v>
      </c>
      <c r="K4" s="364">
        <f>MAX(Statistik!$C9:$C192)</f>
        <v>45642</v>
      </c>
      <c r="L4" s="291"/>
      <c r="M4" s="244"/>
      <c r="N4" s="291"/>
      <c r="O4" s="292"/>
      <c r="P4" s="291"/>
      <c r="Q4" s="243"/>
      <c r="R4" s="314">
        <f>IF((VLOOKUP(C4,Provpunkter!B1:C19,2,FALSE))=12,MAX(RS!E3:E13),MAX(RS!E15:E20))</f>
        <v>45848</v>
      </c>
      <c r="S4" s="557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R4" s="216">
        <v>45826</v>
      </c>
    </row>
    <row r="5" spans="1:45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557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</row>
    <row r="6" spans="1:45" ht="13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6"/>
      <c r="S6" s="557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</row>
    <row r="7" spans="1:45" ht="13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6" t="s">
        <v>166</v>
      </c>
      <c r="N7" s="247" t="s">
        <v>167</v>
      </c>
      <c r="O7" s="247"/>
      <c r="P7" s="247" t="s">
        <v>168</v>
      </c>
      <c r="Q7" s="243"/>
      <c r="R7" s="293" t="s">
        <v>181</v>
      </c>
      <c r="S7" s="294"/>
      <c r="T7" s="295"/>
      <c r="U7" s="247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R7" s="216" t="s">
        <v>181</v>
      </c>
    </row>
    <row r="8" spans="1:45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7" t="s">
        <v>106</v>
      </c>
      <c r="O8" s="247"/>
      <c r="P8" s="247" t="s">
        <v>114</v>
      </c>
      <c r="Q8" s="243"/>
      <c r="R8" s="296" t="s">
        <v>154</v>
      </c>
      <c r="S8" s="297" t="s">
        <v>106</v>
      </c>
      <c r="T8" s="298" t="s">
        <v>114</v>
      </c>
      <c r="U8" s="247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R8" s="216" t="s">
        <v>154</v>
      </c>
      <c r="AS8" t="s">
        <v>106</v>
      </c>
    </row>
    <row r="9" spans="1:45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 t="s">
        <v>150</v>
      </c>
      <c r="N9" s="237">
        <f>Statistik!E$193</f>
        <v>10.332000000000001</v>
      </c>
      <c r="O9" s="237"/>
      <c r="P9" s="238">
        <f>Statistik!F$193</f>
        <v>89.907777777777781</v>
      </c>
      <c r="Q9" s="243"/>
      <c r="R9" s="299">
        <f>IFERROR(VLOOKUP(CONCATENATE($C$4,"1"),RS!$B$3:$T$182,4,FALSE),"")</f>
        <v>45671</v>
      </c>
      <c r="S9" s="558">
        <f>IFERROR(VLOOKUP(CONCATENATE($C$4,"1"),RS!$B$3:$T$182,6,FALSE),"")</f>
        <v>13.79</v>
      </c>
      <c r="T9" s="300">
        <f>IFERROR(VLOOKUP(CONCATENATE($C$4,"1"),RS!$B$3:$T$182,7,FALSE),"")</f>
        <v>102</v>
      </c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R9" s="216">
        <v>45671</v>
      </c>
      <c r="AS9">
        <v>13.79</v>
      </c>
    </row>
    <row r="10" spans="1:45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 t="s">
        <v>162</v>
      </c>
      <c r="N10" s="237">
        <f>Statistik!E$194</f>
        <v>2.4071741934819304</v>
      </c>
      <c r="O10" s="237"/>
      <c r="P10" s="238">
        <f>Statistik!F$194</f>
        <v>9.9972088593903408</v>
      </c>
      <c r="Q10" s="243"/>
      <c r="R10" s="299">
        <f>IFERROR(VLOOKUP(CONCATENATE($C$4,"2"),RS!$B$3:$T$182,4,FALSE),"")</f>
        <v>45706</v>
      </c>
      <c r="S10" s="558">
        <f>IFERROR(VLOOKUP(CONCATENATE($C$4,"2"),RS!$B$3:$T$182,6,FALSE),"")</f>
        <v>14.72</v>
      </c>
      <c r="T10" s="300">
        <f>IFERROR(VLOOKUP(CONCATENATE($C$4,"2"),RS!$B$3:$T$182,7,FALSE),"")</f>
        <v>103</v>
      </c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R10" s="216">
        <v>45706</v>
      </c>
      <c r="AS10">
        <v>14.72</v>
      </c>
    </row>
    <row r="11" spans="1:45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 t="s">
        <v>151</v>
      </c>
      <c r="N11" s="237">
        <f>Statistik!E$195</f>
        <v>14.8</v>
      </c>
      <c r="O11" s="237"/>
      <c r="P11" s="238">
        <f>Statistik!F$195</f>
        <v>119</v>
      </c>
      <c r="Q11" s="243"/>
      <c r="R11" s="299">
        <f>IFERROR(VLOOKUP(CONCATENATE($C$4,"3"),RS!$B$3:$T$182,4,FALSE),"")</f>
        <v>45734</v>
      </c>
      <c r="S11" s="558">
        <f>IFERROR(VLOOKUP(CONCATENATE($C$4,"3"),RS!$B$3:$T$182,6,FALSE),"")</f>
        <v>13.33</v>
      </c>
      <c r="T11" s="300">
        <f>IFERROR(VLOOKUP(CONCATENATE($C$4,"3"),RS!$B$3:$T$182,7,FALSE),"")</f>
        <v>91</v>
      </c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R11" s="216">
        <v>45734</v>
      </c>
      <c r="AS11">
        <v>13.33</v>
      </c>
    </row>
    <row r="12" spans="1:45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 t="s">
        <v>152</v>
      </c>
      <c r="N12" s="237">
        <f>Statistik!E$196</f>
        <v>5</v>
      </c>
      <c r="O12" s="237"/>
      <c r="P12" s="238">
        <f>Statistik!F$196</f>
        <v>56</v>
      </c>
      <c r="Q12" s="243"/>
      <c r="R12" s="299">
        <f>IFERROR(VLOOKUP(CONCATENATE($C$4,"4"),RS!$B$3:$T$182,4,FALSE),"")</f>
        <v>45761</v>
      </c>
      <c r="S12" s="558">
        <f>IFERROR(VLOOKUP(CONCATENATE($C$4,"4"),RS!$B$3:$T$182,6,FALSE),"")</f>
        <v>9.98</v>
      </c>
      <c r="T12" s="300">
        <f>IFERROR(VLOOKUP(CONCATENATE($C$4,"4"),RS!$B$3:$T$182,7,FALSE),"")</f>
        <v>92</v>
      </c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R12" s="216">
        <v>45761</v>
      </c>
      <c r="AS12">
        <v>9.98</v>
      </c>
    </row>
    <row r="13" spans="1:45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4" t="s">
        <v>177</v>
      </c>
      <c r="N13" s="238">
        <f>Statistik!E$197</f>
        <v>180</v>
      </c>
      <c r="O13" s="238"/>
      <c r="P13" s="243"/>
      <c r="Q13" s="243"/>
      <c r="R13" s="299" t="str">
        <f>IFERROR(VLOOKUP(CONCATENATE($C$4,"5"),RS!$B$3:$T$182,4,FALSE),"")</f>
        <v>2025-05-13</v>
      </c>
      <c r="S13" s="558">
        <f>IFERROR(VLOOKUP(CONCATENATE($C$4,"5"),RS!$B$3:$T$182,6,FALSE),"")</f>
        <v>9.42</v>
      </c>
      <c r="T13" s="300">
        <f>IFERROR(VLOOKUP(CONCATENATE($C$4,"5"),RS!$B$3:$T$182,7,FALSE),"")</f>
        <v>94</v>
      </c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R13" s="216">
        <v>45790</v>
      </c>
      <c r="AS13">
        <v>9.42</v>
      </c>
    </row>
    <row r="14" spans="1:45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37"/>
      <c r="O14" s="237"/>
      <c r="P14" s="238"/>
      <c r="Q14" s="243"/>
      <c r="R14" s="299">
        <f>IFERROR(VLOOKUP(CONCATENATE($C$4,"6"),RS!$B$3:$T$182,4,FALSE),"")</f>
        <v>45826</v>
      </c>
      <c r="S14" s="558">
        <f>IFERROR(VLOOKUP(CONCATENATE($C$4,"6"),RS!$B$3:$T$182,6,FALSE),"")</f>
        <v>8.3800000000000008</v>
      </c>
      <c r="T14" s="300">
        <f>IFERROR(VLOOKUP(CONCATENATE($C$4,"6"),RS!$B$3:$T$182,7,FALSE),"")</f>
        <v>93</v>
      </c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R14" s="216">
        <v>45826</v>
      </c>
      <c r="AS14">
        <v>8.3800000000000008</v>
      </c>
    </row>
    <row r="15" spans="1:45" ht="13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82" t="s">
        <v>165</v>
      </c>
      <c r="N15" s="246">
        <f>VLOOKUP(TRIM(CONCATENATE($C$4,$R$4)),RS!$A$3:$S$182,7,FALSE)</f>
        <v>7.6</v>
      </c>
      <c r="O15" s="246"/>
      <c r="P15" s="246">
        <f>VLOOKUP(TRIM(CONCATENATE($C$4,$R$4)),RS!$A$3:$S$182,8,FALSE)</f>
        <v>84</v>
      </c>
      <c r="Q15" s="243"/>
      <c r="R15" s="299">
        <f>IFERROR(VLOOKUP(CONCATENATE($C$4,"7"),RS!$B$3:$T$182,4,FALSE),"")</f>
        <v>45848</v>
      </c>
      <c r="S15" s="558">
        <f>IFERROR(VLOOKUP(CONCATENATE($C$4,"7"),RS!$B$3:$T$182,6,FALSE),"")</f>
        <v>7.6</v>
      </c>
      <c r="T15" s="300">
        <f>IFERROR(VLOOKUP(CONCATENATE($C$4,"7"),RS!$B$3:$T$182,7,FALSE),"")</f>
        <v>84</v>
      </c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S15" t="s">
        <v>18</v>
      </c>
    </row>
    <row r="16" spans="1:45" ht="13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82"/>
      <c r="N16" s="246"/>
      <c r="O16" s="246"/>
      <c r="P16" s="246"/>
      <c r="Q16" s="243"/>
      <c r="R16" s="299" t="str">
        <f>IFERROR(VLOOKUP(CONCATENATE($C$4,"8"),RS!$B$3:$T$182,4,FALSE),"")</f>
        <v/>
      </c>
      <c r="S16" s="558" t="str">
        <f>IFERROR(VLOOKUP(CONCATENATE($C$4,"8"),RS!$B$3:$T$182,6,FALSE),"")</f>
        <v/>
      </c>
      <c r="T16" s="300" t="str">
        <f>IFERROR(VLOOKUP(CONCATENATE($C$4,"8"),RS!$B$3:$T$182,7,FALSE),"")</f>
        <v/>
      </c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S16" t="s">
        <v>18</v>
      </c>
    </row>
    <row r="17" spans="1:45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99" t="str">
        <f>IFERROR(VLOOKUP(CONCATENATE($C$4,"9"),RS!$B$3:$T$182,4,FALSE),"")</f>
        <v/>
      </c>
      <c r="S17" s="558" t="str">
        <f>IFERROR(VLOOKUP(CONCATENATE($C$4,"9"),RS!$B$3:$T$182,6,FALSE),"")</f>
        <v/>
      </c>
      <c r="T17" s="300" t="str">
        <f>IFERROR(VLOOKUP(CONCATENATE($C$4,"9"),RS!$B$3:$T$182,7,FALSE),"")</f>
        <v/>
      </c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S17" t="s">
        <v>18</v>
      </c>
    </row>
    <row r="18" spans="1:45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99" t="str">
        <f>IFERROR(VLOOKUP(CONCATENATE($C$4,"10"),RS!$B$3:$T$182,4,FALSE),"")</f>
        <v/>
      </c>
      <c r="S18" s="558" t="str">
        <f>IFERROR(VLOOKUP(CONCATENATE($C$4,"10"),RS!$B$3:$T$182,6,FALSE),"")</f>
        <v/>
      </c>
      <c r="T18" s="300" t="str">
        <f>IFERROR(VLOOKUP(CONCATENATE($C$4,"10"),RS!$B$3:$T$182,7,FALSE),"")</f>
        <v/>
      </c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S18" t="s">
        <v>18</v>
      </c>
    </row>
    <row r="19" spans="1:45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99" t="str">
        <f>IFERROR(VLOOKUP(CONCATENATE($C$4,"11"),RS!$B$3:$T$182,4,FALSE),"")</f>
        <v/>
      </c>
      <c r="S19" s="558" t="str">
        <f>IFERROR(VLOOKUP(CONCATENATE($C$4,"11"),RS!$B$3:$T$182,6,FALSE),"")</f>
        <v/>
      </c>
      <c r="T19" s="300" t="str">
        <f>IFERROR(VLOOKUP(CONCATENATE($C$4,"11"),RS!$B$3:$T$182,7,FALSE),"")</f>
        <v/>
      </c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S19" t="s">
        <v>18</v>
      </c>
    </row>
    <row r="20" spans="1:45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301" t="str">
        <f>IFERROR(VLOOKUP(CONCATENATE($C$4,"12"),RS!$B$3:$T$182,4,FALSE),"")</f>
        <v/>
      </c>
      <c r="S20" s="559" t="str">
        <f>IFERROR(VLOOKUP(CONCATENATE($C$4,"12"),RS!$B$3:$T$182,6,FALSE),"")</f>
        <v/>
      </c>
      <c r="T20" s="302" t="str">
        <f>IFERROR(VLOOKUP(CONCATENATE($C$4,"12"),RS!$B$3:$T$182,7,FALSE),"")</f>
        <v/>
      </c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S20" t="s">
        <v>18</v>
      </c>
    </row>
    <row r="21" spans="1:45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557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</row>
    <row r="22" spans="1:4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557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</row>
    <row r="23" spans="1:45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557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</row>
    <row r="24" spans="1:4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557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</row>
    <row r="25" spans="1:45" ht="13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6" t="s">
        <v>112</v>
      </c>
      <c r="N25" s="247" t="s">
        <v>169</v>
      </c>
      <c r="O25" s="247"/>
      <c r="P25" s="243"/>
      <c r="Q25" s="243"/>
      <c r="R25" s="293" t="s">
        <v>181</v>
      </c>
      <c r="S25" s="294"/>
      <c r="T25" s="295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R25" s="216" t="s">
        <v>181</v>
      </c>
    </row>
    <row r="26" spans="1:4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96" t="s">
        <v>154</v>
      </c>
      <c r="S26" s="297" t="s">
        <v>169</v>
      </c>
      <c r="T26" s="298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R26" s="216" t="s">
        <v>154</v>
      </c>
      <c r="AS26" t="s">
        <v>169</v>
      </c>
    </row>
    <row r="27" spans="1:45" ht="13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 t="s">
        <v>150</v>
      </c>
      <c r="N27" s="238">
        <f>Statistik!O$193</f>
        <v>3577.2222222222222</v>
      </c>
      <c r="O27" s="246"/>
      <c r="P27" s="243"/>
      <c r="Q27" s="243"/>
      <c r="R27" s="299">
        <f>IFERROR(VLOOKUP(CONCATENATE($C$4,"1"),RS!$B$3:$T$182,4,FALSE),"")</f>
        <v>45671</v>
      </c>
      <c r="S27" s="560">
        <f>IFERROR(VLOOKUP(CONCATENATE($C$4,"1"),RS!$B$3:$T$182,16,FALSE),"")</f>
        <v>4500</v>
      </c>
      <c r="T27" s="300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R27" s="216">
        <v>45671</v>
      </c>
      <c r="AS27">
        <v>4500</v>
      </c>
    </row>
    <row r="28" spans="1:45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 t="s">
        <v>162</v>
      </c>
      <c r="N28" s="238">
        <f>Statistik!O$194</f>
        <v>2058.9043719685565</v>
      </c>
      <c r="O28" s="243"/>
      <c r="P28" s="243"/>
      <c r="Q28" s="243"/>
      <c r="R28" s="299">
        <f>IFERROR(VLOOKUP(CONCATENATE($C$4,"2"),RS!$B$3:$T$182,4,FALSE),"")</f>
        <v>45706</v>
      </c>
      <c r="S28" s="560">
        <f>IFERROR(VLOOKUP(CONCATENATE($C$4,"2"),RS!$B$3:$T$182,16,FALSE),"")</f>
        <v>4100</v>
      </c>
      <c r="T28" s="300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R28" s="216">
        <v>45706</v>
      </c>
      <c r="AS28">
        <v>4100</v>
      </c>
    </row>
    <row r="29" spans="1:4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 t="s">
        <v>151</v>
      </c>
      <c r="N29" s="238">
        <f>Statistik!O$195</f>
        <v>12000</v>
      </c>
      <c r="O29" s="238"/>
      <c r="P29" s="243"/>
      <c r="Q29" s="243"/>
      <c r="R29" s="299">
        <f>IFERROR(VLOOKUP(CONCATENATE($C$4,"3"),RS!$B$3:$T$182,4,FALSE),"")</f>
        <v>45734</v>
      </c>
      <c r="S29" s="560">
        <f>IFERROR(VLOOKUP(CONCATENATE($C$4,"3"),RS!$B$3:$T$182,16,FALSE),"")</f>
        <v>3100</v>
      </c>
      <c r="T29" s="300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R29" s="216">
        <v>45734</v>
      </c>
      <c r="AS29">
        <v>3100</v>
      </c>
    </row>
    <row r="30" spans="1:45">
      <c r="A30" s="243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 t="s">
        <v>152</v>
      </c>
      <c r="N30" s="238">
        <f>Statistik!O$196</f>
        <v>1000</v>
      </c>
      <c r="O30" s="238"/>
      <c r="P30" s="243"/>
      <c r="Q30" s="243"/>
      <c r="R30" s="299">
        <f>IFERROR(VLOOKUP(CONCATENATE($C$4,"4"),RS!$B$3:$T$182,4,FALSE),"")</f>
        <v>45761</v>
      </c>
      <c r="S30" s="560">
        <f>IFERROR(VLOOKUP(CONCATENATE($C$4,"4"),RS!$B$3:$T$182,16,FALSE),"")</f>
        <v>2500</v>
      </c>
      <c r="T30" s="300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R30" s="216">
        <v>45761</v>
      </c>
      <c r="AS30">
        <v>2500</v>
      </c>
    </row>
    <row r="31" spans="1:45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4" t="s">
        <v>177</v>
      </c>
      <c r="N31" s="238">
        <f>Statistik!O$197</f>
        <v>180</v>
      </c>
      <c r="O31" s="238"/>
      <c r="P31" s="243"/>
      <c r="Q31" s="243"/>
      <c r="R31" s="299" t="str">
        <f>IFERROR(VLOOKUP(CONCATENATE($C$4,"5"),RS!$B$3:$T$182,4,FALSE),"")</f>
        <v>2025-05-13</v>
      </c>
      <c r="S31" s="560">
        <f>IFERROR(VLOOKUP(CONCATENATE($C$4,"5"),RS!$B$3:$T$182,16,FALSE),"")</f>
        <v>1800</v>
      </c>
      <c r="T31" s="300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R31" s="216">
        <v>45790</v>
      </c>
      <c r="AS31">
        <v>1800</v>
      </c>
    </row>
    <row r="32" spans="1:45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38"/>
      <c r="O32" s="238"/>
      <c r="P32" s="243"/>
      <c r="Q32" s="243"/>
      <c r="R32" s="299">
        <f>IFERROR(VLOOKUP(CONCATENATE($C$4,"6"),RS!$B$3:$T$182,4,FALSE),"")</f>
        <v>45826</v>
      </c>
      <c r="S32" s="560">
        <f>IFERROR(VLOOKUP(CONCATENATE($C$4,"6"),RS!$B$3:$T$182,16,FALSE),"")</f>
        <v>1900</v>
      </c>
      <c r="T32" s="300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R32" s="216">
        <v>45826</v>
      </c>
      <c r="AS32">
        <v>1900</v>
      </c>
    </row>
    <row r="33" spans="1:45" ht="13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82" t="s">
        <v>165</v>
      </c>
      <c r="N33" s="246">
        <f>VLOOKUP(TRIM(CONCATENATE($C$4,$R$4)),RS!$A$3:$S$182,17,FALSE)</f>
        <v>1300</v>
      </c>
      <c r="O33" s="243"/>
      <c r="P33" s="243"/>
      <c r="Q33" s="243"/>
      <c r="R33" s="299">
        <f>IFERROR(VLOOKUP(CONCATENATE($C$4,"7"),RS!$B$3:$T$182,4,FALSE),"")</f>
        <v>45848</v>
      </c>
      <c r="S33" s="560">
        <f>IFERROR(VLOOKUP(CONCATENATE($C$4,"7"),RS!$B$3:$T$182,16,FALSE),"")</f>
        <v>1300</v>
      </c>
      <c r="T33" s="300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S33" t="s">
        <v>18</v>
      </c>
    </row>
    <row r="34" spans="1:45" ht="13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82"/>
      <c r="N34" s="246"/>
      <c r="O34" s="243"/>
      <c r="P34" s="243"/>
      <c r="Q34" s="243"/>
      <c r="R34" s="299" t="str">
        <f>IFERROR(VLOOKUP(CONCATENATE($C$4,"8"),RS!$B$3:$T$182,4,FALSE),"")</f>
        <v/>
      </c>
      <c r="S34" s="560" t="str">
        <f>IFERROR(VLOOKUP(CONCATENATE($C$4,"8"),RS!$B$3:$T$182,16,FALSE),"")</f>
        <v/>
      </c>
      <c r="T34" s="300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S34" t="s">
        <v>18</v>
      </c>
    </row>
    <row r="35" spans="1:45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99" t="str">
        <f>IFERROR(VLOOKUP(CONCATENATE($C$4,"9"),RS!$B$3:$T$182,4,FALSE),"")</f>
        <v/>
      </c>
      <c r="S35" s="560" t="str">
        <f>IFERROR(VLOOKUP(CONCATENATE($C$4,"9"),RS!$B$3:$T$182,16,FALSE),"")</f>
        <v/>
      </c>
      <c r="T35" s="300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S35" t="s">
        <v>18</v>
      </c>
    </row>
    <row r="36" spans="1:4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99" t="str">
        <f>IFERROR(VLOOKUP(CONCATENATE($C$4,"10"),RS!$B$3:$T$182,4,FALSE),"")</f>
        <v/>
      </c>
      <c r="S36" s="560" t="str">
        <f>IFERROR(VLOOKUP(CONCATENATE($C$4,"10"),RS!$B$3:$T$182,16,FALSE),"")</f>
        <v/>
      </c>
      <c r="T36" s="300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S36" t="s">
        <v>18</v>
      </c>
    </row>
    <row r="37" spans="1:45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99" t="str">
        <f>IFERROR(VLOOKUP(CONCATENATE($C$4,"11"),RS!$B$3:$T$182,4,FALSE),"")</f>
        <v/>
      </c>
      <c r="S37" s="560" t="str">
        <f>IFERROR(VLOOKUP(CONCATENATE($C$4,"11"),RS!$B$3:$T$182,16,FALSE),"")</f>
        <v/>
      </c>
      <c r="T37" s="300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S37" t="s">
        <v>18</v>
      </c>
    </row>
    <row r="38" spans="1:45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301" t="str">
        <f>IFERROR(VLOOKUP(CONCATENATE($C$4,"12"),RS!$B$3:$T$182,4,FALSE),"")</f>
        <v/>
      </c>
      <c r="S38" s="561" t="str">
        <f>IFERROR(VLOOKUP(CONCATENATE($C$4,"12"),RS!$B$3:$T$182,16,FALSE),"")</f>
        <v/>
      </c>
      <c r="T38" s="30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S38" t="s">
        <v>18</v>
      </c>
    </row>
    <row r="39" spans="1:45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557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</row>
    <row r="40" spans="1:45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557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</row>
    <row r="41" spans="1:45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557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</row>
    <row r="42" spans="1:45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557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</row>
    <row r="43" spans="1:45" ht="13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6" t="s">
        <v>10</v>
      </c>
      <c r="N43" s="247" t="s">
        <v>169</v>
      </c>
      <c r="O43" s="247"/>
      <c r="P43" s="243"/>
      <c r="Q43" s="243"/>
      <c r="R43" s="293" t="s">
        <v>181</v>
      </c>
      <c r="S43" s="562"/>
      <c r="T43" s="304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R43" s="216" t="s">
        <v>181</v>
      </c>
    </row>
    <row r="44" spans="1:45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96" t="s">
        <v>154</v>
      </c>
      <c r="S44" s="297" t="s">
        <v>169</v>
      </c>
      <c r="T44" s="305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R44" s="216" t="s">
        <v>154</v>
      </c>
      <c r="AS44" t="s">
        <v>169</v>
      </c>
    </row>
    <row r="45" spans="1:45" ht="13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 t="s">
        <v>150</v>
      </c>
      <c r="N45" s="238">
        <f>Statistik!L$193</f>
        <v>62.766666666666666</v>
      </c>
      <c r="O45" s="246"/>
      <c r="P45" s="243"/>
      <c r="Q45" s="243"/>
      <c r="R45" s="299">
        <f>IFERROR(VLOOKUP(CONCATENATE($C$4,"1"),RS!$B$3:$T$182,4,FALSE),"")</f>
        <v>45671</v>
      </c>
      <c r="S45" s="560">
        <f>IFERROR(VLOOKUP(CONCATENATE($C$4,"1"),RS!$B$3:$T$182,12,FALSE),"")</f>
        <v>42</v>
      </c>
      <c r="T45" s="305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R45" s="216">
        <v>45671</v>
      </c>
      <c r="AS45">
        <v>42</v>
      </c>
    </row>
    <row r="46" spans="1:45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 t="s">
        <v>162</v>
      </c>
      <c r="N46" s="238">
        <f>Statistik!L$194</f>
        <v>18.218444825055052</v>
      </c>
      <c r="O46" s="243"/>
      <c r="P46" s="243"/>
      <c r="Q46" s="243"/>
      <c r="R46" s="299">
        <f>IFERROR(VLOOKUP(CONCATENATE($C$4,"2"),RS!$B$3:$T$182,4,FALSE),"")</f>
        <v>45706</v>
      </c>
      <c r="S46" s="560">
        <f>IFERROR(VLOOKUP(CONCATENATE($C$4,"2"),RS!$B$3:$T$182,12,FALSE),"")</f>
        <v>37</v>
      </c>
      <c r="T46" s="305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R46" s="216">
        <v>45706</v>
      </c>
      <c r="AS46">
        <v>37</v>
      </c>
    </row>
    <row r="47" spans="1:45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 t="s">
        <v>151</v>
      </c>
      <c r="N47" s="238">
        <f>Statistik!L$195</f>
        <v>120</v>
      </c>
      <c r="O47" s="238"/>
      <c r="P47" s="243"/>
      <c r="Q47" s="243"/>
      <c r="R47" s="299">
        <f>IFERROR(VLOOKUP(CONCATENATE($C$4,"3"),RS!$B$3:$T$182,4,FALSE),"")</f>
        <v>45734</v>
      </c>
      <c r="S47" s="560">
        <f>IFERROR(VLOOKUP(CONCATENATE($C$4,"3"),RS!$B$3:$T$182,12,FALSE),"")</f>
        <v>6.1</v>
      </c>
      <c r="T47" s="305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R47" s="216">
        <v>45734</v>
      </c>
      <c r="AS47">
        <v>6.1</v>
      </c>
    </row>
    <row r="48" spans="1:45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 t="s">
        <v>152</v>
      </c>
      <c r="N48" s="238">
        <f>Statistik!L$196</f>
        <v>20</v>
      </c>
      <c r="O48" s="238"/>
      <c r="P48" s="243"/>
      <c r="Q48" s="243"/>
      <c r="R48" s="299">
        <f>IFERROR(VLOOKUP(CONCATENATE($C$4,"4"),RS!$B$3:$T$182,4,FALSE),"")</f>
        <v>45761</v>
      </c>
      <c r="S48" s="560">
        <f>IFERROR(VLOOKUP(CONCATENATE($C$4,"4"),RS!$B$3:$T$182,12,FALSE),"")</f>
        <v>14</v>
      </c>
      <c r="T48" s="305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R48" s="216">
        <v>45761</v>
      </c>
      <c r="AS48">
        <v>14</v>
      </c>
    </row>
    <row r="49" spans="1:45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4" t="s">
        <v>177</v>
      </c>
      <c r="N49" s="238">
        <f>Statistik!L$197</f>
        <v>180</v>
      </c>
      <c r="O49" s="238"/>
      <c r="P49" s="243"/>
      <c r="Q49" s="243"/>
      <c r="R49" s="299" t="str">
        <f>IFERROR(VLOOKUP(CONCATENATE($C$4,"5"),RS!$B$3:$T$182,4,FALSE),"")</f>
        <v>2025-05-13</v>
      </c>
      <c r="S49" s="560">
        <f>IFERROR(VLOOKUP(CONCATENATE($C$4,"5"),RS!$B$3:$T$182,12,FALSE),"")</f>
        <v>20</v>
      </c>
      <c r="T49" s="305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R49" s="216">
        <v>45790</v>
      </c>
      <c r="AS49">
        <v>20</v>
      </c>
    </row>
    <row r="50" spans="1:45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38"/>
      <c r="O50" s="238"/>
      <c r="P50" s="243"/>
      <c r="Q50" s="243"/>
      <c r="R50" s="299">
        <f>IFERROR(VLOOKUP(CONCATENATE($C$4,"6"),RS!$B$3:$T$182,4,FALSE),"")</f>
        <v>45826</v>
      </c>
      <c r="S50" s="560">
        <f>IFERROR(VLOOKUP(CONCATENATE($C$4,"6"),RS!$B$3:$T$182,12,FALSE),"")</f>
        <v>48</v>
      </c>
      <c r="T50" s="305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R50" s="216">
        <v>45826</v>
      </c>
      <c r="AS50">
        <v>48</v>
      </c>
    </row>
    <row r="51" spans="1:45" ht="13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82" t="s">
        <v>165</v>
      </c>
      <c r="N51" s="246">
        <f>VLOOKUP(TRIM(CONCATENATE($C$4,$R$4)),RS!$A$3:$S$182,13,FALSE)</f>
        <v>57</v>
      </c>
      <c r="O51" s="243"/>
      <c r="P51" s="243"/>
      <c r="Q51" s="243"/>
      <c r="R51" s="299">
        <f>IFERROR(VLOOKUP(CONCATENATE($C$4,"7"),RS!$B$3:$T$182,4,FALSE),"")</f>
        <v>45848</v>
      </c>
      <c r="S51" s="560">
        <f>IFERROR(VLOOKUP(CONCATENATE($C$4,"7"),RS!$B$3:$T$182,12,FALSE),"")</f>
        <v>57</v>
      </c>
      <c r="T51" s="305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S51" t="s">
        <v>18</v>
      </c>
    </row>
    <row r="52" spans="1:45" ht="13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82"/>
      <c r="N52" s="246"/>
      <c r="O52" s="243"/>
      <c r="P52" s="243"/>
      <c r="Q52" s="243"/>
      <c r="R52" s="299" t="str">
        <f>IFERROR(VLOOKUP(CONCATENATE($C$4,"8"),RS!$B$3:$T$182,4,FALSE),"")</f>
        <v/>
      </c>
      <c r="S52" s="560" t="str">
        <f>IFERROR(VLOOKUP(CONCATENATE($C$4,"8"),RS!$B$3:$T$182,12,FALSE),"")</f>
        <v/>
      </c>
      <c r="T52" s="305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S52" t="s">
        <v>18</v>
      </c>
    </row>
    <row r="53" spans="1:45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99" t="str">
        <f>IFERROR(VLOOKUP(CONCATENATE($C$4,"9"),RS!$B$3:$T$182,4,FALSE),"")</f>
        <v/>
      </c>
      <c r="S53" s="560" t="str">
        <f>IFERROR(VLOOKUP(CONCATENATE($C$4,"9"),RS!$B$3:$T$182,12,FALSE),"")</f>
        <v/>
      </c>
      <c r="T53" s="305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S53" t="s">
        <v>18</v>
      </c>
    </row>
    <row r="54" spans="1:45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99" t="str">
        <f>IFERROR(VLOOKUP(CONCATENATE($C$4,"10"),RS!$B$3:$T$182,4,FALSE),"")</f>
        <v/>
      </c>
      <c r="S54" s="560" t="str">
        <f>IFERROR(VLOOKUP(CONCATENATE($C$4,"10"),RS!$B$3:$T$182,12,FALSE),"")</f>
        <v/>
      </c>
      <c r="T54" s="305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S54" t="s">
        <v>18</v>
      </c>
    </row>
    <row r="55" spans="1:45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99" t="str">
        <f>IFERROR(VLOOKUP(CONCATENATE($C$4,"11"),RS!$B$3:$T$182,4,FALSE),"")</f>
        <v/>
      </c>
      <c r="S55" s="560" t="str">
        <f>IFERROR(VLOOKUP(CONCATENATE($C$4,"11"),RS!$B$3:$T$182,12,FALSE),"")</f>
        <v/>
      </c>
      <c r="T55" s="305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S55" t="s">
        <v>18</v>
      </c>
    </row>
    <row r="56" spans="1:45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301" t="str">
        <f>IFERROR(VLOOKUP(CONCATENATE($C$4,"12"),RS!$B$3:$T$182,4,FALSE),"")</f>
        <v/>
      </c>
      <c r="S56" s="561" t="str">
        <f>IFERROR(VLOOKUP(CONCATENATE($C$4,"12"),RS!$B$3:$T$182,12,FALSE),"")</f>
        <v/>
      </c>
      <c r="T56" s="30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S56" t="s">
        <v>18</v>
      </c>
    </row>
    <row r="57" spans="1:45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557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</row>
    <row r="58" spans="1:45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557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</row>
    <row r="59" spans="1:45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557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</row>
    <row r="60" spans="1:45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557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</row>
    <row r="61" spans="1:45" ht="13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6" t="s">
        <v>186</v>
      </c>
      <c r="N61" s="247"/>
      <c r="O61" s="247"/>
      <c r="P61" s="243"/>
      <c r="Q61" s="243"/>
      <c r="R61" s="293" t="s">
        <v>181</v>
      </c>
      <c r="S61" s="562"/>
      <c r="T61" s="304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R61" s="216" t="s">
        <v>181</v>
      </c>
    </row>
    <row r="62" spans="1:45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96" t="s">
        <v>154</v>
      </c>
      <c r="S62" s="297"/>
      <c r="T62" s="305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R62" s="216" t="s">
        <v>154</v>
      </c>
    </row>
    <row r="63" spans="1:45" ht="13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 t="s">
        <v>150</v>
      </c>
      <c r="N63" s="237">
        <f>Statistik!G$193</f>
        <v>7.9374301675977676</v>
      </c>
      <c r="O63" s="246"/>
      <c r="P63" s="243"/>
      <c r="Q63" s="243"/>
      <c r="R63" s="299">
        <f>IFERROR(VLOOKUP(CONCATENATE($C$4,"1"),RS!$B$3:$T$182,4,FALSE),"")</f>
        <v>45671</v>
      </c>
      <c r="S63" s="536">
        <f>IFERROR(VLOOKUP(CONCATENATE($C$4,"1"),RS!$B$3:$T$182,8,FALSE),"")</f>
        <v>8</v>
      </c>
      <c r="T63" s="305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R63" s="216">
        <v>45671</v>
      </c>
      <c r="AS63">
        <v>8</v>
      </c>
    </row>
    <row r="64" spans="1:45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 t="s">
        <v>162</v>
      </c>
      <c r="N64" s="237">
        <f>Statistik!G$194</f>
        <v>0.14562954920501919</v>
      </c>
      <c r="O64" s="243"/>
      <c r="P64" s="243"/>
      <c r="Q64" s="243"/>
      <c r="R64" s="299">
        <f>IFERROR(VLOOKUP(CONCATENATE($C$4,"2"),RS!$B$3:$T$182,4,FALSE),"")</f>
        <v>45706</v>
      </c>
      <c r="S64" s="536">
        <f>IFERROR(VLOOKUP(CONCATENATE($C$4,"2"),RS!$B$3:$T$182,8,FALSE),"")</f>
        <v>8</v>
      </c>
      <c r="T64" s="305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R64" s="216">
        <v>45706</v>
      </c>
      <c r="AS64">
        <v>8</v>
      </c>
    </row>
    <row r="65" spans="1:45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 t="s">
        <v>151</v>
      </c>
      <c r="N65" s="237">
        <f>Statistik!G$195</f>
        <v>8.25</v>
      </c>
      <c r="O65" s="238"/>
      <c r="P65" s="243"/>
      <c r="Q65" s="243"/>
      <c r="R65" s="299">
        <f>IFERROR(VLOOKUP(CONCATENATE($C$4,"3"),RS!$B$3:$T$182,4,FALSE),"")</f>
        <v>45734</v>
      </c>
      <c r="S65" s="536">
        <f>IFERROR(VLOOKUP(CONCATENATE($C$4,"3"),RS!$B$3:$T$182,8,FALSE),"")</f>
        <v>8.1</v>
      </c>
      <c r="T65" s="305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R65" s="216">
        <v>45734</v>
      </c>
      <c r="AS65">
        <v>8.1</v>
      </c>
    </row>
    <row r="66" spans="1:45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 t="s">
        <v>152</v>
      </c>
      <c r="N66" s="237">
        <f>Statistik!G$196</f>
        <v>7.43</v>
      </c>
      <c r="O66" s="238"/>
      <c r="P66" s="243"/>
      <c r="Q66" s="243"/>
      <c r="R66" s="299">
        <f>IFERROR(VLOOKUP(CONCATENATE($C$4,"4"),RS!$B$3:$T$182,4,FALSE),"")</f>
        <v>45761</v>
      </c>
      <c r="S66" s="536">
        <f>IFERROR(VLOOKUP(CONCATENATE($C$4,"4"),RS!$B$3:$T$182,8,FALSE),"")</f>
        <v>8</v>
      </c>
      <c r="T66" s="305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R66" s="216">
        <v>45761</v>
      </c>
      <c r="AS66">
        <v>8</v>
      </c>
    </row>
    <row r="67" spans="1:45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4" t="s">
        <v>177</v>
      </c>
      <c r="N67" s="238">
        <f>Statistik!G$197</f>
        <v>179</v>
      </c>
      <c r="O67" s="238"/>
      <c r="P67" s="243"/>
      <c r="Q67" s="243"/>
      <c r="R67" s="299" t="str">
        <f>IFERROR(VLOOKUP(CONCATENATE($C$4,"5"),RS!$B$3:$T$182,4,FALSE),"")</f>
        <v>2025-05-13</v>
      </c>
      <c r="S67" s="536">
        <f>IFERROR(VLOOKUP(CONCATENATE($C$4,"5"),RS!$B$3:$T$182,8,FALSE),"")</f>
        <v>7.9</v>
      </c>
      <c r="T67" s="305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R67" s="216">
        <v>45790</v>
      </c>
      <c r="AS67">
        <v>7.9</v>
      </c>
    </row>
    <row r="68" spans="1:45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37"/>
      <c r="O68" s="238"/>
      <c r="P68" s="243"/>
      <c r="Q68" s="243"/>
      <c r="R68" s="299">
        <f>IFERROR(VLOOKUP(CONCATENATE($C$4,"6"),RS!$B$3:$T$182,4,FALSE),"")</f>
        <v>45826</v>
      </c>
      <c r="S68" s="536">
        <f>IFERROR(VLOOKUP(CONCATENATE($C$4,"6"),RS!$B$3:$T$182,8,FALSE),"")</f>
        <v>7.9</v>
      </c>
      <c r="T68" s="305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R68" s="216">
        <v>45826</v>
      </c>
      <c r="AS68">
        <v>7.9</v>
      </c>
    </row>
    <row r="69" spans="1:45" ht="13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82" t="s">
        <v>165</v>
      </c>
      <c r="N69" s="340">
        <f>VLOOKUP(TRIM(CONCATENATE($C$4,$R$4)),RS!$A$3:$S$182,9,FALSE)</f>
        <v>7.8</v>
      </c>
      <c r="O69" s="243"/>
      <c r="P69" s="243"/>
      <c r="Q69" s="243"/>
      <c r="R69" s="299">
        <f>IFERROR(VLOOKUP(CONCATENATE($C$4,"7"),RS!$B$3:$T$182,4,FALSE),"")</f>
        <v>45848</v>
      </c>
      <c r="S69" s="536">
        <f>IFERROR(VLOOKUP(CONCATENATE($C$4,"7"),RS!$B$3:$T$182,8,FALSE),"")</f>
        <v>7.8</v>
      </c>
      <c r="T69" s="305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S69" t="s">
        <v>18</v>
      </c>
    </row>
    <row r="70" spans="1:45" ht="13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82"/>
      <c r="N70" s="340"/>
      <c r="O70" s="243"/>
      <c r="P70" s="243"/>
      <c r="Q70" s="243"/>
      <c r="R70" s="299" t="str">
        <f>IFERROR(VLOOKUP(CONCATENATE($C$4,"8"),RS!$B$3:$T$182,4,FALSE),"")</f>
        <v/>
      </c>
      <c r="S70" s="536" t="str">
        <f>IFERROR(VLOOKUP(CONCATENATE($C$4,"8"),RS!$B$3:$T$182,8,FALSE),"")</f>
        <v/>
      </c>
      <c r="T70" s="305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  <c r="AK70" s="243"/>
      <c r="AL70" s="243"/>
      <c r="AS70" t="s">
        <v>18</v>
      </c>
    </row>
    <row r="71" spans="1:45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99" t="str">
        <f>IFERROR(VLOOKUP(CONCATENATE($C$4,"9"),RS!$B$3:$T$182,4,FALSE),"")</f>
        <v/>
      </c>
      <c r="S71" s="536" t="str">
        <f>IFERROR(VLOOKUP(CONCATENATE($C$4,"9"),RS!$B$3:$T$182,8,FALSE),"")</f>
        <v/>
      </c>
      <c r="T71" s="305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S71" t="s">
        <v>18</v>
      </c>
    </row>
    <row r="72" spans="1:45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99" t="str">
        <f>IFERROR(VLOOKUP(CONCATENATE($C$4,"10"),RS!$B$3:$T$182,4,FALSE),"")</f>
        <v/>
      </c>
      <c r="S72" s="536" t="str">
        <f>IFERROR(VLOOKUP(CONCATENATE($C$4,"10"),RS!$B$3:$T$182,8,FALSE),"")</f>
        <v/>
      </c>
      <c r="T72" s="305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S72" t="s">
        <v>18</v>
      </c>
    </row>
    <row r="73" spans="1:45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99" t="str">
        <f>IFERROR(VLOOKUP(CONCATENATE($C$4,"11"),RS!$B$3:$T$182,4,FALSE),"")</f>
        <v/>
      </c>
      <c r="S73" s="536" t="str">
        <f>IFERROR(VLOOKUP(CONCATENATE($C$4,"11"),RS!$B$3:$T$182,8,FALSE),"")</f>
        <v/>
      </c>
      <c r="T73" s="305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S73" t="s">
        <v>18</v>
      </c>
    </row>
    <row r="74" spans="1:45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301" t="str">
        <f>IFERROR(VLOOKUP(CONCATENATE($C$4,"12"),RS!$B$3:$T$182,4,FALSE),"")</f>
        <v/>
      </c>
      <c r="S74" s="537" t="str">
        <f>IFERROR(VLOOKUP(CONCATENATE($C$4,"12"),RS!$B$3:$T$182,8,FALSE),"")</f>
        <v/>
      </c>
      <c r="T74" s="30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S74" t="s">
        <v>18</v>
      </c>
    </row>
    <row r="75" spans="1:45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557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  <c r="AL75" s="243"/>
    </row>
    <row r="76" spans="1:45">
      <c r="A76" s="243"/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557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  <c r="AL76" s="243"/>
    </row>
    <row r="77" spans="1:45">
      <c r="A77" s="243"/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557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  <c r="AL77" s="243"/>
    </row>
    <row r="78" spans="1:45">
      <c r="A78" s="243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557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  <c r="AL78" s="243"/>
    </row>
    <row r="79" spans="1:45" ht="13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6" t="s">
        <v>188</v>
      </c>
      <c r="N79" s="247" t="s">
        <v>187</v>
      </c>
      <c r="O79" s="247"/>
      <c r="P79" s="243"/>
      <c r="Q79" s="243"/>
      <c r="R79" s="293" t="s">
        <v>181</v>
      </c>
      <c r="S79" s="562"/>
      <c r="T79" s="304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R79" s="216" t="s">
        <v>181</v>
      </c>
    </row>
    <row r="80" spans="1:45">
      <c r="A80" s="243"/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4" t="s">
        <v>189</v>
      </c>
      <c r="N80" s="243"/>
      <c r="O80" s="243"/>
      <c r="P80" s="243"/>
      <c r="Q80" s="243"/>
      <c r="R80" s="296" t="s">
        <v>154</v>
      </c>
      <c r="S80" s="297" t="s">
        <v>187</v>
      </c>
      <c r="T80" s="305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R80" s="216" t="s">
        <v>154</v>
      </c>
      <c r="AS80" t="s">
        <v>187</v>
      </c>
    </row>
    <row r="81" spans="1:45" ht="13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 t="s">
        <v>150</v>
      </c>
      <c r="N81" s="237">
        <f>Statistik!H$193</f>
        <v>3.3601117318435763</v>
      </c>
      <c r="O81" s="246"/>
      <c r="P81" s="243"/>
      <c r="Q81" s="243"/>
      <c r="R81" s="299">
        <f>IFERROR(VLOOKUP(CONCATENATE($C$4,"1"),RS!$B$3:$T$182,4,FALSE),"")</f>
        <v>45671</v>
      </c>
      <c r="S81" s="536">
        <f>IFERROR(VLOOKUP(CONCATENATE($C$4,"1"),RS!$B$3:$T$182,9,FALSE),"")</f>
        <v>7.6</v>
      </c>
      <c r="T81" s="305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R81" s="216">
        <v>45671</v>
      </c>
      <c r="AS81">
        <v>7.6</v>
      </c>
    </row>
    <row r="82" spans="1:45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 t="s">
        <v>162</v>
      </c>
      <c r="N82" s="237">
        <f>Statistik!H$194</f>
        <v>3.0250395092278834</v>
      </c>
      <c r="O82" s="243"/>
      <c r="P82" s="243"/>
      <c r="Q82" s="243"/>
      <c r="R82" s="299">
        <f>IFERROR(VLOOKUP(CONCATENATE($C$4,"2"),RS!$B$3:$T$182,4,FALSE),"")</f>
        <v>45706</v>
      </c>
      <c r="S82" s="536">
        <f>IFERROR(VLOOKUP(CONCATENATE($C$4,"2"),RS!$B$3:$T$182,9,FALSE),"")</f>
        <v>4.9000000000000004</v>
      </c>
      <c r="T82" s="305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R82" s="216">
        <v>45706</v>
      </c>
      <c r="AS82">
        <v>4.9000000000000004</v>
      </c>
    </row>
    <row r="83" spans="1:45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 t="s">
        <v>151</v>
      </c>
      <c r="N83" s="237">
        <f>Statistik!H$195</f>
        <v>19</v>
      </c>
      <c r="O83" s="238"/>
      <c r="P83" s="243"/>
      <c r="Q83" s="243"/>
      <c r="R83" s="299">
        <f>IFERROR(VLOOKUP(CONCATENATE($C$4,"3"),RS!$B$3:$T$182,4,FALSE),"")</f>
        <v>45734</v>
      </c>
      <c r="S83" s="536">
        <f>IFERROR(VLOOKUP(CONCATENATE($C$4,"3"),RS!$B$3:$T$182,9,FALSE),"")</f>
        <v>4.8</v>
      </c>
      <c r="T83" s="305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R83" s="216">
        <v>45734</v>
      </c>
      <c r="AS83">
        <v>4.8</v>
      </c>
    </row>
    <row r="84" spans="1:45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 t="s">
        <v>152</v>
      </c>
      <c r="N84" s="237">
        <f>Statistik!H$196</f>
        <v>0.42</v>
      </c>
      <c r="O84" s="238"/>
      <c r="P84" s="243"/>
      <c r="Q84" s="243"/>
      <c r="R84" s="299">
        <f>IFERROR(VLOOKUP(CONCATENATE($C$4,"4"),RS!$B$3:$T$182,4,FALSE),"")</f>
        <v>45761</v>
      </c>
      <c r="S84" s="536">
        <f>IFERROR(VLOOKUP(CONCATENATE($C$4,"4"),RS!$B$3:$T$182,9,FALSE),"")</f>
        <v>2.6</v>
      </c>
      <c r="T84" s="305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  <c r="AL84" s="243"/>
      <c r="AR84" s="216">
        <v>45761</v>
      </c>
      <c r="AS84">
        <v>2.6</v>
      </c>
    </row>
    <row r="85" spans="1:45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4" t="s">
        <v>177</v>
      </c>
      <c r="N85" s="238">
        <f>Statistik!H$197</f>
        <v>179</v>
      </c>
      <c r="O85" s="238"/>
      <c r="P85" s="243"/>
      <c r="Q85" s="243"/>
      <c r="R85" s="299" t="str">
        <f>IFERROR(VLOOKUP(CONCATENATE($C$4,"5"),RS!$B$3:$T$182,4,FALSE),"")</f>
        <v>2025-05-13</v>
      </c>
      <c r="S85" s="536">
        <f>IFERROR(VLOOKUP(CONCATENATE($C$4,"5"),RS!$B$3:$T$182,9,FALSE),"")</f>
        <v>1.7</v>
      </c>
      <c r="T85" s="305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R85" s="216">
        <v>45790</v>
      </c>
      <c r="AS85">
        <v>1.7</v>
      </c>
    </row>
    <row r="86" spans="1:45">
      <c r="A86" s="243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37"/>
      <c r="O86" s="238"/>
      <c r="P86" s="243"/>
      <c r="Q86" s="243"/>
      <c r="R86" s="299">
        <f>IFERROR(VLOOKUP(CONCATENATE($C$4,"6"),RS!$B$3:$T$182,4,FALSE),"")</f>
        <v>45826</v>
      </c>
      <c r="S86" s="536">
        <f>IFERROR(VLOOKUP(CONCATENATE($C$4,"6"),RS!$B$3:$T$182,9,FALSE),"")</f>
        <v>1.2</v>
      </c>
      <c r="T86" s="305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  <c r="AL86" s="243"/>
      <c r="AR86" s="216">
        <v>45826</v>
      </c>
      <c r="AS86">
        <v>1.2</v>
      </c>
    </row>
    <row r="87" spans="1:45" ht="13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82" t="s">
        <v>165</v>
      </c>
      <c r="N87" s="340">
        <f>VLOOKUP(TRIM(CONCATENATE($C$4,$R$4)),RS!$A$3:$S$182,10,FALSE)</f>
        <v>0.78</v>
      </c>
      <c r="O87" s="243"/>
      <c r="P87" s="243"/>
      <c r="Q87" s="243"/>
      <c r="R87" s="299">
        <f>IFERROR(VLOOKUP(CONCATENATE($C$4,"7"),RS!$B$3:$T$182,4,FALSE),"")</f>
        <v>45848</v>
      </c>
      <c r="S87" s="536">
        <f>IFERROR(VLOOKUP(CONCATENATE($C$4,"7"),RS!$B$3:$T$182,9,FALSE),"")</f>
        <v>0.78</v>
      </c>
      <c r="T87" s="305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3"/>
      <c r="AS87" t="s">
        <v>18</v>
      </c>
    </row>
    <row r="88" spans="1:45" ht="13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82"/>
      <c r="N88" s="340"/>
      <c r="O88" s="243"/>
      <c r="P88" s="243"/>
      <c r="Q88" s="243"/>
      <c r="R88" s="299" t="str">
        <f>IFERROR(VLOOKUP(CONCATENATE($C$4,"8"),RS!$B$3:$T$182,4,FALSE),"")</f>
        <v/>
      </c>
      <c r="S88" s="536" t="str">
        <f>IFERROR(VLOOKUP(CONCATENATE($C$4,"8"),RS!$B$3:$T$182,9,FALSE),"")</f>
        <v/>
      </c>
      <c r="T88" s="305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S88" t="s">
        <v>18</v>
      </c>
    </row>
    <row r="89" spans="1:45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99" t="str">
        <f>IFERROR(VLOOKUP(CONCATENATE($C$4,"9"),RS!$B$3:$T$182,4,FALSE),"")</f>
        <v/>
      </c>
      <c r="S89" s="536" t="str">
        <f>IFERROR(VLOOKUP(CONCATENATE($C$4,"9"),RS!$B$3:$T$182,9,FALSE),"")</f>
        <v/>
      </c>
      <c r="T89" s="305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S89" t="s">
        <v>18</v>
      </c>
    </row>
    <row r="90" spans="1:45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99" t="str">
        <f>IFERROR(VLOOKUP(CONCATENATE($C$4,"10"),RS!$B$3:$T$182,4,FALSE),"")</f>
        <v/>
      </c>
      <c r="S90" s="536" t="str">
        <f>IFERROR(VLOOKUP(CONCATENATE($C$4,"10"),RS!$B$3:$T$182,9,FALSE),"")</f>
        <v/>
      </c>
      <c r="T90" s="305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S90" t="s">
        <v>18</v>
      </c>
    </row>
    <row r="91" spans="1:45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99" t="str">
        <f>IFERROR(VLOOKUP(CONCATENATE($C$4,"11"),RS!$B$3:$T$182,4,FALSE),"")</f>
        <v/>
      </c>
      <c r="S91" s="536" t="str">
        <f>IFERROR(VLOOKUP(CONCATENATE($C$4,"11"),RS!$B$3:$T$182,9,FALSE),"")</f>
        <v/>
      </c>
      <c r="T91" s="305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  <c r="AL91" s="243"/>
      <c r="AS91" t="s">
        <v>18</v>
      </c>
    </row>
    <row r="92" spans="1:45">
      <c r="A92" s="243"/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301" t="str">
        <f>IFERROR(VLOOKUP(CONCATENATE($C$4,"12"),RS!$B$3:$T$182,4,FALSE),"")</f>
        <v/>
      </c>
      <c r="S92" s="537" t="str">
        <f>IFERROR(VLOOKUP(CONCATENATE($C$4,"12"),RS!$B$3:$T$182,9,FALSE),"")</f>
        <v/>
      </c>
      <c r="T92" s="30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  <c r="AL92" s="243"/>
      <c r="AS92" t="s">
        <v>18</v>
      </c>
    </row>
    <row r="93" spans="1:45">
      <c r="A93" s="243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557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  <c r="AK93" s="243"/>
      <c r="AL93" s="243"/>
    </row>
    <row r="94" spans="1:45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557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243"/>
    </row>
    <row r="95" spans="1:45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557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</row>
    <row r="96" spans="1:45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557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  <c r="AL96" s="243"/>
    </row>
    <row r="97" spans="1:45" ht="13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6" t="s">
        <v>116</v>
      </c>
      <c r="N97" s="247" t="s">
        <v>105</v>
      </c>
      <c r="O97" s="247"/>
      <c r="P97" s="243"/>
      <c r="Q97" s="243"/>
      <c r="R97" s="293" t="s">
        <v>181</v>
      </c>
      <c r="S97" s="562"/>
      <c r="T97" s="304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R97" s="216" t="s">
        <v>181</v>
      </c>
    </row>
    <row r="98" spans="1:45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4"/>
      <c r="N98" s="243"/>
      <c r="O98" s="243"/>
      <c r="P98" s="243"/>
      <c r="Q98" s="243"/>
      <c r="R98" s="296" t="s">
        <v>154</v>
      </c>
      <c r="S98" s="297" t="s">
        <v>105</v>
      </c>
      <c r="T98" s="305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  <c r="AL98" s="243"/>
      <c r="AR98" s="216" t="s">
        <v>154</v>
      </c>
      <c r="AS98" t="s">
        <v>105</v>
      </c>
    </row>
    <row r="99" spans="1:45" ht="13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 t="s">
        <v>150</v>
      </c>
      <c r="N99" s="237">
        <f>Statistik!I$193</f>
        <v>48.104347826086951</v>
      </c>
      <c r="O99" s="246"/>
      <c r="P99" s="243"/>
      <c r="Q99" s="243"/>
      <c r="R99" s="299">
        <f>IFERROR(VLOOKUP(CONCATENATE($C$4,"1"),RS!$B$3:$T$182,4,FALSE),"")</f>
        <v>45671</v>
      </c>
      <c r="S99" s="536">
        <f>IFERROR(VLOOKUP(CONCATENATE($C$4,"1"),RS!$B$3:$T$182,10,FALSE),"")</f>
        <v>45.8</v>
      </c>
      <c r="T99" s="305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3"/>
      <c r="AL99" s="243"/>
      <c r="AR99" s="216">
        <v>45671</v>
      </c>
      <c r="AS99">
        <v>45.8</v>
      </c>
    </row>
    <row r="100" spans="1:45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 t="s">
        <v>162</v>
      </c>
      <c r="N100" s="237">
        <f>Statistik!I$194</f>
        <v>4.173245820261311</v>
      </c>
      <c r="O100" s="243"/>
      <c r="P100" s="243"/>
      <c r="Q100" s="243"/>
      <c r="R100" s="299">
        <f>IFERROR(VLOOKUP(CONCATENATE($C$4,"2"),RS!$B$3:$T$182,4,FALSE),"")</f>
        <v>45706</v>
      </c>
      <c r="S100" s="536">
        <f>IFERROR(VLOOKUP(CONCATENATE($C$4,"2"),RS!$B$3:$T$182,10,FALSE),"")</f>
        <v>47.1</v>
      </c>
      <c r="T100" s="305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  <c r="AL100" s="243"/>
      <c r="AR100" s="216">
        <v>45706</v>
      </c>
      <c r="AS100">
        <v>47.1</v>
      </c>
    </row>
    <row r="101" spans="1:4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 t="s">
        <v>151</v>
      </c>
      <c r="N101" s="237">
        <f>Statistik!I$195</f>
        <v>59.2</v>
      </c>
      <c r="O101" s="238"/>
      <c r="P101" s="243"/>
      <c r="Q101" s="243"/>
      <c r="R101" s="299">
        <f>IFERROR(VLOOKUP(CONCATENATE($C$4,"3"),RS!$B$3:$T$182,4,FALSE),"")</f>
        <v>45734</v>
      </c>
      <c r="S101" s="536">
        <f>IFERROR(VLOOKUP(CONCATENATE($C$4,"3"),RS!$B$3:$T$182,10,FALSE),"")</f>
        <v>50</v>
      </c>
      <c r="T101" s="305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R101" s="216">
        <v>45734</v>
      </c>
      <c r="AS101">
        <v>50</v>
      </c>
    </row>
    <row r="102" spans="1:45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 t="s">
        <v>152</v>
      </c>
      <c r="N102" s="237">
        <f>Statistik!I$196</f>
        <v>36.6</v>
      </c>
      <c r="O102" s="238"/>
      <c r="P102" s="243"/>
      <c r="Q102" s="243"/>
      <c r="R102" s="299">
        <f>IFERROR(VLOOKUP(CONCATENATE($C$4,"4"),RS!$B$3:$T$182,4,FALSE),"")</f>
        <v>45761</v>
      </c>
      <c r="S102" s="536">
        <f>IFERROR(VLOOKUP(CONCATENATE($C$4,"4"),RS!$B$3:$T$182,10,FALSE),"")</f>
        <v>57.6</v>
      </c>
      <c r="T102" s="305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  <c r="AL102" s="243"/>
      <c r="AR102" s="216">
        <v>45761</v>
      </c>
      <c r="AS102">
        <v>57.6</v>
      </c>
    </row>
    <row r="103" spans="1:45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4" t="s">
        <v>177</v>
      </c>
      <c r="N103" s="238">
        <f>Statistik!I$197</f>
        <v>46</v>
      </c>
      <c r="O103" s="238"/>
      <c r="P103" s="243"/>
      <c r="Q103" s="243"/>
      <c r="R103" s="299" t="str">
        <f>IFERROR(VLOOKUP(CONCATENATE($C$4,"5"),RS!$B$3:$T$182,4,FALSE),"")</f>
        <v>2025-05-13</v>
      </c>
      <c r="S103" s="536">
        <f>IFERROR(VLOOKUP(CONCATENATE($C$4,"5"),RS!$B$3:$T$182,10,FALSE),"")</f>
        <v>55.1</v>
      </c>
      <c r="T103" s="305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  <c r="AL103" s="243"/>
      <c r="AR103" s="216">
        <v>45790</v>
      </c>
      <c r="AS103">
        <v>55.1</v>
      </c>
    </row>
    <row r="104" spans="1:45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37"/>
      <c r="O104" s="238"/>
      <c r="P104" s="243"/>
      <c r="Q104" s="243"/>
      <c r="R104" s="299">
        <f>IFERROR(VLOOKUP(CONCATENATE($C$4,"6"),RS!$B$3:$T$182,4,FALSE),"")</f>
        <v>45826</v>
      </c>
      <c r="S104" s="536">
        <f>IFERROR(VLOOKUP(CONCATENATE($C$4,"6"),RS!$B$3:$T$182,10,FALSE),"")</f>
        <v>52.1</v>
      </c>
      <c r="T104" s="305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  <c r="AL104" s="243"/>
      <c r="AR104" s="216">
        <v>45826</v>
      </c>
      <c r="AS104">
        <v>52.1</v>
      </c>
    </row>
    <row r="105" spans="1:45" ht="13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82" t="s">
        <v>165</v>
      </c>
      <c r="N105" s="340">
        <f>VLOOKUP(TRIM(CONCATENATE($C$4,$R$4)),RS!$A$3:$S$182,11,FALSE)</f>
        <v>52.3</v>
      </c>
      <c r="O105" s="243"/>
      <c r="P105" s="243"/>
      <c r="Q105" s="243"/>
      <c r="R105" s="299">
        <f>IFERROR(VLOOKUP(CONCATENATE($C$4,"7"),RS!$B$3:$T$182,4,FALSE),"")</f>
        <v>45848</v>
      </c>
      <c r="S105" s="536">
        <f>IFERROR(VLOOKUP(CONCATENATE($C$4,"7"),RS!$B$3:$T$182,10,FALSE),"")</f>
        <v>52.3</v>
      </c>
      <c r="T105" s="305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  <c r="AL105" s="243"/>
      <c r="AS105" t="s">
        <v>18</v>
      </c>
    </row>
    <row r="106" spans="1:45" ht="13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82"/>
      <c r="N106" s="340"/>
      <c r="O106" s="243"/>
      <c r="P106" s="243"/>
      <c r="Q106" s="243"/>
      <c r="R106" s="299" t="str">
        <f>IFERROR(VLOOKUP(CONCATENATE($C$4,"8"),RS!$B$3:$T$182,4,FALSE),"")</f>
        <v/>
      </c>
      <c r="S106" s="536" t="str">
        <f>IFERROR(VLOOKUP(CONCATENATE($C$4,"8"),RS!$B$3:$T$182,10,FALSE),"")</f>
        <v/>
      </c>
      <c r="T106" s="305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3"/>
      <c r="AS106" t="s">
        <v>18</v>
      </c>
    </row>
    <row r="107" spans="1:45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99" t="str">
        <f>IFERROR(VLOOKUP(CONCATENATE($C$4,"9"),RS!$B$3:$T$182,4,FALSE),"")</f>
        <v/>
      </c>
      <c r="S107" s="536" t="str">
        <f>IFERROR(VLOOKUP(CONCATENATE($C$4,"9"),RS!$B$3:$T$182,10,FALSE),"")</f>
        <v/>
      </c>
      <c r="T107" s="305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  <c r="AL107" s="243"/>
      <c r="AS107" t="s">
        <v>18</v>
      </c>
    </row>
    <row r="108" spans="1:45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99" t="str">
        <f>IFERROR(VLOOKUP(CONCATENATE($C$4,"10"),RS!$B$3:$T$182,4,FALSE),"")</f>
        <v/>
      </c>
      <c r="S108" s="536" t="str">
        <f>IFERROR(VLOOKUP(CONCATENATE($C$4,"10"),RS!$B$3:$T$182,10,FALSE),"")</f>
        <v/>
      </c>
      <c r="T108" s="305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  <c r="AL108" s="243"/>
      <c r="AS108" t="s">
        <v>18</v>
      </c>
    </row>
    <row r="109" spans="1:45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99" t="str">
        <f>IFERROR(VLOOKUP(CONCATENATE($C$4,"11"),RS!$B$3:$T$182,4,FALSE),"")</f>
        <v/>
      </c>
      <c r="S109" s="536" t="str">
        <f>IFERROR(VLOOKUP(CONCATENATE($C$4,"11"),RS!$B$3:$T$182,10,FALSE),"")</f>
        <v/>
      </c>
      <c r="T109" s="305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S109" t="s">
        <v>18</v>
      </c>
    </row>
    <row r="110" spans="1:45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301" t="str">
        <f>IFERROR(VLOOKUP(CONCATENATE($C$4,"12"),RS!$B$3:$T$182,4,FALSE),"")</f>
        <v/>
      </c>
      <c r="S110" s="537" t="str">
        <f>IFERROR(VLOOKUP(CONCATENATE($C$4,"12"),RS!$B$3:$T$182,10,FALSE),"")</f>
        <v/>
      </c>
      <c r="T110" s="30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  <c r="AL110" s="243"/>
      <c r="AS110" t="s">
        <v>18</v>
      </c>
    </row>
    <row r="111" spans="1:45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557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  <c r="AL111" s="243"/>
    </row>
    <row r="112" spans="1:45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557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  <c r="AL112" s="243"/>
    </row>
    <row r="113" spans="1:45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557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  <c r="AL113" s="243"/>
    </row>
    <row r="114" spans="1:45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557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  <c r="AL114" s="243"/>
    </row>
    <row r="115" spans="1:45" ht="13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6" t="s">
        <v>303</v>
      </c>
      <c r="N115" s="247" t="s">
        <v>106</v>
      </c>
      <c r="O115" s="247"/>
      <c r="P115" s="243"/>
      <c r="Q115" s="243"/>
      <c r="R115" s="293" t="s">
        <v>181</v>
      </c>
      <c r="S115" s="294"/>
      <c r="T115" s="295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R115" s="216" t="s">
        <v>181</v>
      </c>
    </row>
    <row r="116" spans="1:45">
      <c r="A116" s="243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96" t="s">
        <v>154</v>
      </c>
      <c r="S116" s="297" t="s">
        <v>106</v>
      </c>
      <c r="T116" s="298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R116" s="216" t="s">
        <v>154</v>
      </c>
      <c r="AS116" t="s">
        <v>106</v>
      </c>
    </row>
    <row r="117" spans="1:45" ht="13">
      <c r="A117" s="24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 t="s">
        <v>150</v>
      </c>
      <c r="N117" s="237">
        <f>Statistik!J$193</f>
        <v>2.0655865921787711</v>
      </c>
      <c r="O117" s="246"/>
      <c r="P117" s="243"/>
      <c r="Q117" s="243"/>
      <c r="R117" s="299">
        <f>IFERROR(VLOOKUP(CONCATENATE($C$4,"1"),RS!$B$3:$T$182,4,FALSE),"")</f>
        <v>45671</v>
      </c>
      <c r="S117" s="536">
        <f>IFERROR(VLOOKUP(CONCATENATE($C$4,"1"),RS!$B$3:$T$182,11,FALSE),"")</f>
        <v>1.5</v>
      </c>
      <c r="T117" s="300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  <c r="AL117" s="243"/>
      <c r="AR117" s="216">
        <v>45671</v>
      </c>
      <c r="AS117">
        <v>1.5</v>
      </c>
    </row>
    <row r="118" spans="1:45">
      <c r="A118" s="243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 t="s">
        <v>162</v>
      </c>
      <c r="N118" s="237">
        <f>Statistik!J$194</f>
        <v>1.1010016211190889</v>
      </c>
      <c r="O118" s="243"/>
      <c r="P118" s="243"/>
      <c r="Q118" s="243"/>
      <c r="R118" s="299">
        <f>IFERROR(VLOOKUP(CONCATENATE($C$4,"2"),RS!$B$3:$T$182,4,FALSE),"")</f>
        <v>45706</v>
      </c>
      <c r="S118" s="536">
        <f>IFERROR(VLOOKUP(CONCATENATE($C$4,"2"),RS!$B$3:$T$182,11,FALSE),"")</f>
        <v>1.1000000000000001</v>
      </c>
      <c r="T118" s="300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  <c r="AL118" s="243"/>
      <c r="AR118" s="216">
        <v>45706</v>
      </c>
      <c r="AS118">
        <v>1.1000000000000001</v>
      </c>
    </row>
    <row r="119" spans="1:45">
      <c r="A119" s="24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 t="s">
        <v>151</v>
      </c>
      <c r="N119" s="238">
        <f>Statistik!J$195</f>
        <v>5.9</v>
      </c>
      <c r="O119" s="238"/>
      <c r="P119" s="243"/>
      <c r="Q119" s="243"/>
      <c r="R119" s="299">
        <f>IFERROR(VLOOKUP(CONCATENATE($C$4,"3"),RS!$B$3:$T$182,4,FALSE),"")</f>
        <v>45734</v>
      </c>
      <c r="S119" s="536">
        <f>IFERROR(VLOOKUP(CONCATENATE($C$4,"3"),RS!$B$3:$T$182,11,FALSE),"")</f>
        <v>2.4</v>
      </c>
      <c r="T119" s="300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  <c r="AL119" s="243"/>
      <c r="AR119" s="216">
        <v>45734</v>
      </c>
      <c r="AS119">
        <v>2.4</v>
      </c>
    </row>
    <row r="120" spans="1:45">
      <c r="A120" s="243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 t="s">
        <v>152</v>
      </c>
      <c r="N120" s="237">
        <f>Statistik!J$196</f>
        <v>0.5</v>
      </c>
      <c r="O120" s="238"/>
      <c r="P120" s="243"/>
      <c r="Q120" s="243"/>
      <c r="R120" s="299">
        <f>IFERROR(VLOOKUP(CONCATENATE($C$4,"4"),RS!$B$3:$T$182,4,FALSE),"")</f>
        <v>45761</v>
      </c>
      <c r="S120" s="536">
        <f>IFERROR(VLOOKUP(CONCATENATE($C$4,"4"),RS!$B$3:$T$182,11,FALSE),"")</f>
        <v>1.7</v>
      </c>
      <c r="T120" s="300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R120" s="216">
        <v>45761</v>
      </c>
      <c r="AS120">
        <v>1.7</v>
      </c>
    </row>
    <row r="121" spans="1:45">
      <c r="A121" s="243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4" t="s">
        <v>177</v>
      </c>
      <c r="N121" s="238">
        <f>Statistik!J$197</f>
        <v>179</v>
      </c>
      <c r="O121" s="238"/>
      <c r="P121" s="243"/>
      <c r="Q121" s="243"/>
      <c r="R121" s="299" t="str">
        <f>IFERROR(VLOOKUP(CONCATENATE($C$4,"5"),RS!$B$3:$T$182,4,FALSE),"")</f>
        <v>2025-05-13</v>
      </c>
      <c r="S121" s="536">
        <f>IFERROR(VLOOKUP(CONCATENATE($C$4,"5"),RS!$B$3:$T$182,11,FALSE),"")</f>
        <v>1</v>
      </c>
      <c r="T121" s="300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R121" s="216">
        <v>45790</v>
      </c>
      <c r="AS121">
        <v>1</v>
      </c>
    </row>
    <row r="122" spans="1:45">
      <c r="A122" s="243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38"/>
      <c r="O122" s="238"/>
      <c r="P122" s="243"/>
      <c r="Q122" s="243"/>
      <c r="R122" s="299">
        <f>IFERROR(VLOOKUP(CONCATENATE($C$4,"6"),RS!$B$3:$T$182,4,FALSE),"")</f>
        <v>45826</v>
      </c>
      <c r="S122" s="536">
        <f>IFERROR(VLOOKUP(CONCATENATE($C$4,"6"),RS!$B$3:$T$182,11,FALSE),"")</f>
        <v>0.89</v>
      </c>
      <c r="T122" s="300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  <c r="AL122" s="243"/>
      <c r="AR122" s="216">
        <v>45826</v>
      </c>
      <c r="AS122">
        <v>0.89</v>
      </c>
    </row>
    <row r="123" spans="1:45" ht="13">
      <c r="A123" s="243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82" t="s">
        <v>165</v>
      </c>
      <c r="N123" s="340">
        <f>VLOOKUP(TRIM(CONCATENATE($C$4,$R$4)),RS!$A$3:$S$182,12,FALSE)</f>
        <v>0.62</v>
      </c>
      <c r="O123" s="243"/>
      <c r="P123" s="243"/>
      <c r="Q123" s="243"/>
      <c r="R123" s="299">
        <f>IFERROR(VLOOKUP(CONCATENATE($C$4,"7"),RS!$B$3:$T$182,4,FALSE),"")</f>
        <v>45848</v>
      </c>
      <c r="S123" s="536">
        <f>IFERROR(VLOOKUP(CONCATENATE($C$4,"7"),RS!$B$3:$T$182,11,FALSE),"")</f>
        <v>0.62</v>
      </c>
      <c r="T123" s="300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S123" t="s">
        <v>18</v>
      </c>
    </row>
    <row r="124" spans="1:45" ht="13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82"/>
      <c r="N124" s="246"/>
      <c r="O124" s="243"/>
      <c r="P124" s="243"/>
      <c r="Q124" s="243"/>
      <c r="R124" s="299" t="str">
        <f>IFERROR(VLOOKUP(CONCATENATE($C$4,"8"),RS!$B$3:$T$182,4,FALSE),"")</f>
        <v/>
      </c>
      <c r="S124" s="536" t="str">
        <f>IFERROR(VLOOKUP(CONCATENATE($C$4,"8"),RS!$B$3:$T$182,11,FALSE),"")</f>
        <v/>
      </c>
      <c r="T124" s="300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S124" t="s">
        <v>18</v>
      </c>
    </row>
    <row r="125" spans="1:45">
      <c r="A125" s="243"/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99" t="str">
        <f>IFERROR(VLOOKUP(CONCATENATE($C$4,"9"),RS!$B$3:$T$182,4,FALSE),"")</f>
        <v/>
      </c>
      <c r="S125" s="536" t="str">
        <f>IFERROR(VLOOKUP(CONCATENATE($C$4,"9"),RS!$B$3:$T$182,11,FALSE),"")</f>
        <v/>
      </c>
      <c r="T125" s="300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S125" t="s">
        <v>18</v>
      </c>
    </row>
    <row r="126" spans="1:45">
      <c r="A126" s="243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99" t="str">
        <f>IFERROR(VLOOKUP(CONCATENATE($C$4,"10"),RS!$B$3:$T$182,4,FALSE),"")</f>
        <v/>
      </c>
      <c r="S126" s="536" t="str">
        <f>IFERROR(VLOOKUP(CONCATENATE($C$4,"10"),RS!$B$3:$T$182,11,FALSE),"")</f>
        <v/>
      </c>
      <c r="T126" s="300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3"/>
      <c r="AS126" t="s">
        <v>18</v>
      </c>
    </row>
    <row r="127" spans="1:45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99" t="str">
        <f>IFERROR(VLOOKUP(CONCATENATE($C$4,"11"),RS!$B$3:$T$182,4,FALSE),"")</f>
        <v/>
      </c>
      <c r="S127" s="536" t="str">
        <f>IFERROR(VLOOKUP(CONCATENATE($C$4,"11"),RS!$B$3:$T$182,11,FALSE),"")</f>
        <v/>
      </c>
      <c r="T127" s="300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  <c r="AL127" s="243"/>
      <c r="AS127" t="s">
        <v>18</v>
      </c>
    </row>
    <row r="128" spans="1:45">
      <c r="A128" s="243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301" t="str">
        <f>IFERROR(VLOOKUP(CONCATENATE($C$4,"12"),RS!$B$3:$T$182,4,FALSE),"")</f>
        <v/>
      </c>
      <c r="S128" s="537" t="str">
        <f>IFERROR(VLOOKUP(CONCATENATE($C$4,"12"),RS!$B$3:$T$182,11,FALSE),"")</f>
        <v/>
      </c>
      <c r="T128" s="30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S128" t="s">
        <v>18</v>
      </c>
    </row>
    <row r="129" spans="1:45">
      <c r="A129" s="243"/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557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</row>
    <row r="130" spans="1:45">
      <c r="A130" s="243"/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557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</row>
    <row r="131" spans="1:45">
      <c r="A131" s="243"/>
      <c r="B131" s="243"/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557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</row>
    <row r="132" spans="1:45">
      <c r="A132" s="243"/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557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</row>
    <row r="133" spans="1:45" ht="13">
      <c r="A133" s="243"/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6" t="s">
        <v>215</v>
      </c>
      <c r="N133" s="247" t="s">
        <v>169</v>
      </c>
      <c r="O133" s="247"/>
      <c r="P133" s="243"/>
      <c r="Q133" s="243"/>
      <c r="R133" s="293" t="s">
        <v>181</v>
      </c>
      <c r="S133" s="294"/>
      <c r="T133" s="295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R133" s="216" t="s">
        <v>181</v>
      </c>
    </row>
    <row r="134" spans="1:45">
      <c r="A134" s="243"/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96" t="s">
        <v>154</v>
      </c>
      <c r="S134" s="297" t="s">
        <v>169</v>
      </c>
      <c r="T134" s="298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R134" s="216" t="s">
        <v>154</v>
      </c>
      <c r="AS134" t="s">
        <v>169</v>
      </c>
    </row>
    <row r="135" spans="1:45" ht="13">
      <c r="A135" s="243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 t="s">
        <v>150</v>
      </c>
      <c r="N135" s="238">
        <f>Statistik!M$193</f>
        <v>2941.6666666666665</v>
      </c>
      <c r="O135" s="246"/>
      <c r="P135" s="243"/>
      <c r="Q135" s="243"/>
      <c r="R135" s="299">
        <f>IFERROR(VLOOKUP(CONCATENATE($C$4,"1"),RS!$B$3:$T$182,4,FALSE),"")</f>
        <v>45671</v>
      </c>
      <c r="S135" s="560">
        <f>IFERROR(VLOOKUP(CONCATENATE($C$4,"1"),RS!$B$3:$T$182,14,FALSE),"")</f>
        <v>4000</v>
      </c>
      <c r="T135" s="300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R135" s="216">
        <v>45671</v>
      </c>
      <c r="AS135">
        <v>4000</v>
      </c>
    </row>
    <row r="136" spans="1:45">
      <c r="A136" s="243"/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 t="s">
        <v>162</v>
      </c>
      <c r="N136" s="238">
        <f>Statistik!M$194</f>
        <v>2025.310928608716</v>
      </c>
      <c r="O136" s="243"/>
      <c r="P136" s="243"/>
      <c r="Q136" s="243"/>
      <c r="R136" s="299">
        <f>IFERROR(VLOOKUP(CONCATENATE($C$4,"2"),RS!$B$3:$T$182,4,FALSE),"")</f>
        <v>45706</v>
      </c>
      <c r="S136" s="560">
        <f>IFERROR(VLOOKUP(CONCATENATE($C$4,"2"),RS!$B$3:$T$182,14,FALSE),"")</f>
        <v>3500</v>
      </c>
      <c r="T136" s="300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R136" s="216">
        <v>45706</v>
      </c>
      <c r="AS136">
        <v>3500</v>
      </c>
    </row>
    <row r="137" spans="1:45">
      <c r="A137" s="243"/>
      <c r="B137" s="243"/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 t="s">
        <v>151</v>
      </c>
      <c r="N137" s="238">
        <f>Statistik!M$195</f>
        <v>12000</v>
      </c>
      <c r="O137" s="238"/>
      <c r="P137" s="243"/>
      <c r="Q137" s="243"/>
      <c r="R137" s="299">
        <f>IFERROR(VLOOKUP(CONCATENATE($C$4,"3"),RS!$B$3:$T$182,4,FALSE),"")</f>
        <v>45734</v>
      </c>
      <c r="S137" s="560">
        <f>IFERROR(VLOOKUP(CONCATENATE($C$4,"3"),RS!$B$3:$T$182,14,FALSE),"")</f>
        <v>2700</v>
      </c>
      <c r="T137" s="300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R137" s="216">
        <v>45734</v>
      </c>
      <c r="AS137">
        <v>2700</v>
      </c>
    </row>
    <row r="138" spans="1:45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 t="s">
        <v>152</v>
      </c>
      <c r="N138" s="238">
        <f>Statistik!M$196</f>
        <v>350</v>
      </c>
      <c r="O138" s="238"/>
      <c r="P138" s="243"/>
      <c r="Q138" s="243"/>
      <c r="R138" s="299">
        <f>IFERROR(VLOOKUP(CONCATENATE($C$4,"4"),RS!$B$3:$T$182,4,FALSE),"")</f>
        <v>45761</v>
      </c>
      <c r="S138" s="560">
        <f>IFERROR(VLOOKUP(CONCATENATE($C$4,"4"),RS!$B$3:$T$182,14,FALSE),"")</f>
        <v>1800</v>
      </c>
      <c r="T138" s="300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R138" s="216">
        <v>45761</v>
      </c>
      <c r="AS138">
        <v>1800</v>
      </c>
    </row>
    <row r="139" spans="1:45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4" t="s">
        <v>177</v>
      </c>
      <c r="N139" s="238">
        <f>Statistik!M$197</f>
        <v>180</v>
      </c>
      <c r="O139" s="238"/>
      <c r="P139" s="243"/>
      <c r="Q139" s="243"/>
      <c r="R139" s="299" t="str">
        <f>IFERROR(VLOOKUP(CONCATENATE($C$4,"5"),RS!$B$3:$T$182,4,FALSE),"")</f>
        <v>2025-05-13</v>
      </c>
      <c r="S139" s="560">
        <f>IFERROR(VLOOKUP(CONCATENATE($C$4,"5"),RS!$B$3:$T$182,14,FALSE),"")</f>
        <v>1100</v>
      </c>
      <c r="T139" s="300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R139" s="216">
        <v>45790</v>
      </c>
      <c r="AS139">
        <v>1100</v>
      </c>
    </row>
    <row r="140" spans="1:45">
      <c r="A140" s="243"/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38"/>
      <c r="O140" s="238"/>
      <c r="P140" s="243"/>
      <c r="Q140" s="243"/>
      <c r="R140" s="299">
        <f>IFERROR(VLOOKUP(CONCATENATE($C$4,"6"),RS!$B$3:$T$182,4,FALSE),"")</f>
        <v>45826</v>
      </c>
      <c r="S140" s="560">
        <f>IFERROR(VLOOKUP(CONCATENATE($C$4,"6"),RS!$B$3:$T$182,14,FALSE),"")</f>
        <v>1000</v>
      </c>
      <c r="T140" s="300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R140" s="216">
        <v>45826</v>
      </c>
      <c r="AS140">
        <v>1000</v>
      </c>
    </row>
    <row r="141" spans="1:45" ht="13">
      <c r="A141" s="243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82" t="s">
        <v>165</v>
      </c>
      <c r="N141" s="246">
        <f>VLOOKUP(TRIM(CONCATENATE($C$4,$R$4)),RS!$A$3:$S$182,15,FALSE)</f>
        <v>1100</v>
      </c>
      <c r="O141" s="243"/>
      <c r="P141" s="243"/>
      <c r="Q141" s="243"/>
      <c r="R141" s="299">
        <f>IFERROR(VLOOKUP(CONCATENATE($C$4,"7"),RS!$B$3:$T$182,4,FALSE),"")</f>
        <v>45848</v>
      </c>
      <c r="S141" s="560">
        <f>IFERROR(VLOOKUP(CONCATENATE($C$4,"7"),RS!$B$3:$T$182,14,FALSE),"")</f>
        <v>1100</v>
      </c>
      <c r="T141" s="300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S141" t="s">
        <v>18</v>
      </c>
    </row>
    <row r="142" spans="1:45" ht="13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82"/>
      <c r="N142" s="246"/>
      <c r="O142" s="243"/>
      <c r="P142" s="243"/>
      <c r="Q142" s="243"/>
      <c r="R142" s="299" t="str">
        <f>IFERROR(VLOOKUP(CONCATENATE($C$4,"8"),RS!$B$3:$T$182,4,FALSE),"")</f>
        <v/>
      </c>
      <c r="S142" s="560" t="str">
        <f>IFERROR(VLOOKUP(CONCATENATE($C$4,"8"),RS!$B$3:$T$182,14,FALSE),"")</f>
        <v/>
      </c>
      <c r="T142" s="300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S142" t="s">
        <v>18</v>
      </c>
    </row>
    <row r="143" spans="1:45">
      <c r="A143" s="243"/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99" t="str">
        <f>IFERROR(VLOOKUP(CONCATENATE($C$4,"9"),RS!$B$3:$T$182,4,FALSE),"")</f>
        <v/>
      </c>
      <c r="S143" s="560" t="str">
        <f>IFERROR(VLOOKUP(CONCATENATE($C$4,"9"),RS!$B$3:$T$182,14,FALSE),"")</f>
        <v/>
      </c>
      <c r="T143" s="300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S143" t="s">
        <v>18</v>
      </c>
    </row>
    <row r="144" spans="1:45">
      <c r="A144" s="243"/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99" t="str">
        <f>IFERROR(VLOOKUP(CONCATENATE($C$4,"10"),RS!$B$3:$T$182,4,FALSE),"")</f>
        <v/>
      </c>
      <c r="S144" s="560" t="str">
        <f>IFERROR(VLOOKUP(CONCATENATE($C$4,"10"),RS!$B$3:$T$182,14,FALSE),"")</f>
        <v/>
      </c>
      <c r="T144" s="300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S144" t="s">
        <v>18</v>
      </c>
    </row>
    <row r="145" spans="1:45">
      <c r="A145" s="243"/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99" t="str">
        <f>IFERROR(VLOOKUP(CONCATENATE($C$4,"11"),RS!$B$3:$T$182,4,FALSE),"")</f>
        <v/>
      </c>
      <c r="S145" s="560" t="str">
        <f>IFERROR(VLOOKUP(CONCATENATE($C$4,"11"),RS!$B$3:$T$182,14,FALSE),"")</f>
        <v/>
      </c>
      <c r="T145" s="300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S145" t="s">
        <v>18</v>
      </c>
    </row>
    <row r="146" spans="1:45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301" t="str">
        <f>IFERROR(VLOOKUP(CONCATENATE($C$4,"12"),RS!$B$3:$T$182,4,FALSE),"")</f>
        <v/>
      </c>
      <c r="S146" s="561" t="str">
        <f>IFERROR(VLOOKUP(CONCATENATE($C$4,"12"),RS!$B$3:$T$182,14,FALSE),"")</f>
        <v/>
      </c>
      <c r="T146" s="30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S146" t="s">
        <v>18</v>
      </c>
    </row>
    <row r="147" spans="1:45">
      <c r="A147" s="243"/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557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</row>
    <row r="148" spans="1:45">
      <c r="A148" s="243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557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</row>
    <row r="149" spans="1:45">
      <c r="A149" s="243"/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557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</row>
    <row r="150" spans="1:45">
      <c r="A150" s="243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557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</row>
    <row r="151" spans="1:45" ht="13">
      <c r="A151" s="243"/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6" t="s">
        <v>103</v>
      </c>
      <c r="N151" s="247" t="s">
        <v>169</v>
      </c>
      <c r="O151" s="247"/>
      <c r="P151" s="243"/>
      <c r="Q151" s="243"/>
      <c r="R151" s="293" t="s">
        <v>181</v>
      </c>
      <c r="S151" s="294"/>
      <c r="T151" s="295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R151" s="216" t="s">
        <v>181</v>
      </c>
    </row>
    <row r="152" spans="1:45">
      <c r="A152" s="243"/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96" t="s">
        <v>154</v>
      </c>
      <c r="S152" s="297" t="s">
        <v>169</v>
      </c>
      <c r="T152" s="298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R152" s="216" t="s">
        <v>154</v>
      </c>
      <c r="AS152" t="s">
        <v>169</v>
      </c>
    </row>
    <row r="153" spans="1:45" ht="13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 t="s">
        <v>150</v>
      </c>
      <c r="N153" s="238">
        <f>Statistik!N$193</f>
        <v>53.18888888888889</v>
      </c>
      <c r="O153" s="246"/>
      <c r="P153" s="243"/>
      <c r="Q153" s="243"/>
      <c r="R153" s="299">
        <f>IFERROR(VLOOKUP(CONCATENATE($C$4,"1"),RS!$B$3:$T$182,4,FALSE),"")</f>
        <v>45671</v>
      </c>
      <c r="S153" s="560">
        <f>IFERROR(VLOOKUP(CONCATENATE($C$4,"1"),RS!$B$3:$T$182,15,FALSE),"")</f>
        <v>53</v>
      </c>
      <c r="T153" s="300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R153" s="216">
        <v>45671</v>
      </c>
      <c r="AS153">
        <v>53</v>
      </c>
    </row>
    <row r="154" spans="1:45">
      <c r="A154" s="243"/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 t="s">
        <v>162</v>
      </c>
      <c r="N154" s="238">
        <f>Statistik!N$194</f>
        <v>59.481633134294327</v>
      </c>
      <c r="O154" s="243"/>
      <c r="P154" s="243"/>
      <c r="Q154" s="243"/>
      <c r="R154" s="299">
        <f>IFERROR(VLOOKUP(CONCATENATE($C$4,"2"),RS!$B$3:$T$182,4,FALSE),"")</f>
        <v>45706</v>
      </c>
      <c r="S154" s="560">
        <f>IFERROR(VLOOKUP(CONCATENATE($C$4,"2"),RS!$B$3:$T$182,15,FALSE),"")</f>
        <v>60</v>
      </c>
      <c r="T154" s="300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R154" s="216">
        <v>45706</v>
      </c>
      <c r="AS154">
        <v>60</v>
      </c>
    </row>
    <row r="155" spans="1:45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 t="s">
        <v>151</v>
      </c>
      <c r="N155" s="238">
        <f>Statistik!N$195</f>
        <v>600</v>
      </c>
      <c r="O155" s="238"/>
      <c r="P155" s="243"/>
      <c r="Q155" s="243"/>
      <c r="R155" s="299">
        <f>IFERROR(VLOOKUP(CONCATENATE($C$4,"3"),RS!$B$3:$T$182,4,FALSE),"")</f>
        <v>45734</v>
      </c>
      <c r="S155" s="560" t="str">
        <f>IFERROR(VLOOKUP(CONCATENATE($C$4,"3"),RS!$B$3:$T$182,15,FALSE),"")</f>
        <v>&lt;10</v>
      </c>
      <c r="T155" s="300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3"/>
      <c r="AR155" s="216">
        <v>45734</v>
      </c>
      <c r="AS155" t="s">
        <v>148</v>
      </c>
    </row>
    <row r="156" spans="1:45">
      <c r="A156" s="243"/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 t="s">
        <v>152</v>
      </c>
      <c r="N156" s="238">
        <f>Statistik!N$196</f>
        <v>10</v>
      </c>
      <c r="O156" s="238"/>
      <c r="P156" s="243"/>
      <c r="Q156" s="243"/>
      <c r="R156" s="299">
        <f>IFERROR(VLOOKUP(CONCATENATE($C$4,"4"),RS!$B$3:$T$182,4,FALSE),"")</f>
        <v>45761</v>
      </c>
      <c r="S156" s="560">
        <f>IFERROR(VLOOKUP(CONCATENATE($C$4,"4"),RS!$B$3:$T$182,15,FALSE),"")</f>
        <v>30</v>
      </c>
      <c r="T156" s="300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R156" s="216">
        <v>45761</v>
      </c>
      <c r="AS156">
        <v>30</v>
      </c>
    </row>
    <row r="157" spans="1:45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4" t="s">
        <v>177</v>
      </c>
      <c r="N157" s="238">
        <f>Statistik!N$197</f>
        <v>180</v>
      </c>
      <c r="O157" s="238"/>
      <c r="P157" s="243"/>
      <c r="Q157" s="243"/>
      <c r="R157" s="299" t="str">
        <f>IFERROR(VLOOKUP(CONCATENATE($C$4,"5"),RS!$B$3:$T$182,4,FALSE),"")</f>
        <v>2025-05-13</v>
      </c>
      <c r="S157" s="560">
        <f>IFERROR(VLOOKUP(CONCATENATE($C$4,"5"),RS!$B$3:$T$182,15,FALSE),"")</f>
        <v>28</v>
      </c>
      <c r="T157" s="300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R157" s="216">
        <v>45790</v>
      </c>
      <c r="AS157">
        <v>28</v>
      </c>
    </row>
    <row r="158" spans="1:45">
      <c r="A158" s="243"/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38"/>
      <c r="O158" s="238"/>
      <c r="P158" s="243"/>
      <c r="Q158" s="243"/>
      <c r="R158" s="299">
        <f>IFERROR(VLOOKUP(CONCATENATE($C$4,"6"),RS!$B$3:$T$182,4,FALSE),"")</f>
        <v>45826</v>
      </c>
      <c r="S158" s="560">
        <f>IFERROR(VLOOKUP(CONCATENATE($C$4,"6"),RS!$B$3:$T$182,15,FALSE),"")</f>
        <v>44</v>
      </c>
      <c r="T158" s="300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R158" s="216">
        <v>45826</v>
      </c>
      <c r="AS158">
        <v>44</v>
      </c>
    </row>
    <row r="159" spans="1:45" ht="13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  <c r="M159" s="282" t="s">
        <v>165</v>
      </c>
      <c r="N159" s="246">
        <f>VLOOKUP(TRIM(CONCATENATE($C$4,$R$4)),RS!$A$3:$S$182,16,FALSE)</f>
        <v>34</v>
      </c>
      <c r="O159" s="243"/>
      <c r="P159" s="243"/>
      <c r="Q159" s="243"/>
      <c r="R159" s="299">
        <f>IFERROR(VLOOKUP(CONCATENATE($C$4,"7"),RS!$B$3:$T$182,4,FALSE),"")</f>
        <v>45848</v>
      </c>
      <c r="S159" s="560">
        <f>IFERROR(VLOOKUP(CONCATENATE($C$4,"7"),RS!$B$3:$T$182,15,FALSE),"")</f>
        <v>34</v>
      </c>
      <c r="T159" s="300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S159" t="s">
        <v>18</v>
      </c>
    </row>
    <row r="160" spans="1:45" ht="13">
      <c r="A160" s="243"/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  <c r="M160" s="282"/>
      <c r="N160" s="246"/>
      <c r="O160" s="243"/>
      <c r="P160" s="243"/>
      <c r="Q160" s="243"/>
      <c r="R160" s="299" t="str">
        <f>IFERROR(VLOOKUP(CONCATENATE($C$4,"8"),RS!$B$3:$T$182,4,FALSE),"")</f>
        <v/>
      </c>
      <c r="S160" s="560" t="str">
        <f>IFERROR(VLOOKUP(CONCATENATE($C$4,"8"),RS!$B$3:$T$182,15,FALSE),"")</f>
        <v/>
      </c>
      <c r="T160" s="300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S160" t="s">
        <v>18</v>
      </c>
    </row>
    <row r="161" spans="1:45">
      <c r="A161" s="243"/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99" t="str">
        <f>IFERROR(VLOOKUP(CONCATENATE($C$4,"9"),RS!$B$3:$T$182,4,FALSE),"")</f>
        <v/>
      </c>
      <c r="S161" s="560" t="str">
        <f>IFERROR(VLOOKUP(CONCATENATE($C$4,"9"),RS!$B$3:$T$182,15,FALSE),"")</f>
        <v/>
      </c>
      <c r="T161" s="300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S161" t="s">
        <v>18</v>
      </c>
    </row>
    <row r="162" spans="1:45">
      <c r="A162" s="243"/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99" t="str">
        <f>IFERROR(VLOOKUP(CONCATENATE($C$4,"10"),RS!$B$3:$T$182,4,FALSE),"")</f>
        <v/>
      </c>
      <c r="S162" s="560" t="str">
        <f>IFERROR(VLOOKUP(CONCATENATE($C$4,"10"),RS!$B$3:$T$182,15,FALSE),"")</f>
        <v/>
      </c>
      <c r="T162" s="300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S162" t="s">
        <v>18</v>
      </c>
    </row>
    <row r="163" spans="1:45">
      <c r="A163" s="243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99" t="str">
        <f>IFERROR(VLOOKUP(CONCATENATE($C$4,"11"),RS!$B$3:$T$182,4,FALSE),"")</f>
        <v/>
      </c>
      <c r="S163" s="560" t="str">
        <f>IFERROR(VLOOKUP(CONCATENATE($C$4,"11"),RS!$B$3:$T$182,15,FALSE),"")</f>
        <v/>
      </c>
      <c r="T163" s="300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S163" t="s">
        <v>18</v>
      </c>
    </row>
    <row r="164" spans="1:45">
      <c r="A164" s="243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301" t="str">
        <f>IFERROR(VLOOKUP(CONCATENATE($C$4,"12"),RS!$B$3:$T$182,4,FALSE),"")</f>
        <v/>
      </c>
      <c r="S164" s="561" t="str">
        <f>IFERROR(VLOOKUP(CONCATENATE($C$4,"12"),RS!$B$3:$T$182,15,FALSE),"")</f>
        <v/>
      </c>
      <c r="T164" s="30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S164" t="s">
        <v>18</v>
      </c>
    </row>
    <row r="165" spans="1:45">
      <c r="A165" s="243"/>
      <c r="B165" s="243"/>
      <c r="C165" s="243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557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</row>
    <row r="166" spans="1:45">
      <c r="A166" s="243"/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557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</row>
    <row r="167" spans="1:45">
      <c r="A167" s="243"/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557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</row>
    <row r="168" spans="1:45">
      <c r="A168" s="243"/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557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  <c r="AL168" s="243"/>
    </row>
    <row r="169" spans="1:45" ht="13">
      <c r="A169" s="243"/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6" t="s">
        <v>102</v>
      </c>
      <c r="N169" s="247" t="s">
        <v>169</v>
      </c>
      <c r="O169" s="247"/>
      <c r="P169" s="243"/>
      <c r="Q169" s="243"/>
      <c r="R169" s="293" t="s">
        <v>181</v>
      </c>
      <c r="S169" s="294"/>
      <c r="T169" s="295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  <c r="AL169" s="243"/>
      <c r="AR169" s="216" t="s">
        <v>181</v>
      </c>
    </row>
    <row r="170" spans="1:45">
      <c r="A170" s="243"/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96" t="s">
        <v>154</v>
      </c>
      <c r="S170" s="297" t="s">
        <v>169</v>
      </c>
      <c r="T170" s="298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R170" s="216" t="s">
        <v>154</v>
      </c>
      <c r="AS170" t="s">
        <v>169</v>
      </c>
    </row>
    <row r="171" spans="1:45" ht="13">
      <c r="A171" s="243"/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 t="s">
        <v>150</v>
      </c>
      <c r="N171" s="238">
        <f>Statistik!K$193</f>
        <v>33.105027932960894</v>
      </c>
      <c r="O171" s="246"/>
      <c r="P171" s="243"/>
      <c r="Q171" s="243"/>
      <c r="R171" s="299">
        <f>IFERROR(VLOOKUP(CONCATENATE($C$4,"1"),RS!$B$3:$T$182,4,FALSE),"")</f>
        <v>45671</v>
      </c>
      <c r="S171" s="560">
        <f>IFERROR(VLOOKUP(CONCATENATE($C$4,"1"),RS!$B$3:$T$182,12,FALSE),"")</f>
        <v>42</v>
      </c>
      <c r="T171" s="300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R171" s="216">
        <v>45671</v>
      </c>
      <c r="AS171">
        <v>42</v>
      </c>
    </row>
    <row r="172" spans="1:45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 t="s">
        <v>162</v>
      </c>
      <c r="N172" s="238">
        <f>Statistik!K$194</f>
        <v>17.430933609189704</v>
      </c>
      <c r="O172" s="243"/>
      <c r="P172" s="243"/>
      <c r="Q172" s="243"/>
      <c r="R172" s="299">
        <f>IFERROR(VLOOKUP(CONCATENATE($C$4,"2"),RS!$B$3:$T$182,4,FALSE),"")</f>
        <v>45706</v>
      </c>
      <c r="S172" s="560">
        <f>IFERROR(VLOOKUP(CONCATENATE($C$4,"2"),RS!$B$3:$T$182,12,FALSE),"")</f>
        <v>37</v>
      </c>
      <c r="T172" s="300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R172" s="216">
        <v>45706</v>
      </c>
      <c r="AS172">
        <v>37</v>
      </c>
    </row>
    <row r="173" spans="1:45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 t="s">
        <v>151</v>
      </c>
      <c r="N173" s="238">
        <f>Statistik!K$195</f>
        <v>83</v>
      </c>
      <c r="O173" s="238"/>
      <c r="P173" s="243"/>
      <c r="Q173" s="243"/>
      <c r="R173" s="299">
        <f>IFERROR(VLOOKUP(CONCATENATE($C$4,"3"),RS!$B$3:$T$182,4,FALSE),"")</f>
        <v>45734</v>
      </c>
      <c r="S173" s="560">
        <f>IFERROR(VLOOKUP(CONCATENATE($C$4,"3"),RS!$B$3:$T$182,12,FALSE),"")</f>
        <v>6.1</v>
      </c>
      <c r="T173" s="300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R173" s="216">
        <v>45734</v>
      </c>
      <c r="AS173">
        <v>6.1</v>
      </c>
    </row>
    <row r="174" spans="1:45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 t="s">
        <v>152</v>
      </c>
      <c r="N174" s="238">
        <f>Statistik!K$196</f>
        <v>2.8</v>
      </c>
      <c r="O174" s="238"/>
      <c r="P174" s="243"/>
      <c r="Q174" s="243"/>
      <c r="R174" s="299">
        <f>IFERROR(VLOOKUP(CONCATENATE($C$4,"4"),RS!$B$3:$T$182,4,FALSE),"")</f>
        <v>45761</v>
      </c>
      <c r="S174" s="560">
        <f>IFERROR(VLOOKUP(CONCATENATE($C$4,"4"),RS!$B$3:$T$182,12,FALSE),"")</f>
        <v>14</v>
      </c>
      <c r="T174" s="300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3"/>
      <c r="AR174" s="216">
        <v>45761</v>
      </c>
      <c r="AS174">
        <v>14</v>
      </c>
    </row>
    <row r="175" spans="1:45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4" t="s">
        <v>177</v>
      </c>
      <c r="N175" s="238">
        <f>Statistik!K$197</f>
        <v>179</v>
      </c>
      <c r="O175" s="238"/>
      <c r="P175" s="243"/>
      <c r="Q175" s="243"/>
      <c r="R175" s="299" t="str">
        <f>IFERROR(VLOOKUP(CONCATENATE($C$4,"5"),RS!$B$3:$T$182,4,FALSE),"")</f>
        <v>2025-05-13</v>
      </c>
      <c r="S175" s="560">
        <f>IFERROR(VLOOKUP(CONCATENATE($C$4,"5"),RS!$B$3:$T$182,12,FALSE),"")</f>
        <v>20</v>
      </c>
      <c r="T175" s="300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  <c r="AL175" s="243"/>
      <c r="AR175" s="216">
        <v>45790</v>
      </c>
      <c r="AS175">
        <v>20</v>
      </c>
    </row>
    <row r="176" spans="1:45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38"/>
      <c r="O176" s="238"/>
      <c r="P176" s="243"/>
      <c r="Q176" s="243"/>
      <c r="R176" s="299">
        <f>IFERROR(VLOOKUP(CONCATENATE($C$4,"6"),RS!$B$3:$T$182,4,FALSE),"")</f>
        <v>45826</v>
      </c>
      <c r="S176" s="560">
        <f>IFERROR(VLOOKUP(CONCATENATE($C$4,"6"),RS!$B$3:$T$182,12,FALSE),"")</f>
        <v>48</v>
      </c>
      <c r="T176" s="300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R176" s="216">
        <v>45826</v>
      </c>
      <c r="AS176">
        <v>48</v>
      </c>
    </row>
    <row r="177" spans="1:45" ht="13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82" t="s">
        <v>165</v>
      </c>
      <c r="N177" s="380">
        <f>VLOOKUP(TRIM(CONCATENATE($C$4,$R$4)),RS!$A$3:$S$182,13,FALSE)</f>
        <v>57</v>
      </c>
      <c r="O177" s="243"/>
      <c r="P177" s="243"/>
      <c r="Q177" s="243"/>
      <c r="R177" s="299">
        <f>IFERROR(VLOOKUP(CONCATENATE($C$4,"7"),RS!$B$3:$T$182,4,FALSE),"")</f>
        <v>45848</v>
      </c>
      <c r="S177" s="560">
        <f>IFERROR(VLOOKUP(CONCATENATE($C$4,"7"),RS!$B$3:$T$182,12,FALSE),"")</f>
        <v>57</v>
      </c>
      <c r="T177" s="300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  <c r="AL177" s="243"/>
      <c r="AS177" t="s">
        <v>18</v>
      </c>
    </row>
    <row r="178" spans="1:45" ht="13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82"/>
      <c r="N178" s="246"/>
      <c r="O178" s="243"/>
      <c r="P178" s="243"/>
      <c r="Q178" s="243"/>
      <c r="R178" s="299" t="str">
        <f>IFERROR(VLOOKUP(CONCATENATE($C$4,"8"),RS!$B$3:$T$182,4,FALSE),"")</f>
        <v/>
      </c>
      <c r="S178" s="560" t="str">
        <f>IFERROR(VLOOKUP(CONCATENATE($C$4,"8"),RS!$B$3:$T$182,12,FALSE),"")</f>
        <v/>
      </c>
      <c r="T178" s="300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S178" t="s">
        <v>18</v>
      </c>
    </row>
    <row r="179" spans="1:45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99" t="str">
        <f>IFERROR(VLOOKUP(CONCATENATE($C$4,"9"),RS!$B$3:$T$182,4,FALSE),"")</f>
        <v/>
      </c>
      <c r="S179" s="560" t="str">
        <f>IFERROR(VLOOKUP(CONCATENATE($C$4,"9"),RS!$B$3:$T$182,12,FALSE),"")</f>
        <v/>
      </c>
      <c r="T179" s="300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S179" t="s">
        <v>18</v>
      </c>
    </row>
    <row r="180" spans="1:45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99" t="str">
        <f>IFERROR(VLOOKUP(CONCATENATE($C$4,"10"),RS!$B$3:$T$182,4,FALSE),"")</f>
        <v/>
      </c>
      <c r="S180" s="560" t="str">
        <f>IFERROR(VLOOKUP(CONCATENATE($C$4,"10"),RS!$B$3:$T$182,12,FALSE),"")</f>
        <v/>
      </c>
      <c r="T180" s="300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  <c r="AL180" s="243"/>
      <c r="AS180" t="s">
        <v>18</v>
      </c>
    </row>
    <row r="181" spans="1:45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99" t="str">
        <f>IFERROR(VLOOKUP(CONCATENATE($C$4,"11"),RS!$B$3:$T$182,4,FALSE),"")</f>
        <v/>
      </c>
      <c r="S181" s="560" t="str">
        <f>IFERROR(VLOOKUP(CONCATENATE($C$4,"11"),RS!$B$3:$T$182,12,FALSE),"")</f>
        <v/>
      </c>
      <c r="T181" s="300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  <c r="AL181" s="243"/>
      <c r="AS181" t="s">
        <v>18</v>
      </c>
    </row>
    <row r="182" spans="1:45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301" t="str">
        <f>IFERROR(VLOOKUP(CONCATENATE($C$4,"12"),RS!$B$3:$T$182,4,FALSE),"")</f>
        <v/>
      </c>
      <c r="S182" s="561" t="str">
        <f>IFERROR(VLOOKUP(CONCATENATE($C$4,"12"),RS!$B$3:$T$182,12,FALSE),"")</f>
        <v/>
      </c>
      <c r="T182" s="30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  <c r="AL182" s="243"/>
      <c r="AS182" t="s">
        <v>18</v>
      </c>
    </row>
    <row r="183" spans="1:45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557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  <c r="AL183" s="243"/>
    </row>
    <row r="184" spans="1:45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557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</row>
    <row r="185" spans="1:45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557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</row>
    <row r="186" spans="1:45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557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</row>
    <row r="187" spans="1:45" ht="13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6"/>
      <c r="N187" s="247"/>
      <c r="O187" s="247"/>
      <c r="P187" s="243"/>
      <c r="Q187" s="243"/>
      <c r="R187" s="243"/>
      <c r="S187" s="557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</row>
    <row r="188" spans="1:45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557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</row>
    <row r="189" spans="1:45" ht="13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38"/>
      <c r="O189" s="246"/>
      <c r="P189" s="243"/>
      <c r="Q189" s="243"/>
      <c r="R189" s="243"/>
      <c r="S189" s="557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</row>
    <row r="190" spans="1:45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38"/>
      <c r="O190" s="243"/>
      <c r="P190" s="243"/>
      <c r="Q190" s="243"/>
      <c r="R190" s="243"/>
      <c r="S190" s="557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</row>
    <row r="191" spans="1:45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38"/>
      <c r="O191" s="238"/>
      <c r="P191" s="243"/>
      <c r="Q191" s="243"/>
      <c r="R191" s="243"/>
      <c r="S191" s="557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</row>
    <row r="192" spans="1:45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38"/>
      <c r="O192" s="238"/>
      <c r="P192" s="243"/>
      <c r="Q192" s="243"/>
      <c r="R192" s="243"/>
      <c r="S192" s="557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</row>
    <row r="193" spans="1:38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4"/>
      <c r="N193" s="238"/>
      <c r="O193" s="238"/>
      <c r="P193" s="243"/>
      <c r="Q193" s="243"/>
      <c r="R193" s="243"/>
      <c r="S193" s="557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</row>
    <row r="194" spans="1:38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38"/>
      <c r="O194" s="238"/>
      <c r="P194" s="243"/>
      <c r="Q194" s="243"/>
      <c r="R194" s="243"/>
      <c r="S194" s="557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</row>
    <row r="195" spans="1:38" ht="13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82"/>
      <c r="N195" s="380"/>
      <c r="O195" s="243"/>
      <c r="P195" s="243"/>
      <c r="Q195" s="243"/>
      <c r="R195" s="243"/>
      <c r="S195" s="557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</row>
    <row r="196" spans="1:38" ht="13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  <c r="M196" s="282"/>
      <c r="N196" s="246"/>
      <c r="O196" s="243"/>
      <c r="P196" s="243"/>
      <c r="Q196" s="243"/>
      <c r="R196" s="243"/>
      <c r="S196" s="557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  <c r="AL196" s="243"/>
    </row>
    <row r="197" spans="1:38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557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  <c r="AL197" s="243"/>
    </row>
    <row r="198" spans="1:38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557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</row>
    <row r="199" spans="1:38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557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</row>
    <row r="200" spans="1:38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557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</row>
    <row r="201" spans="1:38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7"/>
      <c r="O201" s="243"/>
      <c r="P201" s="243"/>
      <c r="Q201" s="243"/>
      <c r="R201" s="243"/>
      <c r="S201" s="557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</row>
    <row r="202" spans="1:38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557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  <c r="AL202" s="243"/>
    </row>
    <row r="203" spans="1:38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38"/>
      <c r="O203" s="243"/>
      <c r="P203" s="243"/>
      <c r="Q203" s="243"/>
      <c r="R203" s="243"/>
      <c r="S203" s="557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  <c r="AL203" s="243"/>
    </row>
    <row r="204" spans="1:38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38"/>
      <c r="O204" s="243"/>
      <c r="P204" s="243"/>
      <c r="Q204" s="243"/>
      <c r="R204" s="243"/>
      <c r="S204" s="557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  <c r="AL204" s="243"/>
    </row>
    <row r="205" spans="1:38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38"/>
      <c r="O205" s="243"/>
      <c r="P205" s="243"/>
      <c r="Q205" s="243"/>
      <c r="R205" s="243"/>
      <c r="S205" s="557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  <c r="AL205" s="243"/>
    </row>
    <row r="206" spans="1:38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38"/>
      <c r="O206" s="243"/>
      <c r="P206" s="243"/>
      <c r="Q206" s="243"/>
      <c r="R206" s="243"/>
      <c r="S206" s="557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  <c r="AL206" s="243"/>
    </row>
    <row r="207" spans="1:38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38"/>
      <c r="O207" s="243"/>
      <c r="P207" s="243"/>
      <c r="Q207" s="243"/>
      <c r="R207" s="243"/>
      <c r="S207" s="557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</row>
    <row r="208" spans="1:38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38"/>
      <c r="O208" s="243"/>
      <c r="P208" s="243"/>
      <c r="Q208" s="243"/>
      <c r="R208" s="243"/>
      <c r="S208" s="557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</row>
    <row r="209" spans="1:38" ht="13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380"/>
      <c r="O209" s="243"/>
      <c r="P209" s="243"/>
      <c r="Q209" s="243"/>
      <c r="R209" s="243"/>
      <c r="S209" s="557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</row>
    <row r="210" spans="1:38" ht="13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6"/>
      <c r="O210" s="243"/>
      <c r="P210" s="243"/>
      <c r="Q210" s="243"/>
      <c r="R210" s="243"/>
      <c r="S210" s="557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  <c r="AL210" s="243"/>
    </row>
    <row r="211" spans="1:38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557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  <c r="AL211" s="243"/>
    </row>
    <row r="212" spans="1:38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557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</row>
    <row r="213" spans="1:38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557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</row>
    <row r="214" spans="1:38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557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</row>
    <row r="215" spans="1:38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557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</row>
    <row r="216" spans="1:38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557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  <c r="AL216" s="243"/>
    </row>
    <row r="217" spans="1:38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557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  <c r="AL217" s="243"/>
    </row>
    <row r="218" spans="1:38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557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</row>
    <row r="219" spans="1:38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557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  <c r="AL219" s="243"/>
    </row>
    <row r="220" spans="1:38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557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  <c r="AL220" s="243"/>
    </row>
    <row r="221" spans="1:38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557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  <c r="AL221" s="243"/>
    </row>
    <row r="222" spans="1:38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557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  <c r="AL222" s="243"/>
    </row>
    <row r="223" spans="1:38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557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  <c r="AL223" s="243"/>
    </row>
    <row r="224" spans="1:38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557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  <c r="AL224" s="243"/>
    </row>
    <row r="225" spans="1:38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557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  <c r="AL225" s="243"/>
    </row>
    <row r="226" spans="1:38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557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</row>
  </sheetData>
  <sheetProtection algorithmName="SHA-512" hashValue="rynftIcZk+Hmvgo+4C2/f+4GjcMcpS/ER8nEs6Jk7lIBKniXO9SsOxtA6Tglj4PjBxJuhuAMzZivXOHoC7dXjg==" saltValue="JGrg74/80haSgiKq23yaAw==" spinCount="100000" sheet="1" objects="1" scenarios="1"/>
  <pageMargins left="0.7" right="0.7" top="0.75" bottom="0.75" header="0.3" footer="0.3"/>
  <pageSetup paperSize="9" orientation="portrait" r:id="rId1"/>
  <ignoredErrors>
    <ignoredError sqref="N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3">
    <tabColor rgb="FFFF0000"/>
  </sheetPr>
  <dimension ref="A1:T1866"/>
  <sheetViews>
    <sheetView workbookViewId="0">
      <pane ySplit="5" topLeftCell="A6" activePane="bottomLeft" state="frozen"/>
      <selection pane="bottomLeft" activeCell="B6" sqref="B6:S2005"/>
    </sheetView>
  </sheetViews>
  <sheetFormatPr defaultRowHeight="12.5"/>
  <cols>
    <col min="1" max="1" width="7.90625" customWidth="1"/>
    <col min="2" max="2" width="38.90625" customWidth="1"/>
    <col min="3" max="3" width="12.453125" style="216" customWidth="1"/>
    <col min="4" max="4" width="7.453125" customWidth="1"/>
    <col min="5" max="5" width="6.90625" style="116" customWidth="1"/>
    <col min="6" max="6" width="6.90625" style="101" customWidth="1"/>
    <col min="7" max="7" width="7" customWidth="1"/>
    <col min="8" max="8" width="7.36328125" style="116" customWidth="1"/>
    <col min="9" max="9" width="7.6328125" customWidth="1"/>
    <col min="10" max="10" width="7.90625" customWidth="1"/>
    <col min="11" max="11" width="6.90625" customWidth="1"/>
    <col min="12" max="12" width="7.54296875" customWidth="1"/>
    <col min="13" max="13" width="8.90625" customWidth="1"/>
    <col min="14" max="15" width="8.08984375" customWidth="1"/>
    <col min="16" max="16" width="24.08984375" customWidth="1"/>
    <col min="17" max="17" width="7.6328125" customWidth="1"/>
    <col min="18" max="18" width="9" customWidth="1"/>
    <col min="19" max="19" width="10.54296875" customWidth="1"/>
  </cols>
  <sheetData>
    <row r="1" spans="1:20" s="155" customFormat="1" ht="37.5" customHeight="1">
      <c r="A1" s="154"/>
      <c r="C1" s="315" t="s">
        <v>183</v>
      </c>
      <c r="D1" s="306">
        <v>1866</v>
      </c>
      <c r="E1" s="316" t="s">
        <v>185</v>
      </c>
      <c r="F1" s="157"/>
      <c r="H1" s="156"/>
    </row>
    <row r="2" spans="1:20" s="155" customFormat="1" ht="23">
      <c r="A2" s="158"/>
      <c r="B2" s="158" t="s">
        <v>278</v>
      </c>
      <c r="C2" s="215"/>
      <c r="D2" s="159"/>
      <c r="E2" s="156"/>
      <c r="F2" s="157"/>
      <c r="H2" s="156"/>
    </row>
    <row r="3" spans="1:20" s="155" customFormat="1" ht="23">
      <c r="A3" s="158"/>
      <c r="B3" s="158" t="s">
        <v>153</v>
      </c>
      <c r="C3" s="215"/>
      <c r="E3" s="156"/>
      <c r="F3" s="157"/>
      <c r="H3" s="156"/>
    </row>
    <row r="4" spans="1:20" s="155" customFormat="1" ht="15" customHeight="1">
      <c r="A4" s="154"/>
      <c r="C4" s="215"/>
      <c r="D4" s="225" t="s">
        <v>17</v>
      </c>
      <c r="E4" s="224" t="s">
        <v>106</v>
      </c>
      <c r="F4" s="225" t="s">
        <v>114</v>
      </c>
      <c r="G4" s="225"/>
      <c r="H4" s="224" t="s">
        <v>104</v>
      </c>
      <c r="I4" s="606" t="s">
        <v>105</v>
      </c>
      <c r="J4" s="225" t="s">
        <v>106</v>
      </c>
      <c r="K4" s="225" t="s">
        <v>19</v>
      </c>
      <c r="L4" s="225" t="s">
        <v>19</v>
      </c>
      <c r="M4" s="225" t="s">
        <v>20</v>
      </c>
      <c r="N4" s="225" t="s">
        <v>20</v>
      </c>
      <c r="O4" s="225" t="s">
        <v>20</v>
      </c>
    </row>
    <row r="5" spans="1:20" s="126" customFormat="1" ht="11.5">
      <c r="A5" s="4" t="s">
        <v>2</v>
      </c>
      <c r="B5" s="113" t="s">
        <v>3</v>
      </c>
      <c r="C5" s="182" t="s">
        <v>154</v>
      </c>
      <c r="D5" s="183" t="s">
        <v>5</v>
      </c>
      <c r="E5" s="183" t="s">
        <v>7</v>
      </c>
      <c r="F5" s="184" t="s">
        <v>8</v>
      </c>
      <c r="G5" s="183" t="s">
        <v>6</v>
      </c>
      <c r="H5" s="183" t="s">
        <v>9</v>
      </c>
      <c r="I5" s="183" t="s">
        <v>116</v>
      </c>
      <c r="J5" s="184" t="s">
        <v>230</v>
      </c>
      <c r="K5" s="185" t="s">
        <v>102</v>
      </c>
      <c r="L5" s="185" t="s">
        <v>10</v>
      </c>
      <c r="M5" s="185" t="s">
        <v>157</v>
      </c>
      <c r="N5" s="186" t="s">
        <v>103</v>
      </c>
      <c r="O5" s="186" t="s">
        <v>11</v>
      </c>
      <c r="P5" s="185" t="s">
        <v>13</v>
      </c>
      <c r="Q5" s="185" t="s">
        <v>155</v>
      </c>
      <c r="R5" s="185" t="s">
        <v>156</v>
      </c>
      <c r="S5" s="127"/>
    </row>
    <row r="6" spans="1:20" s="102" customFormat="1" ht="12" customHeight="1">
      <c r="A6" s="117"/>
      <c r="B6" s="102" t="s">
        <v>182</v>
      </c>
      <c r="C6" s="206"/>
      <c r="F6" s="218"/>
      <c r="H6" s="218"/>
      <c r="K6" s="218"/>
      <c r="L6" s="218"/>
      <c r="M6" s="218"/>
      <c r="N6" s="218"/>
      <c r="O6" s="218"/>
      <c r="P6" s="112"/>
      <c r="Q6"/>
      <c r="R6"/>
      <c r="S6" s="112"/>
    </row>
    <row r="7" spans="1:20" s="102" customFormat="1" ht="12" customHeight="1">
      <c r="A7" s="117">
        <v>3</v>
      </c>
      <c r="B7" s="102" t="s">
        <v>252</v>
      </c>
      <c r="C7" s="216">
        <v>40192</v>
      </c>
      <c r="D7">
        <v>0.1</v>
      </c>
      <c r="E7" s="116">
        <v>13.2</v>
      </c>
      <c r="F7" s="101">
        <v>90</v>
      </c>
      <c r="G7">
        <v>7.92</v>
      </c>
      <c r="H7" s="116">
        <v>3.2</v>
      </c>
      <c r="I7"/>
      <c r="J7">
        <v>3</v>
      </c>
      <c r="K7">
        <v>51</v>
      </c>
      <c r="L7">
        <v>68</v>
      </c>
      <c r="M7">
        <v>3500</v>
      </c>
      <c r="N7">
        <v>210</v>
      </c>
      <c r="O7">
        <v>4400</v>
      </c>
      <c r="P7"/>
      <c r="Q7">
        <f t="shared" ref="Q7:Q70" si="0">YEAR(C7)</f>
        <v>2010</v>
      </c>
      <c r="R7">
        <f t="shared" ref="R7:R70" si="1">MONTH(C7)</f>
        <v>1</v>
      </c>
      <c r="S7"/>
      <c r="T7"/>
    </row>
    <row r="8" spans="1:20" s="102" customFormat="1" ht="12" customHeight="1">
      <c r="A8" s="117">
        <v>3</v>
      </c>
      <c r="B8" s="102" t="s">
        <v>252</v>
      </c>
      <c r="C8" s="216">
        <v>40225</v>
      </c>
      <c r="D8">
        <v>0</v>
      </c>
      <c r="E8" s="116">
        <v>9.3000000000000007</v>
      </c>
      <c r="F8" s="101">
        <v>64</v>
      </c>
      <c r="G8">
        <v>7.84</v>
      </c>
      <c r="H8" s="116">
        <v>3.9</v>
      </c>
      <c r="I8"/>
      <c r="J8">
        <v>3.2</v>
      </c>
      <c r="K8">
        <v>66</v>
      </c>
      <c r="L8">
        <v>68</v>
      </c>
      <c r="M8">
        <v>2200</v>
      </c>
      <c r="N8">
        <v>250</v>
      </c>
      <c r="O8">
        <v>3200</v>
      </c>
      <c r="P8"/>
      <c r="Q8">
        <f t="shared" si="0"/>
        <v>2010</v>
      </c>
      <c r="R8">
        <f t="shared" si="1"/>
        <v>2</v>
      </c>
      <c r="S8"/>
      <c r="T8"/>
    </row>
    <row r="9" spans="1:20" s="102" customFormat="1" ht="12" customHeight="1">
      <c r="A9" s="117">
        <v>3</v>
      </c>
      <c r="B9" s="102" t="s">
        <v>252</v>
      </c>
      <c r="C9" s="216">
        <v>40247</v>
      </c>
      <c r="D9">
        <v>1.4</v>
      </c>
      <c r="E9" s="116">
        <v>13.3</v>
      </c>
      <c r="F9" s="101">
        <v>95</v>
      </c>
      <c r="G9">
        <v>7.95</v>
      </c>
      <c r="H9" s="116">
        <v>4</v>
      </c>
      <c r="I9"/>
      <c r="J9">
        <v>4.4000000000000004</v>
      </c>
      <c r="K9">
        <v>41</v>
      </c>
      <c r="L9">
        <v>64</v>
      </c>
      <c r="M9">
        <v>3200</v>
      </c>
      <c r="N9">
        <v>250</v>
      </c>
      <c r="O9">
        <v>3900</v>
      </c>
      <c r="P9"/>
      <c r="Q9">
        <f t="shared" si="0"/>
        <v>2010</v>
      </c>
      <c r="R9">
        <f t="shared" si="1"/>
        <v>3</v>
      </c>
      <c r="S9"/>
      <c r="T9"/>
    </row>
    <row r="10" spans="1:20" s="102" customFormat="1" ht="12" customHeight="1">
      <c r="A10" s="117">
        <v>3</v>
      </c>
      <c r="B10" s="102" t="s">
        <v>252</v>
      </c>
      <c r="C10" s="216">
        <v>40290</v>
      </c>
      <c r="D10">
        <v>8</v>
      </c>
      <c r="E10" s="116">
        <v>7.6</v>
      </c>
      <c r="F10" s="101">
        <v>64</v>
      </c>
      <c r="G10">
        <v>8.09</v>
      </c>
      <c r="H10" s="116">
        <v>2.9</v>
      </c>
      <c r="I10"/>
      <c r="J10">
        <v>5.8</v>
      </c>
      <c r="K10">
        <v>8</v>
      </c>
      <c r="L10">
        <v>20</v>
      </c>
      <c r="M10">
        <v>2100</v>
      </c>
      <c r="N10">
        <v>36</v>
      </c>
      <c r="O10">
        <v>2900</v>
      </c>
      <c r="P10"/>
      <c r="Q10">
        <f t="shared" si="0"/>
        <v>2010</v>
      </c>
      <c r="R10">
        <f t="shared" si="1"/>
        <v>4</v>
      </c>
      <c r="S10"/>
      <c r="T10"/>
    </row>
    <row r="11" spans="1:20" s="102" customFormat="1" ht="12" customHeight="1">
      <c r="A11" s="117">
        <v>3</v>
      </c>
      <c r="B11" s="102" t="s">
        <v>252</v>
      </c>
      <c r="C11" s="216">
        <v>40317</v>
      </c>
      <c r="D11">
        <v>12.8</v>
      </c>
      <c r="E11" s="116">
        <v>10.199999999999999</v>
      </c>
      <c r="F11" s="101">
        <v>97</v>
      </c>
      <c r="G11">
        <v>7.97</v>
      </c>
      <c r="H11" s="116">
        <v>3</v>
      </c>
      <c r="I11"/>
      <c r="J11">
        <v>2.2999999999999998</v>
      </c>
      <c r="K11">
        <v>12</v>
      </c>
      <c r="L11">
        <v>42</v>
      </c>
      <c r="M11">
        <v>2000</v>
      </c>
      <c r="N11">
        <v>11</v>
      </c>
      <c r="O11">
        <v>2600</v>
      </c>
      <c r="P11"/>
      <c r="Q11">
        <f t="shared" si="0"/>
        <v>2010</v>
      </c>
      <c r="R11">
        <f t="shared" si="1"/>
        <v>5</v>
      </c>
      <c r="S11"/>
      <c r="T11"/>
    </row>
    <row r="12" spans="1:20" s="102" customFormat="1" ht="12" customHeight="1">
      <c r="A12" s="117">
        <v>3</v>
      </c>
      <c r="B12" s="102" t="s">
        <v>252</v>
      </c>
      <c r="C12" s="216">
        <v>40346</v>
      </c>
      <c r="D12">
        <v>16.600000000000001</v>
      </c>
      <c r="E12" s="116">
        <v>7.6</v>
      </c>
      <c r="F12" s="101">
        <v>78</v>
      </c>
      <c r="G12">
        <v>7.82</v>
      </c>
      <c r="H12" s="116">
        <v>2.2999999999999998</v>
      </c>
      <c r="I12"/>
      <c r="J12">
        <v>1.8</v>
      </c>
      <c r="K12">
        <v>47</v>
      </c>
      <c r="L12">
        <v>70</v>
      </c>
      <c r="M12">
        <v>1800</v>
      </c>
      <c r="N12">
        <v>52</v>
      </c>
      <c r="O12">
        <v>2400</v>
      </c>
      <c r="P12"/>
      <c r="Q12">
        <f t="shared" si="0"/>
        <v>2010</v>
      </c>
      <c r="R12">
        <f t="shared" si="1"/>
        <v>6</v>
      </c>
      <c r="S12"/>
      <c r="T12"/>
    </row>
    <row r="13" spans="1:20" s="102" customFormat="1" ht="12" customHeight="1">
      <c r="A13" s="117">
        <v>3</v>
      </c>
      <c r="B13" s="102" t="s">
        <v>252</v>
      </c>
      <c r="C13" s="216">
        <v>40379</v>
      </c>
      <c r="D13">
        <v>22.7</v>
      </c>
      <c r="E13" s="116">
        <v>6.07</v>
      </c>
      <c r="F13" s="101">
        <v>70</v>
      </c>
      <c r="G13">
        <v>7.65</v>
      </c>
      <c r="H13" s="116">
        <v>1.5</v>
      </c>
      <c r="I13"/>
      <c r="J13">
        <v>2</v>
      </c>
      <c r="K13">
        <v>79</v>
      </c>
      <c r="L13">
        <v>110</v>
      </c>
      <c r="M13">
        <v>1100</v>
      </c>
      <c r="N13">
        <v>38</v>
      </c>
      <c r="O13">
        <v>1900</v>
      </c>
      <c r="P13"/>
      <c r="Q13">
        <f t="shared" si="0"/>
        <v>2010</v>
      </c>
      <c r="R13">
        <f t="shared" si="1"/>
        <v>7</v>
      </c>
      <c r="S13"/>
      <c r="T13"/>
    </row>
    <row r="14" spans="1:20" s="102" customFormat="1" ht="12" customHeight="1">
      <c r="A14" s="117">
        <v>3</v>
      </c>
      <c r="B14" s="102" t="s">
        <v>252</v>
      </c>
      <c r="C14" s="216">
        <v>40416</v>
      </c>
      <c r="D14">
        <v>16.7</v>
      </c>
      <c r="E14" s="116">
        <v>8.3000000000000007</v>
      </c>
      <c r="F14" s="101">
        <v>86</v>
      </c>
      <c r="G14">
        <v>7.9</v>
      </c>
      <c r="H14" s="116">
        <v>2</v>
      </c>
      <c r="I14"/>
      <c r="J14">
        <v>1.5</v>
      </c>
      <c r="K14">
        <v>64</v>
      </c>
      <c r="L14">
        <v>86</v>
      </c>
      <c r="M14">
        <v>4400</v>
      </c>
      <c r="N14">
        <v>24</v>
      </c>
      <c r="O14">
        <v>5000</v>
      </c>
      <c r="P14"/>
      <c r="Q14">
        <f t="shared" si="0"/>
        <v>2010</v>
      </c>
      <c r="R14">
        <f t="shared" si="1"/>
        <v>8</v>
      </c>
      <c r="S14"/>
      <c r="T14"/>
    </row>
    <row r="15" spans="1:20" s="102" customFormat="1" ht="12" customHeight="1">
      <c r="A15" s="117">
        <v>3</v>
      </c>
      <c r="B15" s="102" t="s">
        <v>252</v>
      </c>
      <c r="C15" s="216">
        <v>40444</v>
      </c>
      <c r="D15">
        <v>14.1</v>
      </c>
      <c r="E15" s="116">
        <v>9.8000000000000007</v>
      </c>
      <c r="F15" s="101">
        <v>96</v>
      </c>
      <c r="G15">
        <v>7.9</v>
      </c>
      <c r="H15" s="116">
        <v>3.1</v>
      </c>
      <c r="I15"/>
      <c r="J15">
        <v>2.2999999999999998</v>
      </c>
      <c r="K15">
        <v>48</v>
      </c>
      <c r="L15">
        <v>61</v>
      </c>
      <c r="M15">
        <v>4500</v>
      </c>
      <c r="N15">
        <v>22</v>
      </c>
      <c r="O15">
        <v>5200</v>
      </c>
      <c r="P15"/>
      <c r="Q15">
        <f t="shared" si="0"/>
        <v>2010</v>
      </c>
      <c r="R15">
        <f t="shared" si="1"/>
        <v>9</v>
      </c>
      <c r="S15"/>
      <c r="T15"/>
    </row>
    <row r="16" spans="1:20" s="102" customFormat="1" ht="12" customHeight="1">
      <c r="A16" s="117">
        <v>3</v>
      </c>
      <c r="B16" s="102" t="s">
        <v>252</v>
      </c>
      <c r="C16" s="216">
        <v>40471</v>
      </c>
      <c r="D16">
        <v>8.3000000000000007</v>
      </c>
      <c r="E16" s="116">
        <v>10.199999999999999</v>
      </c>
      <c r="F16" s="101">
        <v>87</v>
      </c>
      <c r="G16">
        <v>7.99</v>
      </c>
      <c r="H16" s="116">
        <v>2.4</v>
      </c>
      <c r="I16"/>
      <c r="J16">
        <v>1.8</v>
      </c>
      <c r="K16">
        <v>32</v>
      </c>
      <c r="L16">
        <v>47</v>
      </c>
      <c r="M16">
        <v>2300</v>
      </c>
      <c r="N16">
        <v>10</v>
      </c>
      <c r="O16">
        <v>2900</v>
      </c>
      <c r="P16"/>
      <c r="Q16">
        <f t="shared" si="0"/>
        <v>2010</v>
      </c>
      <c r="R16">
        <f t="shared" si="1"/>
        <v>10</v>
      </c>
      <c r="S16"/>
      <c r="T16"/>
    </row>
    <row r="17" spans="1:20" s="102" customFormat="1" ht="12" customHeight="1">
      <c r="A17" s="117">
        <v>3</v>
      </c>
      <c r="B17" s="102" t="s">
        <v>252</v>
      </c>
      <c r="C17" s="216">
        <v>40498</v>
      </c>
      <c r="D17">
        <v>6.6</v>
      </c>
      <c r="E17" s="116">
        <v>11.1</v>
      </c>
      <c r="F17" s="101">
        <v>91</v>
      </c>
      <c r="G17">
        <v>7.9</v>
      </c>
      <c r="H17" s="116">
        <v>4.5999999999999996</v>
      </c>
      <c r="I17"/>
      <c r="J17">
        <v>0.9</v>
      </c>
      <c r="K17">
        <v>37</v>
      </c>
      <c r="L17">
        <v>100</v>
      </c>
      <c r="M17">
        <v>7200</v>
      </c>
      <c r="N17">
        <v>43</v>
      </c>
      <c r="O17">
        <v>7900</v>
      </c>
      <c r="P17"/>
      <c r="Q17">
        <f t="shared" si="0"/>
        <v>2010</v>
      </c>
      <c r="R17">
        <f t="shared" si="1"/>
        <v>11</v>
      </c>
      <c r="S17"/>
      <c r="T17"/>
    </row>
    <row r="18" spans="1:20" s="102" customFormat="1">
      <c r="A18" s="117">
        <v>3</v>
      </c>
      <c r="B18" s="102" t="s">
        <v>252</v>
      </c>
      <c r="C18" s="216">
        <v>40526</v>
      </c>
      <c r="D18">
        <v>0.1</v>
      </c>
      <c r="E18" s="116">
        <v>13.9</v>
      </c>
      <c r="F18" s="101">
        <v>95</v>
      </c>
      <c r="G18">
        <v>7.92</v>
      </c>
      <c r="H18" s="116">
        <v>4.2</v>
      </c>
      <c r="I18"/>
      <c r="J18">
        <v>3.4</v>
      </c>
      <c r="K18">
        <v>36</v>
      </c>
      <c r="L18">
        <v>54</v>
      </c>
      <c r="M18">
        <v>5100</v>
      </c>
      <c r="N18">
        <v>100</v>
      </c>
      <c r="O18">
        <v>6200</v>
      </c>
      <c r="P18"/>
      <c r="Q18">
        <f t="shared" si="0"/>
        <v>2010</v>
      </c>
      <c r="R18">
        <f t="shared" si="1"/>
        <v>12</v>
      </c>
      <c r="S18"/>
      <c r="T18"/>
    </row>
    <row r="19" spans="1:20" s="102" customFormat="1" ht="12" customHeight="1">
      <c r="A19" s="118">
        <v>3</v>
      </c>
      <c r="B19" s="102" t="s">
        <v>252</v>
      </c>
      <c r="C19" s="124">
        <v>40554</v>
      </c>
      <c r="D19" s="193">
        <v>0.2</v>
      </c>
      <c r="E19" s="193">
        <v>13.7</v>
      </c>
      <c r="F19" s="204">
        <v>94</v>
      </c>
      <c r="G19" s="193">
        <v>7.87</v>
      </c>
      <c r="H19" s="193">
        <v>6</v>
      </c>
      <c r="I19" s="193"/>
      <c r="J19" s="193">
        <v>2.6</v>
      </c>
      <c r="K19" s="189">
        <v>31</v>
      </c>
      <c r="L19" s="189">
        <v>56</v>
      </c>
      <c r="M19" s="189">
        <v>4400</v>
      </c>
      <c r="N19" s="189">
        <v>170</v>
      </c>
      <c r="O19" s="189">
        <v>5300</v>
      </c>
      <c r="P19" s="202"/>
      <c r="Q19">
        <f t="shared" si="0"/>
        <v>2011</v>
      </c>
      <c r="R19">
        <f t="shared" si="1"/>
        <v>1</v>
      </c>
      <c r="S19"/>
    </row>
    <row r="20" spans="1:20" s="102" customFormat="1" ht="12" customHeight="1">
      <c r="A20" s="117">
        <v>3</v>
      </c>
      <c r="B20" s="102" t="s">
        <v>252</v>
      </c>
      <c r="C20" s="124">
        <v>40589</v>
      </c>
      <c r="D20" s="192">
        <v>0.1</v>
      </c>
      <c r="E20" s="192">
        <v>14.1</v>
      </c>
      <c r="F20" s="204">
        <v>97</v>
      </c>
      <c r="G20" s="192">
        <v>7.95</v>
      </c>
      <c r="H20" s="192">
        <v>9.4</v>
      </c>
      <c r="I20" s="193"/>
      <c r="J20" s="193">
        <v>4.8</v>
      </c>
      <c r="K20" s="189">
        <v>36</v>
      </c>
      <c r="L20" s="195">
        <v>63</v>
      </c>
      <c r="M20" s="195">
        <v>3800</v>
      </c>
      <c r="N20" s="195">
        <v>120</v>
      </c>
      <c r="O20" s="195">
        <v>5000</v>
      </c>
      <c r="P20" s="200"/>
      <c r="Q20">
        <f t="shared" si="0"/>
        <v>2011</v>
      </c>
      <c r="R20">
        <f t="shared" si="1"/>
        <v>2</v>
      </c>
      <c r="S20"/>
    </row>
    <row r="21" spans="1:20" s="102" customFormat="1" ht="12" customHeight="1">
      <c r="A21" s="117">
        <v>3</v>
      </c>
      <c r="B21" s="102" t="s">
        <v>252</v>
      </c>
      <c r="C21" s="125">
        <v>40612</v>
      </c>
      <c r="D21" s="193">
        <v>2</v>
      </c>
      <c r="E21" s="193">
        <v>13.1</v>
      </c>
      <c r="F21" s="204">
        <v>95</v>
      </c>
      <c r="G21" s="193">
        <v>7.95</v>
      </c>
      <c r="H21" s="193">
        <v>6.8</v>
      </c>
      <c r="I21" s="193"/>
      <c r="J21" s="193">
        <v>4.3</v>
      </c>
      <c r="K21" s="189">
        <v>30</v>
      </c>
      <c r="L21" s="189">
        <v>65</v>
      </c>
      <c r="M21" s="189">
        <v>3100</v>
      </c>
      <c r="N21" s="189">
        <v>180</v>
      </c>
      <c r="O21" s="189">
        <v>4100</v>
      </c>
      <c r="P21" s="200"/>
      <c r="Q21">
        <f t="shared" si="0"/>
        <v>2011</v>
      </c>
      <c r="R21">
        <f t="shared" si="1"/>
        <v>3</v>
      </c>
      <c r="S21"/>
    </row>
    <row r="22" spans="1:20" s="102" customFormat="1" ht="12" customHeight="1">
      <c r="A22" s="117">
        <v>3</v>
      </c>
      <c r="B22" s="102" t="s">
        <v>252</v>
      </c>
      <c r="C22" s="206">
        <v>40646</v>
      </c>
      <c r="D22" s="193">
        <v>8.8000000000000007</v>
      </c>
      <c r="E22" s="193">
        <v>10.6</v>
      </c>
      <c r="F22" s="188">
        <v>92</v>
      </c>
      <c r="G22" s="193">
        <v>8.02</v>
      </c>
      <c r="H22" s="193">
        <v>3</v>
      </c>
      <c r="I22" s="193"/>
      <c r="J22" s="193">
        <v>2.25</v>
      </c>
      <c r="K22" s="189">
        <v>12</v>
      </c>
      <c r="L22" s="189">
        <v>34</v>
      </c>
      <c r="M22" s="189">
        <v>2900</v>
      </c>
      <c r="N22" s="189">
        <v>49</v>
      </c>
      <c r="O22" s="189">
        <v>3500</v>
      </c>
      <c r="P22" s="200"/>
      <c r="Q22">
        <f t="shared" si="0"/>
        <v>2011</v>
      </c>
      <c r="R22">
        <f t="shared" si="1"/>
        <v>4</v>
      </c>
      <c r="S22"/>
    </row>
    <row r="23" spans="1:20" s="102" customFormat="1" ht="12" customHeight="1">
      <c r="A23" s="117">
        <v>3</v>
      </c>
      <c r="B23" s="102" t="s">
        <v>252</v>
      </c>
      <c r="C23" s="125">
        <v>40673</v>
      </c>
      <c r="D23" s="193">
        <v>14</v>
      </c>
      <c r="E23" s="193">
        <v>9.1199999999999992</v>
      </c>
      <c r="F23" s="204">
        <v>89</v>
      </c>
      <c r="G23" s="193">
        <v>8</v>
      </c>
      <c r="H23" s="193">
        <v>2.5</v>
      </c>
      <c r="I23" s="193"/>
      <c r="J23" s="193">
        <v>3.3</v>
      </c>
      <c r="K23" s="189">
        <v>13</v>
      </c>
      <c r="L23" s="189">
        <v>42</v>
      </c>
      <c r="M23" s="189">
        <v>1500</v>
      </c>
      <c r="N23" s="189">
        <v>27</v>
      </c>
      <c r="O23" s="189">
        <v>2500</v>
      </c>
      <c r="P23" s="200"/>
      <c r="Q23">
        <f t="shared" si="0"/>
        <v>2011</v>
      </c>
      <c r="R23">
        <f t="shared" si="1"/>
        <v>5</v>
      </c>
      <c r="S23"/>
    </row>
    <row r="24" spans="1:20" s="102" customFormat="1">
      <c r="A24" s="117">
        <v>3</v>
      </c>
      <c r="B24" s="102" t="s">
        <v>252</v>
      </c>
      <c r="C24" s="213">
        <v>40710</v>
      </c>
      <c r="D24" s="193">
        <v>19.8</v>
      </c>
      <c r="E24" s="193">
        <v>7.8</v>
      </c>
      <c r="F24" s="204">
        <v>85</v>
      </c>
      <c r="G24" s="193">
        <v>7.97</v>
      </c>
      <c r="H24" s="193">
        <v>2.4</v>
      </c>
      <c r="I24" s="193"/>
      <c r="J24" s="193">
        <v>1.65</v>
      </c>
      <c r="K24" s="189">
        <v>41</v>
      </c>
      <c r="L24" s="189">
        <v>120</v>
      </c>
      <c r="M24" s="189">
        <v>1100</v>
      </c>
      <c r="N24" s="189">
        <v>16</v>
      </c>
      <c r="O24" s="189">
        <v>2200</v>
      </c>
      <c r="P24" s="200"/>
      <c r="Q24">
        <f t="shared" si="0"/>
        <v>2011</v>
      </c>
      <c r="R24">
        <f t="shared" si="1"/>
        <v>6</v>
      </c>
      <c r="S24"/>
    </row>
    <row r="25" spans="1:20" s="102" customFormat="1" ht="12" customHeight="1">
      <c r="A25" s="117">
        <v>3</v>
      </c>
      <c r="B25" s="102" t="s">
        <v>252</v>
      </c>
      <c r="C25" s="206">
        <v>40738</v>
      </c>
      <c r="D25" s="102">
        <v>19</v>
      </c>
      <c r="E25" s="102">
        <v>6.8</v>
      </c>
      <c r="F25" s="218">
        <v>73</v>
      </c>
      <c r="G25" s="102">
        <v>7.77</v>
      </c>
      <c r="H25" s="102">
        <v>1.2</v>
      </c>
      <c r="J25" s="102">
        <v>2</v>
      </c>
      <c r="K25" s="218">
        <v>59</v>
      </c>
      <c r="L25" s="218">
        <v>82</v>
      </c>
      <c r="M25" s="218">
        <v>1400</v>
      </c>
      <c r="N25" s="218">
        <v>39</v>
      </c>
      <c r="O25" s="218">
        <v>2200</v>
      </c>
      <c r="P25" s="121"/>
      <c r="Q25">
        <f t="shared" si="0"/>
        <v>2011</v>
      </c>
      <c r="R25">
        <f t="shared" si="1"/>
        <v>7</v>
      </c>
      <c r="S25" s="103"/>
    </row>
    <row r="26" spans="1:20" s="102" customFormat="1" ht="12" customHeight="1">
      <c r="A26" s="117">
        <v>3</v>
      </c>
      <c r="B26" s="102" t="s">
        <v>252</v>
      </c>
      <c r="C26" s="206">
        <v>40778</v>
      </c>
      <c r="D26" s="102">
        <v>16.899999999999999</v>
      </c>
      <c r="E26" s="102">
        <v>9.6999999999999993</v>
      </c>
      <c r="F26" s="218">
        <v>100</v>
      </c>
      <c r="G26" s="102">
        <v>7.92</v>
      </c>
      <c r="H26" s="102">
        <v>2</v>
      </c>
      <c r="J26" s="102">
        <v>2.2000000000000002</v>
      </c>
      <c r="K26" s="218">
        <v>45</v>
      </c>
      <c r="L26" s="218">
        <v>67</v>
      </c>
      <c r="M26" s="218">
        <v>2200</v>
      </c>
      <c r="N26" s="218">
        <v>22</v>
      </c>
      <c r="O26" s="218">
        <v>2900</v>
      </c>
      <c r="P26" s="111"/>
      <c r="Q26">
        <f t="shared" si="0"/>
        <v>2011</v>
      </c>
      <c r="R26">
        <f t="shared" si="1"/>
        <v>8</v>
      </c>
      <c r="S26" s="119"/>
    </row>
    <row r="27" spans="1:20" s="102" customFormat="1" ht="12" customHeight="1">
      <c r="A27" s="117">
        <v>3</v>
      </c>
      <c r="B27" s="102" t="s">
        <v>252</v>
      </c>
      <c r="C27" s="206">
        <v>40807</v>
      </c>
      <c r="D27" s="102">
        <v>14.7</v>
      </c>
      <c r="E27" s="102">
        <v>9</v>
      </c>
      <c r="F27" s="218">
        <v>89</v>
      </c>
      <c r="G27" s="102">
        <v>8.02</v>
      </c>
      <c r="H27" s="102">
        <v>4.3</v>
      </c>
      <c r="J27" s="102">
        <v>2.2000000000000002</v>
      </c>
      <c r="K27" s="218">
        <v>31</v>
      </c>
      <c r="L27" s="218">
        <v>62</v>
      </c>
      <c r="M27" s="218">
        <v>1800</v>
      </c>
      <c r="N27" s="218">
        <v>19</v>
      </c>
      <c r="O27" s="218">
        <v>2400</v>
      </c>
      <c r="P27" s="112"/>
      <c r="Q27">
        <f t="shared" si="0"/>
        <v>2011</v>
      </c>
      <c r="R27">
        <f t="shared" si="1"/>
        <v>9</v>
      </c>
      <c r="S27" s="112"/>
    </row>
    <row r="28" spans="1:20" s="102" customFormat="1" ht="12" customHeight="1">
      <c r="A28" s="117">
        <v>3</v>
      </c>
      <c r="B28" s="102" t="s">
        <v>252</v>
      </c>
      <c r="C28" s="206">
        <v>40834</v>
      </c>
      <c r="D28" s="102">
        <v>9.3000000000000007</v>
      </c>
      <c r="E28" s="102">
        <v>10.6</v>
      </c>
      <c r="F28" s="218">
        <v>93</v>
      </c>
      <c r="G28" s="102">
        <v>7.89</v>
      </c>
      <c r="H28" s="102">
        <v>3.4</v>
      </c>
      <c r="J28" s="102">
        <v>1.6</v>
      </c>
      <c r="K28" s="218">
        <v>40</v>
      </c>
      <c r="L28" s="218">
        <v>63</v>
      </c>
      <c r="M28" s="218">
        <v>3200</v>
      </c>
      <c r="N28" s="218">
        <v>55</v>
      </c>
      <c r="O28" s="218">
        <v>3900</v>
      </c>
      <c r="P28" s="112"/>
      <c r="Q28">
        <f t="shared" si="0"/>
        <v>2011</v>
      </c>
      <c r="R28">
        <f t="shared" si="1"/>
        <v>10</v>
      </c>
      <c r="S28" s="112"/>
    </row>
    <row r="29" spans="1:20" s="102" customFormat="1" ht="12" customHeight="1">
      <c r="A29" s="117">
        <v>3</v>
      </c>
      <c r="B29" s="102" t="s">
        <v>252</v>
      </c>
      <c r="C29" s="206">
        <v>40863</v>
      </c>
      <c r="D29" s="102">
        <v>5.5</v>
      </c>
      <c r="E29" s="102">
        <v>11.8</v>
      </c>
      <c r="F29" s="218">
        <v>94</v>
      </c>
      <c r="G29" s="102">
        <v>7.96</v>
      </c>
      <c r="H29" s="102">
        <v>3.2</v>
      </c>
      <c r="J29" s="102">
        <v>2.2999999999999998</v>
      </c>
      <c r="K29" s="218">
        <v>35</v>
      </c>
      <c r="L29" s="218">
        <v>54</v>
      </c>
      <c r="M29" s="218">
        <v>2000</v>
      </c>
      <c r="N29" s="218">
        <v>74</v>
      </c>
      <c r="O29" s="218">
        <v>2800</v>
      </c>
      <c r="P29" s="112"/>
      <c r="Q29">
        <f t="shared" si="0"/>
        <v>2011</v>
      </c>
      <c r="R29">
        <f t="shared" si="1"/>
        <v>11</v>
      </c>
      <c r="S29" s="112"/>
    </row>
    <row r="30" spans="1:20" s="102" customFormat="1" ht="12" customHeight="1">
      <c r="A30" s="117">
        <v>3</v>
      </c>
      <c r="B30" s="102" t="s">
        <v>252</v>
      </c>
      <c r="C30" s="206">
        <v>40896</v>
      </c>
      <c r="D30" s="102">
        <v>3.8</v>
      </c>
      <c r="E30" s="102">
        <v>14.8</v>
      </c>
      <c r="F30" s="218">
        <v>112</v>
      </c>
      <c r="G30" s="102">
        <v>7.86</v>
      </c>
      <c r="H30" s="102">
        <v>10</v>
      </c>
      <c r="J30" s="102">
        <v>2.4500000000000002</v>
      </c>
      <c r="K30" s="218">
        <v>41</v>
      </c>
      <c r="L30" s="218">
        <v>83</v>
      </c>
      <c r="M30" s="218">
        <v>5400</v>
      </c>
      <c r="N30" s="218">
        <v>63</v>
      </c>
      <c r="O30" s="218">
        <v>6000</v>
      </c>
      <c r="P30" s="112"/>
      <c r="Q30">
        <f t="shared" si="0"/>
        <v>2011</v>
      </c>
      <c r="R30">
        <f t="shared" si="1"/>
        <v>12</v>
      </c>
      <c r="S30" s="112"/>
    </row>
    <row r="31" spans="1:20" s="102" customFormat="1" ht="12" customHeight="1">
      <c r="A31" s="117">
        <v>3</v>
      </c>
      <c r="B31" s="102" t="s">
        <v>252</v>
      </c>
      <c r="C31" s="206">
        <v>40926</v>
      </c>
      <c r="D31" s="102">
        <v>2.8</v>
      </c>
      <c r="E31" s="102">
        <v>13</v>
      </c>
      <c r="F31" s="218">
        <v>95</v>
      </c>
      <c r="G31" s="102">
        <v>8</v>
      </c>
      <c r="H31" s="218">
        <v>7.2</v>
      </c>
      <c r="J31" s="102">
        <v>2.5</v>
      </c>
      <c r="K31" s="218">
        <v>38</v>
      </c>
      <c r="L31" s="218">
        <v>64</v>
      </c>
      <c r="M31" s="218">
        <v>3300</v>
      </c>
      <c r="N31" s="218">
        <v>98</v>
      </c>
      <c r="O31" s="218">
        <v>3800</v>
      </c>
      <c r="P31" s="112"/>
      <c r="Q31">
        <f t="shared" si="0"/>
        <v>2012</v>
      </c>
      <c r="R31">
        <f t="shared" si="1"/>
        <v>1</v>
      </c>
      <c r="S31" s="112"/>
    </row>
    <row r="32" spans="1:20" s="102" customFormat="1" ht="12" customHeight="1">
      <c r="A32" s="117">
        <v>3</v>
      </c>
      <c r="B32" s="102" t="s">
        <v>252</v>
      </c>
      <c r="C32" s="206">
        <v>40949</v>
      </c>
      <c r="D32" s="102">
        <v>0</v>
      </c>
      <c r="E32" s="102">
        <v>14.4</v>
      </c>
      <c r="F32" s="218">
        <v>96.3</v>
      </c>
      <c r="G32" s="102">
        <v>8</v>
      </c>
      <c r="H32" s="218">
        <v>4</v>
      </c>
      <c r="J32" s="102" t="s">
        <v>287</v>
      </c>
      <c r="K32" s="218">
        <v>30</v>
      </c>
      <c r="L32" s="218">
        <v>55</v>
      </c>
      <c r="M32" s="218">
        <v>2900</v>
      </c>
      <c r="N32" s="218">
        <v>170</v>
      </c>
      <c r="O32" s="218">
        <v>3500</v>
      </c>
      <c r="P32" s="112"/>
      <c r="Q32">
        <f t="shared" si="0"/>
        <v>2012</v>
      </c>
      <c r="R32">
        <f t="shared" si="1"/>
        <v>2</v>
      </c>
      <c r="S32" s="112"/>
    </row>
    <row r="33" spans="1:20" s="102" customFormat="1" ht="12" customHeight="1">
      <c r="A33" s="117">
        <v>3</v>
      </c>
      <c r="B33" s="102" t="s">
        <v>252</v>
      </c>
      <c r="C33" s="206">
        <v>40983</v>
      </c>
      <c r="D33" s="102">
        <v>5.6</v>
      </c>
      <c r="E33" s="102">
        <v>13.9</v>
      </c>
      <c r="F33" s="218">
        <v>100</v>
      </c>
      <c r="G33" s="102">
        <v>8.1</v>
      </c>
      <c r="H33" s="218">
        <v>4.4000000000000004</v>
      </c>
      <c r="J33" s="102">
        <v>2.2999999999999998</v>
      </c>
      <c r="K33" s="218">
        <v>19</v>
      </c>
      <c r="L33" s="218">
        <v>49</v>
      </c>
      <c r="M33" s="218">
        <v>3100</v>
      </c>
      <c r="N33" s="218">
        <v>87</v>
      </c>
      <c r="O33" s="218">
        <v>3800</v>
      </c>
      <c r="P33" s="112"/>
      <c r="Q33">
        <f t="shared" si="0"/>
        <v>2012</v>
      </c>
      <c r="R33">
        <f t="shared" si="1"/>
        <v>3</v>
      </c>
      <c r="S33" s="112"/>
    </row>
    <row r="34" spans="1:20" s="102" customFormat="1" ht="12" customHeight="1">
      <c r="A34" s="117">
        <v>3</v>
      </c>
      <c r="B34" s="102" t="s">
        <v>252</v>
      </c>
      <c r="C34" s="206">
        <v>41012</v>
      </c>
      <c r="D34" s="102">
        <v>7.6</v>
      </c>
      <c r="E34" s="102">
        <v>11</v>
      </c>
      <c r="F34" s="218">
        <v>94</v>
      </c>
      <c r="G34" s="102">
        <v>8.1</v>
      </c>
      <c r="H34" s="218">
        <v>3.1</v>
      </c>
      <c r="J34" s="102">
        <v>3</v>
      </c>
      <c r="K34" s="218">
        <v>10</v>
      </c>
      <c r="L34" s="218">
        <v>36</v>
      </c>
      <c r="M34" s="218">
        <v>2000</v>
      </c>
      <c r="N34" s="218">
        <v>140</v>
      </c>
      <c r="O34" s="218">
        <v>2600</v>
      </c>
      <c r="P34" s="112"/>
      <c r="Q34">
        <f t="shared" si="0"/>
        <v>2012</v>
      </c>
      <c r="R34">
        <f t="shared" si="1"/>
        <v>4</v>
      </c>
      <c r="S34" s="112"/>
    </row>
    <row r="35" spans="1:20" s="102" customFormat="1" ht="12" customHeight="1">
      <c r="A35" s="117">
        <v>3</v>
      </c>
      <c r="B35" s="102" t="s">
        <v>252</v>
      </c>
      <c r="C35" s="206">
        <v>41044</v>
      </c>
      <c r="D35" s="102">
        <v>13.7</v>
      </c>
      <c r="E35" s="102">
        <v>9.6999999999999993</v>
      </c>
      <c r="F35" s="218">
        <v>94</v>
      </c>
      <c r="G35" s="102">
        <v>8.1</v>
      </c>
      <c r="H35" s="218">
        <v>3.2</v>
      </c>
      <c r="J35" s="102">
        <v>2.8</v>
      </c>
      <c r="K35" s="218">
        <v>5</v>
      </c>
      <c r="L35" s="218">
        <v>44</v>
      </c>
      <c r="M35" s="218">
        <v>1300</v>
      </c>
      <c r="N35" s="218" t="s">
        <v>148</v>
      </c>
      <c r="O35" s="218">
        <v>2100</v>
      </c>
      <c r="P35" s="112"/>
      <c r="Q35">
        <f t="shared" si="0"/>
        <v>2012</v>
      </c>
      <c r="R35">
        <f t="shared" si="1"/>
        <v>5</v>
      </c>
      <c r="S35" s="112"/>
    </row>
    <row r="36" spans="1:20" s="102" customFormat="1">
      <c r="A36" s="117">
        <v>3</v>
      </c>
      <c r="B36" s="102" t="s">
        <v>252</v>
      </c>
      <c r="C36" s="206">
        <v>41078</v>
      </c>
      <c r="D36" s="102">
        <v>17.5</v>
      </c>
      <c r="E36" s="102">
        <v>8.1999999999999993</v>
      </c>
      <c r="F36" s="218">
        <v>86</v>
      </c>
      <c r="G36" s="102">
        <v>7.9</v>
      </c>
      <c r="H36" s="218">
        <v>2.2999999999999998</v>
      </c>
      <c r="J36" s="102">
        <v>1.3</v>
      </c>
      <c r="K36" s="218">
        <v>28</v>
      </c>
      <c r="L36" s="218">
        <v>66</v>
      </c>
      <c r="M36" s="218">
        <v>1200</v>
      </c>
      <c r="N36" s="218">
        <v>48</v>
      </c>
      <c r="O36" s="218">
        <v>2200</v>
      </c>
      <c r="P36" s="112"/>
      <c r="Q36">
        <f t="shared" si="0"/>
        <v>2012</v>
      </c>
      <c r="R36">
        <f t="shared" si="1"/>
        <v>6</v>
      </c>
      <c r="S36" s="112"/>
    </row>
    <row r="37" spans="1:20" s="102" customFormat="1" ht="12" customHeight="1">
      <c r="A37" s="117">
        <v>3</v>
      </c>
      <c r="B37" s="102" t="s">
        <v>252</v>
      </c>
      <c r="C37" s="206">
        <v>41101</v>
      </c>
      <c r="D37" s="102">
        <v>19.7</v>
      </c>
      <c r="E37" s="102">
        <v>7.6</v>
      </c>
      <c r="F37" s="218">
        <v>83</v>
      </c>
      <c r="G37" s="102">
        <v>7.9</v>
      </c>
      <c r="H37" s="218">
        <v>1.1000000000000001</v>
      </c>
      <c r="J37" s="102">
        <v>0.75</v>
      </c>
      <c r="K37" s="218">
        <v>49</v>
      </c>
      <c r="L37" s="218">
        <v>76</v>
      </c>
      <c r="M37" s="218">
        <v>1200</v>
      </c>
      <c r="N37" s="218">
        <v>45</v>
      </c>
      <c r="O37" s="218">
        <v>1700</v>
      </c>
      <c r="P37" s="112"/>
      <c r="Q37">
        <f t="shared" si="0"/>
        <v>2012</v>
      </c>
      <c r="R37">
        <f t="shared" si="1"/>
        <v>7</v>
      </c>
      <c r="S37" s="112"/>
    </row>
    <row r="38" spans="1:20" s="102" customFormat="1" ht="12" customHeight="1">
      <c r="A38" s="117">
        <v>3</v>
      </c>
      <c r="B38" s="102" t="s">
        <v>252</v>
      </c>
      <c r="C38" s="206">
        <v>41136</v>
      </c>
      <c r="D38" s="102">
        <v>17.8</v>
      </c>
      <c r="E38" s="102">
        <v>9.3000000000000007</v>
      </c>
      <c r="F38" s="218">
        <v>99</v>
      </c>
      <c r="G38" s="102">
        <v>8</v>
      </c>
      <c r="H38" s="218">
        <v>0.97</v>
      </c>
      <c r="J38" s="102">
        <v>1.1000000000000001</v>
      </c>
      <c r="K38" s="218">
        <v>36</v>
      </c>
      <c r="L38" s="218">
        <v>62</v>
      </c>
      <c r="M38" s="218">
        <v>690</v>
      </c>
      <c r="N38" s="218">
        <v>13</v>
      </c>
      <c r="O38" s="218">
        <v>1100</v>
      </c>
      <c r="P38" s="112"/>
      <c r="Q38">
        <f t="shared" si="0"/>
        <v>2012</v>
      </c>
      <c r="R38">
        <f t="shared" si="1"/>
        <v>8</v>
      </c>
      <c r="S38" s="112"/>
    </row>
    <row r="39" spans="1:20" s="102" customFormat="1" ht="12" customHeight="1">
      <c r="A39" s="117">
        <v>3</v>
      </c>
      <c r="B39" s="102" t="s">
        <v>252</v>
      </c>
      <c r="C39" s="206">
        <v>41169</v>
      </c>
      <c r="D39" s="102">
        <v>17.100000000000001</v>
      </c>
      <c r="E39" s="102">
        <v>8.1999999999999993</v>
      </c>
      <c r="F39" s="218">
        <v>84</v>
      </c>
      <c r="G39" s="102">
        <v>8</v>
      </c>
      <c r="H39" s="218">
        <v>1.2</v>
      </c>
      <c r="J39" s="102">
        <v>0.85</v>
      </c>
      <c r="K39" s="218">
        <v>51</v>
      </c>
      <c r="L39" s="218">
        <v>81</v>
      </c>
      <c r="M39" s="218">
        <v>860</v>
      </c>
      <c r="N39" s="218">
        <v>17</v>
      </c>
      <c r="O39" s="218">
        <v>1500</v>
      </c>
      <c r="P39" s="112"/>
      <c r="Q39">
        <f t="shared" si="0"/>
        <v>2012</v>
      </c>
      <c r="R39">
        <f t="shared" si="1"/>
        <v>9</v>
      </c>
      <c r="S39" s="112"/>
    </row>
    <row r="40" spans="1:20" s="102" customFormat="1" ht="12" customHeight="1">
      <c r="A40" s="117">
        <v>3</v>
      </c>
      <c r="B40" s="102" t="s">
        <v>252</v>
      </c>
      <c r="C40" s="206">
        <v>41193</v>
      </c>
      <c r="D40" s="102">
        <v>10.199999999999999</v>
      </c>
      <c r="E40" s="102">
        <v>9.9</v>
      </c>
      <c r="F40" s="218">
        <v>87</v>
      </c>
      <c r="G40" s="102">
        <v>8.1</v>
      </c>
      <c r="H40" s="218">
        <v>1.7</v>
      </c>
      <c r="J40" s="102">
        <v>1.4</v>
      </c>
      <c r="K40" s="218">
        <v>83</v>
      </c>
      <c r="L40" s="218">
        <v>92</v>
      </c>
      <c r="M40" s="218">
        <v>3000</v>
      </c>
      <c r="N40" s="218">
        <v>58</v>
      </c>
      <c r="O40" s="218">
        <v>3200</v>
      </c>
      <c r="P40" s="112"/>
      <c r="Q40">
        <f t="shared" si="0"/>
        <v>2012</v>
      </c>
      <c r="R40">
        <f t="shared" si="1"/>
        <v>10</v>
      </c>
      <c r="S40" s="112"/>
    </row>
    <row r="41" spans="1:20" s="102" customFormat="1" ht="12" customHeight="1">
      <c r="A41" s="117">
        <v>3</v>
      </c>
      <c r="B41" s="102" t="s">
        <v>252</v>
      </c>
      <c r="C41" s="216">
        <v>41225</v>
      </c>
      <c r="D41">
        <v>7.5</v>
      </c>
      <c r="E41" s="116">
        <v>11.1</v>
      </c>
      <c r="F41" s="101">
        <v>92</v>
      </c>
      <c r="G41">
        <v>8</v>
      </c>
      <c r="H41" s="116">
        <v>3.3</v>
      </c>
      <c r="I41"/>
      <c r="J41">
        <v>1.4</v>
      </c>
      <c r="K41">
        <v>53</v>
      </c>
      <c r="L41">
        <v>90</v>
      </c>
      <c r="M41">
        <v>3600</v>
      </c>
      <c r="N41">
        <v>73</v>
      </c>
      <c r="O41">
        <v>4500</v>
      </c>
      <c r="P41"/>
      <c r="Q41">
        <f t="shared" si="0"/>
        <v>2012</v>
      </c>
      <c r="R41">
        <f t="shared" si="1"/>
        <v>11</v>
      </c>
      <c r="S41"/>
      <c r="T41"/>
    </row>
    <row r="42" spans="1:20" s="102" customFormat="1">
      <c r="A42" s="117">
        <v>3</v>
      </c>
      <c r="B42" s="102" t="s">
        <v>252</v>
      </c>
      <c r="C42" s="206">
        <v>41263</v>
      </c>
      <c r="D42" s="102">
        <v>2.2000000000000002</v>
      </c>
      <c r="E42" s="102">
        <v>13.2</v>
      </c>
      <c r="F42" s="218">
        <v>93</v>
      </c>
      <c r="G42" s="102">
        <v>8</v>
      </c>
      <c r="H42" s="218">
        <v>7.1</v>
      </c>
      <c r="J42" s="102">
        <v>2.5</v>
      </c>
      <c r="K42" s="218">
        <v>41</v>
      </c>
      <c r="L42" s="218">
        <v>84</v>
      </c>
      <c r="M42" s="218">
        <v>7000</v>
      </c>
      <c r="N42" s="218">
        <v>120</v>
      </c>
      <c r="O42" s="218">
        <v>7900</v>
      </c>
      <c r="P42" s="112"/>
      <c r="Q42">
        <f t="shared" si="0"/>
        <v>2012</v>
      </c>
      <c r="R42">
        <f t="shared" si="1"/>
        <v>12</v>
      </c>
      <c r="S42" s="112"/>
    </row>
    <row r="43" spans="1:20" s="102" customFormat="1" ht="12" customHeight="1">
      <c r="A43" s="117">
        <v>3</v>
      </c>
      <c r="B43" s="102" t="s">
        <v>252</v>
      </c>
      <c r="C43" s="206">
        <v>41290</v>
      </c>
      <c r="D43" s="102">
        <v>0.4</v>
      </c>
      <c r="E43" s="102">
        <v>13.9</v>
      </c>
      <c r="F43" s="218">
        <v>95</v>
      </c>
      <c r="G43" s="102">
        <v>8.1</v>
      </c>
      <c r="H43" s="218">
        <v>5.3</v>
      </c>
      <c r="J43" s="102">
        <v>2.2999999999999998</v>
      </c>
      <c r="K43" s="218">
        <v>39</v>
      </c>
      <c r="L43" s="218">
        <v>68</v>
      </c>
      <c r="M43" s="218">
        <v>4300</v>
      </c>
      <c r="N43" s="218">
        <v>130</v>
      </c>
      <c r="O43" s="218">
        <v>5100</v>
      </c>
      <c r="P43" s="112"/>
      <c r="Q43">
        <f t="shared" si="0"/>
        <v>2013</v>
      </c>
      <c r="R43">
        <f t="shared" si="1"/>
        <v>1</v>
      </c>
      <c r="S43" s="112"/>
    </row>
    <row r="44" spans="1:20" s="102" customFormat="1" ht="12" customHeight="1">
      <c r="A44" s="117">
        <v>3</v>
      </c>
      <c r="B44" s="102" t="s">
        <v>252</v>
      </c>
      <c r="C44" s="206">
        <v>41323</v>
      </c>
      <c r="D44" s="102">
        <v>1.6</v>
      </c>
      <c r="E44" s="102">
        <v>12.9</v>
      </c>
      <c r="F44" s="218">
        <v>92</v>
      </c>
      <c r="G44" s="102">
        <v>8</v>
      </c>
      <c r="H44" s="218">
        <v>3.5</v>
      </c>
      <c r="J44" s="102">
        <v>2.2999999999999998</v>
      </c>
      <c r="K44" s="218">
        <v>34</v>
      </c>
      <c r="L44" s="218">
        <v>60</v>
      </c>
      <c r="M44" s="218">
        <v>3500</v>
      </c>
      <c r="N44" s="218">
        <v>81</v>
      </c>
      <c r="O44" s="218">
        <v>4300</v>
      </c>
      <c r="P44" s="112"/>
      <c r="Q44">
        <f t="shared" si="0"/>
        <v>2013</v>
      </c>
      <c r="R44">
        <f t="shared" si="1"/>
        <v>2</v>
      </c>
      <c r="S44" s="112"/>
    </row>
    <row r="45" spans="1:20" s="102" customFormat="1" ht="12" customHeight="1">
      <c r="A45" s="117">
        <v>3</v>
      </c>
      <c r="B45" s="102" t="s">
        <v>252</v>
      </c>
      <c r="C45" s="206">
        <v>41347</v>
      </c>
      <c r="D45" s="102">
        <v>0.7</v>
      </c>
      <c r="E45" s="102">
        <v>13.3</v>
      </c>
      <c r="F45" s="218">
        <v>95</v>
      </c>
      <c r="G45" s="102">
        <v>8.1</v>
      </c>
      <c r="H45" s="218">
        <v>3.4</v>
      </c>
      <c r="J45" s="102">
        <v>2.5</v>
      </c>
      <c r="K45" s="218">
        <v>13</v>
      </c>
      <c r="L45" s="218">
        <v>44</v>
      </c>
      <c r="M45" s="218">
        <v>3700</v>
      </c>
      <c r="N45" s="218">
        <v>64</v>
      </c>
      <c r="O45" s="218">
        <v>4300</v>
      </c>
      <c r="P45" s="112"/>
      <c r="Q45">
        <f t="shared" si="0"/>
        <v>2013</v>
      </c>
      <c r="R45">
        <f t="shared" si="1"/>
        <v>3</v>
      </c>
      <c r="S45" s="112"/>
    </row>
    <row r="46" spans="1:20" s="102" customFormat="1" ht="12" customHeight="1">
      <c r="A46" s="117">
        <v>3</v>
      </c>
      <c r="B46" s="102" t="s">
        <v>252</v>
      </c>
      <c r="C46" s="206">
        <v>41379</v>
      </c>
      <c r="D46" s="102">
        <v>6.2</v>
      </c>
      <c r="E46" s="102">
        <v>11.7</v>
      </c>
      <c r="F46" s="218">
        <v>95</v>
      </c>
      <c r="G46" s="102">
        <v>8.1</v>
      </c>
      <c r="H46" s="218">
        <v>2.5</v>
      </c>
      <c r="J46" s="102">
        <v>2.4</v>
      </c>
      <c r="K46" s="218">
        <v>7</v>
      </c>
      <c r="L46" s="218">
        <v>26</v>
      </c>
      <c r="M46" s="218">
        <v>1900</v>
      </c>
      <c r="N46" s="218">
        <v>35</v>
      </c>
      <c r="O46" s="218">
        <v>2900</v>
      </c>
      <c r="P46" s="112"/>
      <c r="Q46">
        <f t="shared" si="0"/>
        <v>2013</v>
      </c>
      <c r="R46">
        <f t="shared" si="1"/>
        <v>4</v>
      </c>
      <c r="S46" s="112"/>
    </row>
    <row r="47" spans="1:20" s="102" customFormat="1" ht="12" customHeight="1">
      <c r="A47" s="117">
        <v>3</v>
      </c>
      <c r="B47" s="102" t="s">
        <v>252</v>
      </c>
      <c r="C47" s="206">
        <v>41408</v>
      </c>
      <c r="D47" s="102">
        <v>15.2</v>
      </c>
      <c r="E47" s="102">
        <v>8.8000000000000007</v>
      </c>
      <c r="F47" s="218">
        <v>88</v>
      </c>
      <c r="G47" s="102">
        <v>8.1</v>
      </c>
      <c r="H47" s="218">
        <v>4</v>
      </c>
      <c r="J47" s="102">
        <v>3.7</v>
      </c>
      <c r="K47" s="218">
        <v>7</v>
      </c>
      <c r="L47" s="218">
        <v>47</v>
      </c>
      <c r="M47" s="218">
        <v>920</v>
      </c>
      <c r="N47" s="218">
        <v>25</v>
      </c>
      <c r="O47" s="218">
        <v>1700</v>
      </c>
      <c r="P47" s="112"/>
      <c r="Q47">
        <f t="shared" si="0"/>
        <v>2013</v>
      </c>
      <c r="R47">
        <f t="shared" si="1"/>
        <v>5</v>
      </c>
      <c r="S47" s="112"/>
    </row>
    <row r="48" spans="1:20" s="102" customFormat="1" ht="12" customHeight="1">
      <c r="A48" s="117">
        <v>3</v>
      </c>
      <c r="B48" s="102" t="s">
        <v>252</v>
      </c>
      <c r="C48" s="206">
        <v>41443</v>
      </c>
      <c r="D48" s="102">
        <v>18.5</v>
      </c>
      <c r="E48" s="102">
        <v>7.3</v>
      </c>
      <c r="F48" s="218">
        <v>78</v>
      </c>
      <c r="G48" s="102">
        <v>7.9</v>
      </c>
      <c r="H48" s="218">
        <v>2.8</v>
      </c>
      <c r="J48" s="102">
        <v>1.4</v>
      </c>
      <c r="K48" s="218">
        <v>41</v>
      </c>
      <c r="L48" s="218">
        <v>73</v>
      </c>
      <c r="M48" s="218">
        <v>870</v>
      </c>
      <c r="N48" s="218">
        <v>43</v>
      </c>
      <c r="O48" s="218">
        <v>1800</v>
      </c>
      <c r="P48" s="112"/>
      <c r="Q48">
        <f t="shared" si="0"/>
        <v>2013</v>
      </c>
      <c r="R48">
        <f t="shared" si="1"/>
        <v>6</v>
      </c>
      <c r="S48" s="112"/>
    </row>
    <row r="49" spans="1:19" s="102" customFormat="1" ht="12" customHeight="1">
      <c r="A49" s="117">
        <v>3</v>
      </c>
      <c r="B49" s="102" t="s">
        <v>252</v>
      </c>
      <c r="C49" s="206">
        <v>41465</v>
      </c>
      <c r="D49" s="102">
        <v>20.100000000000001</v>
      </c>
      <c r="E49" s="102">
        <v>7.8</v>
      </c>
      <c r="F49" s="218">
        <v>87</v>
      </c>
      <c r="G49" s="102">
        <v>7.9</v>
      </c>
      <c r="H49" s="218">
        <v>0.78</v>
      </c>
      <c r="J49" s="102">
        <v>0.88</v>
      </c>
      <c r="K49" s="218">
        <v>39</v>
      </c>
      <c r="L49" s="218">
        <v>64</v>
      </c>
      <c r="M49" s="218">
        <v>800</v>
      </c>
      <c r="N49" s="218">
        <v>33</v>
      </c>
      <c r="O49" s="218">
        <v>1400</v>
      </c>
      <c r="P49" s="112"/>
      <c r="Q49">
        <f t="shared" si="0"/>
        <v>2013</v>
      </c>
      <c r="R49">
        <f t="shared" si="1"/>
        <v>7</v>
      </c>
      <c r="S49" s="112"/>
    </row>
    <row r="50" spans="1:19" s="102" customFormat="1" ht="12" customHeight="1">
      <c r="A50" s="117">
        <v>3</v>
      </c>
      <c r="B50" s="102" t="s">
        <v>252</v>
      </c>
      <c r="C50" s="206">
        <v>41500</v>
      </c>
      <c r="D50" s="102">
        <v>18.399999999999999</v>
      </c>
      <c r="E50" s="102">
        <v>7.5</v>
      </c>
      <c r="F50" s="218">
        <v>79</v>
      </c>
      <c r="G50" s="102">
        <v>7.9</v>
      </c>
      <c r="H50" s="218">
        <v>1</v>
      </c>
      <c r="J50" s="102">
        <v>0.8</v>
      </c>
      <c r="K50" s="218">
        <v>53</v>
      </c>
      <c r="L50" s="218">
        <v>84</v>
      </c>
      <c r="M50" s="218">
        <v>1700</v>
      </c>
      <c r="N50" s="218">
        <v>23</v>
      </c>
      <c r="O50" s="218">
        <v>1600</v>
      </c>
      <c r="P50" s="112"/>
      <c r="Q50">
        <f t="shared" si="0"/>
        <v>2013</v>
      </c>
      <c r="R50">
        <f t="shared" si="1"/>
        <v>8</v>
      </c>
      <c r="S50" s="112"/>
    </row>
    <row r="51" spans="1:19" s="102" customFormat="1" ht="12" customHeight="1">
      <c r="A51" s="117">
        <v>3</v>
      </c>
      <c r="B51" s="102" t="s">
        <v>252</v>
      </c>
      <c r="C51" s="206">
        <v>41529</v>
      </c>
      <c r="D51" s="102">
        <v>16.3</v>
      </c>
      <c r="E51" s="102">
        <v>7.3</v>
      </c>
      <c r="F51" s="218">
        <v>75</v>
      </c>
      <c r="G51" s="102">
        <v>7.8</v>
      </c>
      <c r="H51" s="218">
        <v>1.5</v>
      </c>
      <c r="J51" s="102">
        <v>1</v>
      </c>
      <c r="K51" s="218">
        <v>16</v>
      </c>
      <c r="L51" s="218">
        <v>68</v>
      </c>
      <c r="M51" s="218">
        <v>1000</v>
      </c>
      <c r="N51" s="218">
        <v>45</v>
      </c>
      <c r="O51" s="218">
        <v>1600</v>
      </c>
      <c r="P51" s="112"/>
      <c r="Q51">
        <f t="shared" si="0"/>
        <v>2013</v>
      </c>
      <c r="R51">
        <f t="shared" si="1"/>
        <v>9</v>
      </c>
      <c r="S51" s="112"/>
    </row>
    <row r="52" spans="1:19" s="102" customFormat="1" ht="12" customHeight="1">
      <c r="A52" s="117">
        <v>3</v>
      </c>
      <c r="B52" s="102" t="s">
        <v>252</v>
      </c>
      <c r="C52" s="206">
        <v>41572</v>
      </c>
      <c r="D52" s="102">
        <v>11</v>
      </c>
      <c r="E52" s="102">
        <v>10.5</v>
      </c>
      <c r="F52" s="218">
        <v>95</v>
      </c>
      <c r="G52" s="102">
        <v>7.9</v>
      </c>
      <c r="H52" s="218">
        <v>3.5</v>
      </c>
      <c r="J52" s="102" t="s">
        <v>287</v>
      </c>
      <c r="K52" s="218">
        <v>50</v>
      </c>
      <c r="L52" s="218">
        <v>73</v>
      </c>
      <c r="M52" s="218">
        <v>5600</v>
      </c>
      <c r="N52" s="218">
        <v>46</v>
      </c>
      <c r="O52" s="218">
        <v>6700</v>
      </c>
      <c r="P52" s="112"/>
      <c r="Q52">
        <f t="shared" si="0"/>
        <v>2013</v>
      </c>
      <c r="R52">
        <f t="shared" si="1"/>
        <v>10</v>
      </c>
      <c r="S52" s="112"/>
    </row>
    <row r="53" spans="1:19" s="102" customFormat="1" ht="12" customHeight="1">
      <c r="A53" s="117">
        <v>3</v>
      </c>
      <c r="B53" s="102" t="s">
        <v>252</v>
      </c>
      <c r="C53" s="206">
        <v>41591</v>
      </c>
      <c r="D53" s="102">
        <v>7.6</v>
      </c>
      <c r="E53" s="102">
        <v>11.4</v>
      </c>
      <c r="F53" s="218">
        <v>96</v>
      </c>
      <c r="G53" s="102">
        <v>8</v>
      </c>
      <c r="H53" s="218">
        <v>7.2</v>
      </c>
      <c r="J53" s="102">
        <v>1.6</v>
      </c>
      <c r="K53" s="218">
        <v>46</v>
      </c>
      <c r="L53" s="218">
        <v>73</v>
      </c>
      <c r="M53" s="218">
        <v>8100</v>
      </c>
      <c r="N53" s="218">
        <v>36</v>
      </c>
      <c r="O53" s="218">
        <v>9200</v>
      </c>
      <c r="P53" s="112"/>
      <c r="Q53">
        <f t="shared" si="0"/>
        <v>2013</v>
      </c>
      <c r="R53">
        <f t="shared" si="1"/>
        <v>11</v>
      </c>
      <c r="S53" s="112"/>
    </row>
    <row r="54" spans="1:19" s="102" customFormat="1">
      <c r="A54" s="117">
        <v>3</v>
      </c>
      <c r="B54" s="102" t="s">
        <v>252</v>
      </c>
      <c r="C54" s="206">
        <v>41619</v>
      </c>
      <c r="D54" s="102">
        <v>5.3</v>
      </c>
      <c r="E54" s="102">
        <v>12.1</v>
      </c>
      <c r="F54" s="218">
        <v>95</v>
      </c>
      <c r="G54" s="102">
        <v>8</v>
      </c>
      <c r="H54" s="218">
        <v>5.4</v>
      </c>
      <c r="J54" s="102">
        <v>1.8</v>
      </c>
      <c r="K54" s="218">
        <v>37</v>
      </c>
      <c r="L54" s="218">
        <v>70</v>
      </c>
      <c r="M54" s="218">
        <v>7100</v>
      </c>
      <c r="N54" s="218">
        <v>97</v>
      </c>
      <c r="O54" s="218">
        <v>8500</v>
      </c>
      <c r="P54" s="112"/>
      <c r="Q54">
        <f t="shared" si="0"/>
        <v>2013</v>
      </c>
      <c r="R54">
        <f t="shared" si="1"/>
        <v>12</v>
      </c>
      <c r="S54" s="112"/>
    </row>
    <row r="55" spans="1:19" s="102" customFormat="1" ht="12" customHeight="1">
      <c r="A55" s="117">
        <v>3</v>
      </c>
      <c r="B55" s="102" t="s">
        <v>252</v>
      </c>
      <c r="C55" s="206">
        <v>41654</v>
      </c>
      <c r="D55" s="102">
        <v>2.8</v>
      </c>
      <c r="E55" s="102">
        <v>13.5</v>
      </c>
      <c r="F55" s="218">
        <v>100</v>
      </c>
      <c r="G55" s="102">
        <v>8</v>
      </c>
      <c r="H55" s="218">
        <v>7.2</v>
      </c>
      <c r="J55" s="102">
        <v>2.4</v>
      </c>
      <c r="K55" s="218">
        <v>34</v>
      </c>
      <c r="L55" s="218">
        <v>67</v>
      </c>
      <c r="M55" s="218">
        <v>4100</v>
      </c>
      <c r="N55" s="218">
        <v>90</v>
      </c>
      <c r="O55" s="218">
        <v>5300</v>
      </c>
      <c r="P55" s="112"/>
      <c r="Q55">
        <f t="shared" si="0"/>
        <v>2014</v>
      </c>
      <c r="R55">
        <f t="shared" si="1"/>
        <v>1</v>
      </c>
      <c r="S55" s="112"/>
    </row>
    <row r="56" spans="1:19" s="102" customFormat="1" ht="12" customHeight="1">
      <c r="A56" s="117">
        <v>3</v>
      </c>
      <c r="B56" s="102" t="s">
        <v>252</v>
      </c>
      <c r="C56" s="206">
        <v>41681</v>
      </c>
      <c r="D56" s="102">
        <v>2.4</v>
      </c>
      <c r="E56" s="102">
        <v>13</v>
      </c>
      <c r="F56" s="218">
        <v>98</v>
      </c>
      <c r="G56" s="102">
        <v>7.9</v>
      </c>
      <c r="H56" s="218">
        <v>6.6</v>
      </c>
      <c r="J56" s="102">
        <v>2.4</v>
      </c>
      <c r="K56" s="218">
        <v>29</v>
      </c>
      <c r="L56" s="218">
        <v>72</v>
      </c>
      <c r="M56" s="218">
        <v>5100</v>
      </c>
      <c r="N56" s="218">
        <v>45</v>
      </c>
      <c r="O56" s="218">
        <v>6000</v>
      </c>
      <c r="P56" s="112"/>
      <c r="Q56">
        <f t="shared" si="0"/>
        <v>2014</v>
      </c>
      <c r="R56">
        <f t="shared" si="1"/>
        <v>2</v>
      </c>
      <c r="S56" s="112"/>
    </row>
    <row r="57" spans="1:19" s="102" customFormat="1" ht="12" customHeight="1">
      <c r="A57" s="117">
        <v>3</v>
      </c>
      <c r="B57" s="102" t="s">
        <v>252</v>
      </c>
      <c r="C57" s="206">
        <v>41709</v>
      </c>
      <c r="D57" s="102">
        <v>6.2</v>
      </c>
      <c r="E57" s="102">
        <v>12.6</v>
      </c>
      <c r="F57" s="218">
        <v>100</v>
      </c>
      <c r="G57" s="102">
        <v>8.1</v>
      </c>
      <c r="H57" s="218">
        <v>3.2</v>
      </c>
      <c r="J57" s="102">
        <v>2.2999999999999998</v>
      </c>
      <c r="K57" s="218">
        <v>6</v>
      </c>
      <c r="L57" s="218">
        <v>34</v>
      </c>
      <c r="M57" s="218">
        <v>3100</v>
      </c>
      <c r="N57" s="218">
        <v>12</v>
      </c>
      <c r="O57" s="218">
        <v>4000</v>
      </c>
      <c r="P57" s="112"/>
      <c r="Q57">
        <f t="shared" si="0"/>
        <v>2014</v>
      </c>
      <c r="R57">
        <f t="shared" si="1"/>
        <v>3</v>
      </c>
      <c r="S57" s="112"/>
    </row>
    <row r="58" spans="1:19" s="102" customFormat="1" ht="12" customHeight="1">
      <c r="A58" s="117">
        <v>3</v>
      </c>
      <c r="B58" s="102" t="s">
        <v>252</v>
      </c>
      <c r="C58" s="206">
        <v>41743</v>
      </c>
      <c r="D58" s="102">
        <v>9.4</v>
      </c>
      <c r="E58" s="102">
        <v>11.4</v>
      </c>
      <c r="F58" s="218">
        <v>101</v>
      </c>
      <c r="G58" s="102">
        <v>8.1</v>
      </c>
      <c r="H58" s="218">
        <v>4.4000000000000004</v>
      </c>
      <c r="J58" s="102">
        <v>3.3</v>
      </c>
      <c r="K58" s="218">
        <v>3</v>
      </c>
      <c r="L58" s="218">
        <v>42</v>
      </c>
      <c r="M58" s="218">
        <v>2100</v>
      </c>
      <c r="N58" s="218" t="s">
        <v>148</v>
      </c>
      <c r="O58" s="218">
        <v>3400</v>
      </c>
      <c r="P58" s="112"/>
      <c r="Q58">
        <f t="shared" si="0"/>
        <v>2014</v>
      </c>
      <c r="R58">
        <f t="shared" si="1"/>
        <v>4</v>
      </c>
      <c r="S58" s="112"/>
    </row>
    <row r="59" spans="1:19" s="102" customFormat="1" ht="12" customHeight="1">
      <c r="A59" s="117">
        <v>3</v>
      </c>
      <c r="B59" s="102" t="s">
        <v>252</v>
      </c>
      <c r="C59" s="206">
        <v>41771</v>
      </c>
      <c r="D59" s="102">
        <v>13.3</v>
      </c>
      <c r="E59" s="102">
        <v>9.4</v>
      </c>
      <c r="F59" s="218">
        <v>95</v>
      </c>
      <c r="G59" s="102">
        <v>8.1</v>
      </c>
      <c r="H59" s="218">
        <v>4</v>
      </c>
      <c r="J59" s="102">
        <v>3</v>
      </c>
      <c r="K59" s="218">
        <v>14</v>
      </c>
      <c r="L59" s="218">
        <v>40</v>
      </c>
      <c r="M59" s="218">
        <v>1600</v>
      </c>
      <c r="N59" s="218">
        <v>57</v>
      </c>
      <c r="O59" s="218">
        <v>2500</v>
      </c>
      <c r="P59" s="112"/>
      <c r="Q59">
        <f t="shared" si="0"/>
        <v>2014</v>
      </c>
      <c r="R59">
        <f t="shared" si="1"/>
        <v>5</v>
      </c>
      <c r="S59" s="112"/>
    </row>
    <row r="60" spans="1:19" s="102" customFormat="1">
      <c r="A60" s="117">
        <v>3</v>
      </c>
      <c r="B60" s="102" t="s">
        <v>252</v>
      </c>
      <c r="C60" s="206">
        <v>41807</v>
      </c>
      <c r="D60" s="102">
        <v>19.7</v>
      </c>
      <c r="E60" s="102">
        <v>7.2</v>
      </c>
      <c r="F60" s="218">
        <v>77</v>
      </c>
      <c r="G60" s="102">
        <v>8</v>
      </c>
      <c r="H60" s="218">
        <v>1.3</v>
      </c>
      <c r="J60" s="102">
        <v>0.82</v>
      </c>
      <c r="K60" s="218">
        <v>29</v>
      </c>
      <c r="L60" s="218">
        <v>58</v>
      </c>
      <c r="M60" s="218">
        <v>1100</v>
      </c>
      <c r="N60" s="218">
        <v>33</v>
      </c>
      <c r="O60" s="218">
        <v>2000</v>
      </c>
      <c r="P60" s="112"/>
      <c r="Q60">
        <f t="shared" si="0"/>
        <v>2014</v>
      </c>
      <c r="R60">
        <f t="shared" si="1"/>
        <v>6</v>
      </c>
      <c r="S60" s="112"/>
    </row>
    <row r="61" spans="1:19" s="102" customFormat="1" ht="12" customHeight="1">
      <c r="A61" s="117">
        <v>3</v>
      </c>
      <c r="B61" s="102" t="s">
        <v>252</v>
      </c>
      <c r="C61" s="206">
        <v>41835</v>
      </c>
      <c r="D61" s="102">
        <v>20.5</v>
      </c>
      <c r="E61" s="102">
        <v>6</v>
      </c>
      <c r="F61" s="218">
        <v>66</v>
      </c>
      <c r="H61" s="218"/>
      <c r="K61" s="218">
        <v>52</v>
      </c>
      <c r="L61" s="218">
        <v>73</v>
      </c>
      <c r="M61" s="218">
        <v>710</v>
      </c>
      <c r="N61" s="218">
        <v>35</v>
      </c>
      <c r="O61" s="218">
        <v>1500</v>
      </c>
      <c r="P61" s="112"/>
      <c r="Q61">
        <f t="shared" si="0"/>
        <v>2014</v>
      </c>
      <c r="R61">
        <f t="shared" si="1"/>
        <v>7</v>
      </c>
      <c r="S61" s="112"/>
    </row>
    <row r="62" spans="1:19" s="102" customFormat="1" ht="12" customHeight="1">
      <c r="A62" s="117">
        <v>3</v>
      </c>
      <c r="B62" s="102" t="s">
        <v>252</v>
      </c>
      <c r="C62" s="206">
        <v>41863</v>
      </c>
      <c r="D62" s="102">
        <v>19.8</v>
      </c>
      <c r="E62" s="102">
        <v>6.4</v>
      </c>
      <c r="F62" s="218">
        <v>80</v>
      </c>
      <c r="G62" s="102">
        <v>7.8</v>
      </c>
      <c r="H62" s="218">
        <v>0.64</v>
      </c>
      <c r="J62" s="102">
        <v>0.56999999999999995</v>
      </c>
      <c r="K62" s="218">
        <v>62</v>
      </c>
      <c r="L62" s="218">
        <v>75</v>
      </c>
      <c r="M62" s="218">
        <v>770</v>
      </c>
      <c r="N62" s="218">
        <v>25</v>
      </c>
      <c r="O62" s="218">
        <v>1400</v>
      </c>
      <c r="P62" s="112"/>
      <c r="Q62">
        <f t="shared" si="0"/>
        <v>2014</v>
      </c>
      <c r="R62">
        <f t="shared" si="1"/>
        <v>8</v>
      </c>
      <c r="S62" s="112"/>
    </row>
    <row r="63" spans="1:19" s="102" customFormat="1" ht="12" customHeight="1">
      <c r="A63" s="117">
        <v>3</v>
      </c>
      <c r="B63" s="102" t="s">
        <v>252</v>
      </c>
      <c r="C63" s="206">
        <v>41893</v>
      </c>
      <c r="D63" s="102">
        <v>16.7</v>
      </c>
      <c r="E63" s="102">
        <v>7.4</v>
      </c>
      <c r="F63" s="218">
        <v>75</v>
      </c>
      <c r="G63" s="102">
        <v>7.9</v>
      </c>
      <c r="H63" s="218">
        <v>1.2</v>
      </c>
      <c r="J63" s="102">
        <v>1.1000000000000001</v>
      </c>
      <c r="K63" s="218">
        <v>34</v>
      </c>
      <c r="L63" s="218">
        <v>59</v>
      </c>
      <c r="M63" s="218">
        <v>920</v>
      </c>
      <c r="N63" s="218">
        <v>24</v>
      </c>
      <c r="O63" s="218">
        <v>1400</v>
      </c>
      <c r="P63" s="112"/>
      <c r="Q63">
        <f t="shared" si="0"/>
        <v>2014</v>
      </c>
      <c r="R63">
        <f t="shared" si="1"/>
        <v>9</v>
      </c>
      <c r="S63" s="112"/>
    </row>
    <row r="64" spans="1:19" s="102" customFormat="1" ht="12" customHeight="1">
      <c r="A64" s="117">
        <v>3</v>
      </c>
      <c r="B64" s="102" t="s">
        <v>252</v>
      </c>
      <c r="C64" s="206">
        <v>41929</v>
      </c>
      <c r="D64" s="102">
        <v>12.3</v>
      </c>
      <c r="E64" s="102">
        <v>8.6</v>
      </c>
      <c r="F64" s="218">
        <v>82</v>
      </c>
      <c r="G64" s="102">
        <v>7.9</v>
      </c>
      <c r="H64" s="218">
        <v>4.9000000000000004</v>
      </c>
      <c r="J64" s="102" t="s">
        <v>287</v>
      </c>
      <c r="K64" s="218">
        <v>59</v>
      </c>
      <c r="L64" s="218">
        <v>90</v>
      </c>
      <c r="M64" s="218">
        <v>4700</v>
      </c>
      <c r="N64" s="218">
        <v>75</v>
      </c>
      <c r="O64" s="218">
        <v>4700</v>
      </c>
      <c r="P64" s="112"/>
      <c r="Q64">
        <f t="shared" si="0"/>
        <v>2014</v>
      </c>
      <c r="R64">
        <f t="shared" si="1"/>
        <v>10</v>
      </c>
      <c r="S64" s="112"/>
    </row>
    <row r="65" spans="1:20" s="102" customFormat="1" ht="12" customHeight="1">
      <c r="A65" s="117">
        <v>3</v>
      </c>
      <c r="B65" s="102" t="s">
        <v>252</v>
      </c>
      <c r="C65" s="206">
        <v>41954</v>
      </c>
      <c r="D65" s="102">
        <v>9.8000000000000007</v>
      </c>
      <c r="E65" s="102">
        <v>9.9</v>
      </c>
      <c r="F65" s="218">
        <v>87</v>
      </c>
      <c r="G65" s="102">
        <v>8.1</v>
      </c>
      <c r="H65" s="218">
        <v>2.2999999999999998</v>
      </c>
      <c r="J65" s="102">
        <v>1.6</v>
      </c>
      <c r="K65" s="218">
        <v>50</v>
      </c>
      <c r="L65" s="218">
        <v>73</v>
      </c>
      <c r="M65" s="218">
        <v>3100</v>
      </c>
      <c r="N65" s="218">
        <v>45</v>
      </c>
      <c r="O65" s="218">
        <v>3700</v>
      </c>
      <c r="P65" s="112"/>
      <c r="Q65">
        <f t="shared" si="0"/>
        <v>2014</v>
      </c>
      <c r="R65">
        <f t="shared" si="1"/>
        <v>11</v>
      </c>
      <c r="S65" s="112"/>
    </row>
    <row r="66" spans="1:20" s="102" customFormat="1">
      <c r="A66" s="117">
        <v>3</v>
      </c>
      <c r="B66" s="102" t="s">
        <v>252</v>
      </c>
      <c r="C66" s="206">
        <v>41985</v>
      </c>
      <c r="D66" s="102">
        <v>4.2</v>
      </c>
      <c r="E66" s="102">
        <v>12.1</v>
      </c>
      <c r="F66" s="218">
        <v>97</v>
      </c>
      <c r="G66" s="102">
        <v>8.1</v>
      </c>
      <c r="H66" s="218">
        <v>8.1</v>
      </c>
      <c r="J66" s="102">
        <v>5.8</v>
      </c>
      <c r="K66" s="218">
        <v>53</v>
      </c>
      <c r="L66" s="218">
        <v>69</v>
      </c>
      <c r="M66" s="218">
        <v>6100</v>
      </c>
      <c r="N66" s="218">
        <v>51</v>
      </c>
      <c r="O66" s="218">
        <v>6700</v>
      </c>
      <c r="P66" s="112"/>
      <c r="Q66">
        <f t="shared" si="0"/>
        <v>2014</v>
      </c>
      <c r="R66">
        <f t="shared" si="1"/>
        <v>12</v>
      </c>
      <c r="S66" s="112"/>
    </row>
    <row r="67" spans="1:20" s="102" customFormat="1" ht="12" customHeight="1">
      <c r="A67" s="117">
        <v>3</v>
      </c>
      <c r="B67" s="102" t="s">
        <v>252</v>
      </c>
      <c r="C67" s="206">
        <v>42019</v>
      </c>
      <c r="D67" s="102">
        <v>3.2</v>
      </c>
      <c r="E67" s="102">
        <v>14.1</v>
      </c>
      <c r="F67" s="218">
        <v>106</v>
      </c>
      <c r="G67" s="102">
        <v>8</v>
      </c>
      <c r="H67" s="218">
        <v>9.3000000000000007</v>
      </c>
      <c r="J67" s="102">
        <v>1.7</v>
      </c>
      <c r="K67" s="218">
        <v>49</v>
      </c>
      <c r="L67" s="218">
        <v>79</v>
      </c>
      <c r="M67" s="218">
        <v>4600</v>
      </c>
      <c r="N67" s="218">
        <v>57</v>
      </c>
      <c r="O67" s="218">
        <v>5000</v>
      </c>
      <c r="P67" s="112"/>
      <c r="Q67">
        <f t="shared" si="0"/>
        <v>2015</v>
      </c>
      <c r="R67">
        <f t="shared" si="1"/>
        <v>1</v>
      </c>
      <c r="S67" s="112"/>
    </row>
    <row r="68" spans="1:20" s="102" customFormat="1" ht="12" customHeight="1">
      <c r="A68" s="117">
        <v>3</v>
      </c>
      <c r="B68" s="102" t="s">
        <v>252</v>
      </c>
      <c r="C68" s="216">
        <v>42045</v>
      </c>
      <c r="D68">
        <v>1.8</v>
      </c>
      <c r="E68" s="116">
        <v>14</v>
      </c>
      <c r="F68" s="101">
        <v>99</v>
      </c>
      <c r="G68">
        <v>8.1</v>
      </c>
      <c r="H68" s="116">
        <v>4</v>
      </c>
      <c r="I68"/>
      <c r="J68">
        <v>1.9</v>
      </c>
      <c r="K68">
        <v>14</v>
      </c>
      <c r="L68">
        <v>56</v>
      </c>
      <c r="M68">
        <v>4000</v>
      </c>
      <c r="N68">
        <v>110</v>
      </c>
      <c r="O68">
        <v>5000</v>
      </c>
      <c r="P68"/>
      <c r="Q68">
        <f t="shared" si="0"/>
        <v>2015</v>
      </c>
      <c r="R68">
        <f t="shared" si="1"/>
        <v>2</v>
      </c>
      <c r="S68"/>
      <c r="T68"/>
    </row>
    <row r="69" spans="1:20" s="102" customFormat="1" ht="12" customHeight="1">
      <c r="A69" s="117">
        <v>3</v>
      </c>
      <c r="B69" s="102" t="s">
        <v>252</v>
      </c>
      <c r="C69" s="216">
        <v>42075</v>
      </c>
      <c r="D69">
        <v>5.8</v>
      </c>
      <c r="E69" s="116">
        <v>12.6</v>
      </c>
      <c r="F69" s="101">
        <v>97</v>
      </c>
      <c r="G69">
        <v>8.1999999999999993</v>
      </c>
      <c r="H69" s="116">
        <v>3.4</v>
      </c>
      <c r="I69"/>
      <c r="J69">
        <v>1.8</v>
      </c>
      <c r="K69">
        <v>16</v>
      </c>
      <c r="L69">
        <v>46</v>
      </c>
      <c r="M69">
        <v>3600</v>
      </c>
      <c r="N69">
        <v>26</v>
      </c>
      <c r="O69">
        <v>4000</v>
      </c>
      <c r="P69"/>
      <c r="Q69">
        <f t="shared" si="0"/>
        <v>2015</v>
      </c>
      <c r="R69">
        <f t="shared" si="1"/>
        <v>3</v>
      </c>
      <c r="S69"/>
      <c r="T69"/>
    </row>
    <row r="70" spans="1:20" s="102" customFormat="1" ht="12" customHeight="1">
      <c r="A70" s="117">
        <v>3</v>
      </c>
      <c r="B70" s="102" t="s">
        <v>252</v>
      </c>
      <c r="C70" s="216">
        <v>42107</v>
      </c>
      <c r="D70">
        <v>9.3000000000000007</v>
      </c>
      <c r="E70" s="116">
        <v>11.2</v>
      </c>
      <c r="F70" s="101">
        <v>98</v>
      </c>
      <c r="G70">
        <v>8.1999999999999993</v>
      </c>
      <c r="H70" s="116">
        <v>2.8</v>
      </c>
      <c r="I70"/>
      <c r="J70">
        <v>2.1</v>
      </c>
      <c r="K70">
        <v>5.7</v>
      </c>
      <c r="L70">
        <v>32</v>
      </c>
      <c r="M70">
        <v>2700</v>
      </c>
      <c r="N70">
        <v>18</v>
      </c>
      <c r="O70">
        <v>3400</v>
      </c>
      <c r="P70"/>
      <c r="Q70">
        <f t="shared" si="0"/>
        <v>2015</v>
      </c>
      <c r="R70">
        <f t="shared" si="1"/>
        <v>4</v>
      </c>
      <c r="S70"/>
      <c r="T70"/>
    </row>
    <row r="71" spans="1:20" s="102" customFormat="1" ht="12" customHeight="1">
      <c r="A71" s="117">
        <v>3</v>
      </c>
      <c r="B71" s="102" t="s">
        <v>252</v>
      </c>
      <c r="C71" s="216">
        <v>42142</v>
      </c>
      <c r="D71">
        <v>13.6</v>
      </c>
      <c r="E71" s="116">
        <v>10.3</v>
      </c>
      <c r="F71" s="101">
        <v>99</v>
      </c>
      <c r="G71">
        <v>8.1</v>
      </c>
      <c r="H71" s="116">
        <v>3</v>
      </c>
      <c r="I71"/>
      <c r="J71">
        <v>2.5</v>
      </c>
      <c r="K71">
        <v>5.2</v>
      </c>
      <c r="L71">
        <v>38</v>
      </c>
      <c r="M71">
        <v>2700</v>
      </c>
      <c r="N71">
        <v>12</v>
      </c>
      <c r="O71">
        <v>2200</v>
      </c>
      <c r="P71"/>
      <c r="Q71">
        <f t="shared" ref="Q71:Q134" si="2">YEAR(C71)</f>
        <v>2015</v>
      </c>
      <c r="R71">
        <f t="shared" ref="R71:R134" si="3">MONTH(C71)</f>
        <v>5</v>
      </c>
      <c r="S71"/>
      <c r="T71"/>
    </row>
    <row r="72" spans="1:20" s="102" customFormat="1">
      <c r="A72" s="117">
        <v>3</v>
      </c>
      <c r="B72" s="102" t="s">
        <v>252</v>
      </c>
      <c r="C72" s="216">
        <v>42172</v>
      </c>
      <c r="D72">
        <v>16.399999999999999</v>
      </c>
      <c r="E72" s="116">
        <v>8.3000000000000007</v>
      </c>
      <c r="F72" s="101">
        <v>83</v>
      </c>
      <c r="G72">
        <v>7.9</v>
      </c>
      <c r="H72" s="116">
        <v>3.1</v>
      </c>
      <c r="I72"/>
      <c r="J72">
        <v>2</v>
      </c>
      <c r="K72"/>
      <c r="L72">
        <v>60</v>
      </c>
      <c r="M72">
        <v>1600</v>
      </c>
      <c r="N72">
        <v>46</v>
      </c>
      <c r="O72">
        <v>2400</v>
      </c>
      <c r="P72"/>
      <c r="Q72">
        <f t="shared" si="2"/>
        <v>2015</v>
      </c>
      <c r="R72">
        <f t="shared" si="3"/>
        <v>6</v>
      </c>
      <c r="S72"/>
      <c r="T72"/>
    </row>
    <row r="73" spans="1:20" s="102" customFormat="1" ht="12" customHeight="1">
      <c r="A73" s="117">
        <v>3</v>
      </c>
      <c r="B73" s="102" t="s">
        <v>252</v>
      </c>
      <c r="C73" s="216">
        <v>42199</v>
      </c>
      <c r="D73">
        <v>18.7</v>
      </c>
      <c r="E73" s="116">
        <v>8.1</v>
      </c>
      <c r="F73" s="101">
        <v>86</v>
      </c>
      <c r="G73">
        <v>7.9</v>
      </c>
      <c r="H73" s="116">
        <v>1.4</v>
      </c>
      <c r="I73"/>
      <c r="J73">
        <v>1.3</v>
      </c>
      <c r="K73">
        <v>38</v>
      </c>
      <c r="L73">
        <v>57</v>
      </c>
      <c r="M73">
        <v>1200</v>
      </c>
      <c r="N73">
        <v>26</v>
      </c>
      <c r="O73">
        <v>2000</v>
      </c>
      <c r="P73"/>
      <c r="Q73">
        <f t="shared" si="2"/>
        <v>2015</v>
      </c>
      <c r="R73">
        <f t="shared" si="3"/>
        <v>7</v>
      </c>
      <c r="S73"/>
      <c r="T73"/>
    </row>
    <row r="74" spans="1:20" s="102" customFormat="1" ht="12" customHeight="1">
      <c r="A74" s="117">
        <v>3</v>
      </c>
      <c r="B74" s="102" t="s">
        <v>252</v>
      </c>
      <c r="C74" s="216">
        <v>42234</v>
      </c>
      <c r="D74">
        <v>18.7</v>
      </c>
      <c r="E74" s="116">
        <v>7.9</v>
      </c>
      <c r="F74" s="101">
        <v>83</v>
      </c>
      <c r="G74">
        <v>8</v>
      </c>
      <c r="H74" s="116">
        <v>0.79</v>
      </c>
      <c r="I74"/>
      <c r="J74">
        <v>0.68</v>
      </c>
      <c r="K74">
        <v>39</v>
      </c>
      <c r="L74">
        <v>65</v>
      </c>
      <c r="M74">
        <v>820</v>
      </c>
      <c r="N74">
        <v>21</v>
      </c>
      <c r="O74">
        <v>1400</v>
      </c>
      <c r="P74"/>
      <c r="Q74">
        <f t="shared" si="2"/>
        <v>2015</v>
      </c>
      <c r="R74">
        <f t="shared" si="3"/>
        <v>8</v>
      </c>
      <c r="S74"/>
      <c r="T74"/>
    </row>
    <row r="75" spans="1:20" s="102" customFormat="1" ht="12" customHeight="1">
      <c r="A75" s="117">
        <v>3</v>
      </c>
      <c r="B75" s="102" t="s">
        <v>252</v>
      </c>
      <c r="C75" s="216">
        <v>42265</v>
      </c>
      <c r="D75">
        <v>15.3</v>
      </c>
      <c r="E75" s="116">
        <v>8.4600000000000009</v>
      </c>
      <c r="F75" s="101">
        <v>85.9</v>
      </c>
      <c r="G75">
        <v>8</v>
      </c>
      <c r="H75" s="116">
        <v>0.92</v>
      </c>
      <c r="I75"/>
      <c r="J75" t="s">
        <v>287</v>
      </c>
      <c r="K75">
        <v>35</v>
      </c>
      <c r="L75">
        <v>59</v>
      </c>
      <c r="M75">
        <v>1000</v>
      </c>
      <c r="N75">
        <v>21</v>
      </c>
      <c r="O75">
        <v>1600</v>
      </c>
      <c r="P75"/>
      <c r="Q75">
        <f t="shared" si="2"/>
        <v>2015</v>
      </c>
      <c r="R75">
        <f t="shared" si="3"/>
        <v>9</v>
      </c>
      <c r="S75"/>
      <c r="T75"/>
    </row>
    <row r="76" spans="1:20" s="102" customFormat="1" ht="12" customHeight="1">
      <c r="A76" s="117">
        <v>3</v>
      </c>
      <c r="B76" s="102" t="s">
        <v>252</v>
      </c>
      <c r="C76" s="216">
        <v>42290</v>
      </c>
      <c r="D76">
        <v>9.5</v>
      </c>
      <c r="E76" s="116">
        <v>11.5</v>
      </c>
      <c r="F76" s="101">
        <v>100</v>
      </c>
      <c r="G76">
        <v>8</v>
      </c>
      <c r="H76" s="116">
        <v>1.6</v>
      </c>
      <c r="I76"/>
      <c r="J76">
        <v>1.1000000000000001</v>
      </c>
      <c r="K76">
        <v>30</v>
      </c>
      <c r="L76">
        <v>47</v>
      </c>
      <c r="M76">
        <v>350</v>
      </c>
      <c r="N76">
        <v>15</v>
      </c>
      <c r="O76">
        <v>1500</v>
      </c>
      <c r="P76"/>
      <c r="Q76">
        <f t="shared" si="2"/>
        <v>2015</v>
      </c>
      <c r="R76">
        <f t="shared" si="3"/>
        <v>10</v>
      </c>
      <c r="S76"/>
      <c r="T76"/>
    </row>
    <row r="77" spans="1:20" s="102" customFormat="1" ht="12" customHeight="1">
      <c r="A77" s="117">
        <v>3</v>
      </c>
      <c r="B77" s="102" t="s">
        <v>252</v>
      </c>
      <c r="C77" s="216">
        <v>42325</v>
      </c>
      <c r="D77">
        <v>8.8000000000000007</v>
      </c>
      <c r="E77" s="116">
        <v>10.7</v>
      </c>
      <c r="F77" s="101">
        <v>95</v>
      </c>
      <c r="G77">
        <v>8.1</v>
      </c>
      <c r="H77" s="116">
        <v>2.1</v>
      </c>
      <c r="I77"/>
      <c r="J77">
        <v>1.5</v>
      </c>
      <c r="K77">
        <v>30</v>
      </c>
      <c r="L77">
        <v>68</v>
      </c>
      <c r="M77">
        <v>5100</v>
      </c>
      <c r="N77">
        <v>43</v>
      </c>
      <c r="O77">
        <v>5500</v>
      </c>
      <c r="P77"/>
      <c r="Q77">
        <f t="shared" si="2"/>
        <v>2015</v>
      </c>
      <c r="R77">
        <f t="shared" si="3"/>
        <v>11</v>
      </c>
      <c r="S77"/>
      <c r="T77"/>
    </row>
    <row r="78" spans="1:20" s="102" customFormat="1" ht="12" customHeight="1">
      <c r="A78" s="117">
        <v>3</v>
      </c>
      <c r="B78" s="102" t="s">
        <v>252</v>
      </c>
      <c r="C78" s="216">
        <v>42352</v>
      </c>
      <c r="D78">
        <v>4.4000000000000004</v>
      </c>
      <c r="E78" s="116">
        <v>12.9</v>
      </c>
      <c r="F78" s="101">
        <v>99</v>
      </c>
      <c r="G78">
        <v>8</v>
      </c>
      <c r="H78" s="116">
        <v>8.3000000000000007</v>
      </c>
      <c r="I78"/>
      <c r="J78">
        <v>1.6</v>
      </c>
      <c r="K78">
        <v>26</v>
      </c>
      <c r="L78" s="57">
        <v>68</v>
      </c>
      <c r="M78">
        <v>4600</v>
      </c>
      <c r="N78">
        <v>61</v>
      </c>
      <c r="O78">
        <v>6500</v>
      </c>
      <c r="P78"/>
      <c r="Q78">
        <f t="shared" si="2"/>
        <v>2015</v>
      </c>
      <c r="R78">
        <f t="shared" si="3"/>
        <v>12</v>
      </c>
      <c r="S78"/>
      <c r="T78"/>
    </row>
    <row r="79" spans="1:20" s="102" customFormat="1" ht="12" customHeight="1">
      <c r="A79" s="117">
        <v>3</v>
      </c>
      <c r="B79" s="102" t="s">
        <v>252</v>
      </c>
      <c r="C79" s="124">
        <v>42389</v>
      </c>
      <c r="D79" s="193">
        <v>0.4</v>
      </c>
      <c r="E79" s="193">
        <v>14.6</v>
      </c>
      <c r="F79" s="204">
        <v>101</v>
      </c>
      <c r="G79" s="193">
        <v>8</v>
      </c>
      <c r="H79" s="193">
        <v>4.3</v>
      </c>
      <c r="I79" s="193"/>
      <c r="J79" s="193">
        <v>1.8</v>
      </c>
      <c r="K79" s="189">
        <v>36</v>
      </c>
      <c r="L79" s="189">
        <v>65</v>
      </c>
      <c r="M79" s="189">
        <v>3400</v>
      </c>
      <c r="N79" s="189">
        <v>170</v>
      </c>
      <c r="O79" s="189">
        <v>3800</v>
      </c>
      <c r="P79" s="202"/>
      <c r="Q79">
        <f t="shared" si="2"/>
        <v>2016</v>
      </c>
      <c r="R79">
        <f t="shared" si="3"/>
        <v>1</v>
      </c>
      <c r="S79"/>
    </row>
    <row r="80" spans="1:20" s="102" customFormat="1" ht="12" customHeight="1">
      <c r="A80" s="117">
        <v>3</v>
      </c>
      <c r="B80" s="102" t="s">
        <v>252</v>
      </c>
      <c r="C80" s="124">
        <v>42416</v>
      </c>
      <c r="D80" s="192">
        <v>1.8</v>
      </c>
      <c r="E80" s="192">
        <v>13.5</v>
      </c>
      <c r="F80" s="204">
        <v>95</v>
      </c>
      <c r="G80" s="192">
        <v>8</v>
      </c>
      <c r="H80" s="192">
        <v>6.4</v>
      </c>
      <c r="I80" s="193"/>
      <c r="J80" s="193">
        <v>2.6</v>
      </c>
      <c r="K80" s="189">
        <v>40</v>
      </c>
      <c r="L80" s="195">
        <v>69</v>
      </c>
      <c r="M80" s="195">
        <v>4000</v>
      </c>
      <c r="N80" s="195">
        <v>57</v>
      </c>
      <c r="O80" s="195">
        <v>4400</v>
      </c>
      <c r="P80" s="200"/>
      <c r="Q80">
        <f t="shared" si="2"/>
        <v>2016</v>
      </c>
      <c r="R80">
        <f t="shared" si="3"/>
        <v>2</v>
      </c>
      <c r="S80"/>
    </row>
    <row r="81" spans="1:19" s="102" customFormat="1" ht="12" customHeight="1">
      <c r="A81" s="117">
        <v>3</v>
      </c>
      <c r="B81" s="102" t="s">
        <v>252</v>
      </c>
      <c r="C81" s="125">
        <v>42444</v>
      </c>
      <c r="D81" s="193">
        <v>4.3</v>
      </c>
      <c r="E81" s="193">
        <v>12.6</v>
      </c>
      <c r="F81" s="204">
        <v>95</v>
      </c>
      <c r="G81" s="193">
        <v>8.1999999999999993</v>
      </c>
      <c r="H81" s="193">
        <v>3.4</v>
      </c>
      <c r="I81" s="193"/>
      <c r="J81" s="193">
        <v>2.2999999999999998</v>
      </c>
      <c r="K81" s="189">
        <v>17</v>
      </c>
      <c r="L81" s="189">
        <v>46</v>
      </c>
      <c r="M81" s="189">
        <v>3500</v>
      </c>
      <c r="N81" s="189">
        <v>29</v>
      </c>
      <c r="O81" s="189">
        <v>3700</v>
      </c>
      <c r="P81" s="200"/>
      <c r="Q81">
        <f t="shared" si="2"/>
        <v>2016</v>
      </c>
      <c r="R81">
        <f t="shared" si="3"/>
        <v>3</v>
      </c>
      <c r="S81"/>
    </row>
    <row r="82" spans="1:19" s="102" customFormat="1" ht="12" customHeight="1">
      <c r="A82" s="117">
        <v>3</v>
      </c>
      <c r="B82" s="102" t="s">
        <v>252</v>
      </c>
      <c r="C82" s="206">
        <v>42472</v>
      </c>
      <c r="D82" s="193">
        <v>8.1999999999999993</v>
      </c>
      <c r="E82" s="193">
        <v>11.6</v>
      </c>
      <c r="F82" s="188">
        <v>99</v>
      </c>
      <c r="G82" s="193">
        <v>8.1</v>
      </c>
      <c r="H82" s="193">
        <v>2.1</v>
      </c>
      <c r="I82" s="193"/>
      <c r="J82" s="193">
        <v>1.7</v>
      </c>
      <c r="K82" s="189">
        <v>9.6999999999999993</v>
      </c>
      <c r="L82" s="189">
        <v>28</v>
      </c>
      <c r="M82" s="189">
        <v>1900</v>
      </c>
      <c r="N82" s="189">
        <v>16</v>
      </c>
      <c r="O82" s="189">
        <v>2600</v>
      </c>
      <c r="P82" s="200"/>
      <c r="Q82">
        <f t="shared" si="2"/>
        <v>2016</v>
      </c>
      <c r="R82">
        <f t="shared" si="3"/>
        <v>4</v>
      </c>
      <c r="S82"/>
    </row>
    <row r="83" spans="1:19" s="102" customFormat="1" ht="12" customHeight="1">
      <c r="A83" s="117">
        <v>3</v>
      </c>
      <c r="B83" s="102" t="s">
        <v>252</v>
      </c>
      <c r="C83" s="125">
        <v>42507</v>
      </c>
      <c r="D83" s="193">
        <v>13.6</v>
      </c>
      <c r="E83" s="193">
        <v>9.8000000000000007</v>
      </c>
      <c r="F83" s="204">
        <v>95</v>
      </c>
      <c r="G83" s="193">
        <v>8.1</v>
      </c>
      <c r="H83" s="193">
        <v>2.4</v>
      </c>
      <c r="I83" s="193"/>
      <c r="J83" s="193">
        <v>1.9</v>
      </c>
      <c r="K83" s="189">
        <v>9.5</v>
      </c>
      <c r="L83" s="189">
        <v>41</v>
      </c>
      <c r="M83" s="189">
        <v>1900</v>
      </c>
      <c r="N83" s="189">
        <v>22</v>
      </c>
      <c r="O83" s="189">
        <v>2500</v>
      </c>
      <c r="P83" s="200"/>
      <c r="Q83">
        <f t="shared" si="2"/>
        <v>2016</v>
      </c>
      <c r="R83">
        <f t="shared" si="3"/>
        <v>5</v>
      </c>
      <c r="S83"/>
    </row>
    <row r="84" spans="1:19" s="102" customFormat="1">
      <c r="A84" s="117">
        <v>3</v>
      </c>
      <c r="B84" s="102" t="s">
        <v>252</v>
      </c>
      <c r="C84" s="213">
        <v>42536</v>
      </c>
      <c r="D84" s="193">
        <v>17.100000000000001</v>
      </c>
      <c r="E84" s="193">
        <v>8.4</v>
      </c>
      <c r="F84" s="204">
        <v>84</v>
      </c>
      <c r="G84" s="193">
        <v>8</v>
      </c>
      <c r="H84" s="193">
        <v>1.4</v>
      </c>
      <c r="I84" s="193"/>
      <c r="J84" s="193">
        <v>1</v>
      </c>
      <c r="K84" s="189">
        <v>36</v>
      </c>
      <c r="L84" s="189">
        <v>54</v>
      </c>
      <c r="M84" s="189">
        <v>1400</v>
      </c>
      <c r="N84" s="189">
        <v>46</v>
      </c>
      <c r="O84" s="189">
        <v>2000</v>
      </c>
      <c r="P84" s="200"/>
      <c r="Q84">
        <f t="shared" si="2"/>
        <v>2016</v>
      </c>
      <c r="R84">
        <f t="shared" si="3"/>
        <v>6</v>
      </c>
      <c r="S84"/>
    </row>
    <row r="85" spans="1:19" s="102" customFormat="1" ht="12" customHeight="1">
      <c r="A85" s="117">
        <v>3</v>
      </c>
      <c r="B85" s="122" t="s">
        <v>252</v>
      </c>
      <c r="C85" s="124">
        <v>42563</v>
      </c>
      <c r="D85" s="193">
        <v>18.5</v>
      </c>
      <c r="E85" s="193">
        <v>7.8</v>
      </c>
      <c r="F85" s="204">
        <v>84</v>
      </c>
      <c r="G85" s="193">
        <v>7.8</v>
      </c>
      <c r="H85" s="193">
        <v>6.7</v>
      </c>
      <c r="I85" s="193"/>
      <c r="J85" s="193">
        <v>1.3</v>
      </c>
      <c r="K85" s="189">
        <v>68</v>
      </c>
      <c r="L85" s="189">
        <v>110</v>
      </c>
      <c r="M85" s="189">
        <v>3200</v>
      </c>
      <c r="N85" s="189">
        <v>32</v>
      </c>
      <c r="O85" s="189">
        <v>3600</v>
      </c>
      <c r="P85" s="202"/>
      <c r="Q85">
        <f t="shared" si="2"/>
        <v>2016</v>
      </c>
      <c r="R85">
        <f t="shared" si="3"/>
        <v>7</v>
      </c>
      <c r="S85"/>
    </row>
    <row r="86" spans="1:19" s="102" customFormat="1" ht="12" customHeight="1">
      <c r="A86" s="117">
        <v>3</v>
      </c>
      <c r="B86" s="122" t="s">
        <v>252</v>
      </c>
      <c r="C86" s="124">
        <v>42592</v>
      </c>
      <c r="D86" s="192">
        <v>17.8</v>
      </c>
      <c r="E86" s="192">
        <v>8.5</v>
      </c>
      <c r="F86" s="204">
        <v>89</v>
      </c>
      <c r="G86" s="192">
        <v>8</v>
      </c>
      <c r="H86" s="192">
        <v>0.75</v>
      </c>
      <c r="I86" s="193"/>
      <c r="J86" s="193" t="s">
        <v>287</v>
      </c>
      <c r="K86" s="189">
        <v>29</v>
      </c>
      <c r="L86" s="195">
        <v>48</v>
      </c>
      <c r="M86" s="195">
        <v>850</v>
      </c>
      <c r="N86" s="195">
        <v>17</v>
      </c>
      <c r="O86" s="195">
        <v>1400</v>
      </c>
      <c r="P86" s="200"/>
      <c r="Q86">
        <f t="shared" si="2"/>
        <v>2016</v>
      </c>
      <c r="R86">
        <f t="shared" si="3"/>
        <v>8</v>
      </c>
      <c r="S86"/>
    </row>
    <row r="87" spans="1:19" s="102" customFormat="1" ht="12" customHeight="1">
      <c r="A87" s="117">
        <v>3</v>
      </c>
      <c r="B87" s="122" t="s">
        <v>252</v>
      </c>
      <c r="C87" s="125">
        <v>42625</v>
      </c>
      <c r="D87" s="193">
        <v>17.600000000000001</v>
      </c>
      <c r="E87" s="193">
        <v>7.9</v>
      </c>
      <c r="F87" s="204">
        <v>82</v>
      </c>
      <c r="G87" s="193">
        <v>7.9</v>
      </c>
      <c r="H87" s="193">
        <v>1.6</v>
      </c>
      <c r="I87" s="193"/>
      <c r="J87" s="193">
        <v>0.77</v>
      </c>
      <c r="K87" s="189">
        <v>24</v>
      </c>
      <c r="L87" s="189">
        <v>79</v>
      </c>
      <c r="M87" s="189">
        <v>1000</v>
      </c>
      <c r="N87" s="189">
        <v>23</v>
      </c>
      <c r="O87" s="189">
        <v>1400</v>
      </c>
      <c r="P87" s="200"/>
      <c r="Q87">
        <f t="shared" si="2"/>
        <v>2016</v>
      </c>
      <c r="R87">
        <f t="shared" si="3"/>
        <v>9</v>
      </c>
      <c r="S87"/>
    </row>
    <row r="88" spans="1:19" s="102" customFormat="1" ht="12" customHeight="1">
      <c r="A88" s="117">
        <v>3</v>
      </c>
      <c r="B88" s="122" t="s">
        <v>252</v>
      </c>
      <c r="C88" s="206">
        <v>42661</v>
      </c>
      <c r="D88" s="193">
        <v>8.8000000000000007</v>
      </c>
      <c r="E88" s="193">
        <v>10.3</v>
      </c>
      <c r="F88" s="188">
        <v>88</v>
      </c>
      <c r="G88" s="193">
        <v>8</v>
      </c>
      <c r="H88" s="193">
        <v>1.2</v>
      </c>
      <c r="I88" s="193"/>
      <c r="J88" s="193">
        <v>1.1000000000000001</v>
      </c>
      <c r="K88" s="189">
        <v>35</v>
      </c>
      <c r="L88" s="189">
        <v>65</v>
      </c>
      <c r="M88" s="189">
        <v>2700</v>
      </c>
      <c r="N88" s="189">
        <v>27</v>
      </c>
      <c r="O88" s="189">
        <v>3000</v>
      </c>
      <c r="P88" s="200"/>
      <c r="Q88">
        <f t="shared" si="2"/>
        <v>2016</v>
      </c>
      <c r="R88">
        <f t="shared" si="3"/>
        <v>10</v>
      </c>
      <c r="S88"/>
    </row>
    <row r="89" spans="1:19" s="102" customFormat="1" ht="12" customHeight="1">
      <c r="A89" s="117">
        <v>3</v>
      </c>
      <c r="B89" s="122" t="s">
        <v>252</v>
      </c>
      <c r="C89" s="125">
        <v>42690</v>
      </c>
      <c r="D89" s="193">
        <v>3</v>
      </c>
      <c r="E89" s="193">
        <v>12.1</v>
      </c>
      <c r="F89" s="204">
        <v>89</v>
      </c>
      <c r="G89" s="193">
        <v>7.9</v>
      </c>
      <c r="H89" s="193">
        <v>10</v>
      </c>
      <c r="I89" s="193"/>
      <c r="J89" s="193">
        <v>2.4</v>
      </c>
      <c r="K89" s="189">
        <v>44</v>
      </c>
      <c r="L89" s="189">
        <v>96</v>
      </c>
      <c r="M89" s="189">
        <v>4000</v>
      </c>
      <c r="N89" s="189">
        <v>82</v>
      </c>
      <c r="O89" s="189">
        <v>4800</v>
      </c>
      <c r="P89" s="200"/>
      <c r="Q89">
        <f t="shared" si="2"/>
        <v>2016</v>
      </c>
      <c r="R89">
        <f t="shared" si="3"/>
        <v>11</v>
      </c>
      <c r="S89"/>
    </row>
    <row r="90" spans="1:19" s="102" customFormat="1">
      <c r="A90" s="117">
        <v>3</v>
      </c>
      <c r="B90" s="122" t="s">
        <v>252</v>
      </c>
      <c r="C90" s="213">
        <v>42724</v>
      </c>
      <c r="D90" s="193">
        <v>4.0999999999999996</v>
      </c>
      <c r="E90" s="193">
        <v>12.6</v>
      </c>
      <c r="F90" s="204">
        <v>95</v>
      </c>
      <c r="G90" s="193">
        <v>8.1</v>
      </c>
      <c r="H90" s="193">
        <v>2.2999999999999998</v>
      </c>
      <c r="I90" s="193"/>
      <c r="J90" s="193">
        <v>1.6</v>
      </c>
      <c r="K90" s="189">
        <v>36</v>
      </c>
      <c r="L90" s="189">
        <v>44</v>
      </c>
      <c r="M90" s="189">
        <v>5400</v>
      </c>
      <c r="N90" s="189">
        <v>58</v>
      </c>
      <c r="O90" s="189">
        <v>6000</v>
      </c>
      <c r="P90" s="200"/>
      <c r="Q90">
        <f t="shared" si="2"/>
        <v>2016</v>
      </c>
      <c r="R90">
        <f t="shared" si="3"/>
        <v>12</v>
      </c>
      <c r="S90"/>
    </row>
    <row r="91" spans="1:19" s="102" customFormat="1" ht="12" customHeight="1">
      <c r="A91" s="117">
        <v>3</v>
      </c>
      <c r="B91" s="102" t="s">
        <v>252</v>
      </c>
      <c r="C91" s="206">
        <v>42752</v>
      </c>
      <c r="D91" s="102">
        <v>0.3</v>
      </c>
      <c r="E91" s="102">
        <v>13.9</v>
      </c>
      <c r="F91" s="218">
        <v>94</v>
      </c>
      <c r="G91" s="102">
        <v>8</v>
      </c>
      <c r="H91" s="102">
        <v>2.8</v>
      </c>
      <c r="J91" s="102">
        <v>1.8</v>
      </c>
      <c r="K91" s="218">
        <v>34</v>
      </c>
      <c r="L91" s="218">
        <v>58</v>
      </c>
      <c r="M91" s="218">
        <v>3900</v>
      </c>
      <c r="N91" s="218">
        <v>90</v>
      </c>
      <c r="O91" s="218">
        <v>3800</v>
      </c>
      <c r="P91" s="121"/>
      <c r="Q91">
        <f t="shared" si="2"/>
        <v>2017</v>
      </c>
      <c r="R91">
        <f t="shared" si="3"/>
        <v>1</v>
      </c>
      <c r="S91" s="103"/>
    </row>
    <row r="92" spans="1:19" s="102" customFormat="1" ht="12" customHeight="1">
      <c r="A92" s="117">
        <v>3</v>
      </c>
      <c r="B92" s="102" t="s">
        <v>252</v>
      </c>
      <c r="C92" s="206">
        <v>42773</v>
      </c>
      <c r="D92" s="102">
        <v>1.8</v>
      </c>
      <c r="E92" s="102">
        <v>13.5</v>
      </c>
      <c r="F92" s="218">
        <v>96</v>
      </c>
      <c r="G92" s="102">
        <v>8.1</v>
      </c>
      <c r="H92" s="102">
        <v>1.8</v>
      </c>
      <c r="J92" s="102">
        <v>1.8</v>
      </c>
      <c r="K92" s="218">
        <v>28</v>
      </c>
      <c r="L92" s="218">
        <v>51</v>
      </c>
      <c r="M92" s="218">
        <v>3900</v>
      </c>
      <c r="N92" s="218">
        <v>54</v>
      </c>
      <c r="O92" s="218">
        <v>4200</v>
      </c>
      <c r="P92" s="111"/>
      <c r="Q92">
        <f t="shared" si="2"/>
        <v>2017</v>
      </c>
      <c r="R92">
        <f t="shared" si="3"/>
        <v>2</v>
      </c>
      <c r="S92" s="119"/>
    </row>
    <row r="93" spans="1:19" s="102" customFormat="1" ht="12" customHeight="1">
      <c r="A93" s="117">
        <v>3</v>
      </c>
      <c r="B93" s="102" t="s">
        <v>252</v>
      </c>
      <c r="C93" s="206">
        <v>42808</v>
      </c>
      <c r="D93" s="102">
        <v>3.7</v>
      </c>
      <c r="E93" s="102">
        <v>13</v>
      </c>
      <c r="F93" s="218">
        <v>97</v>
      </c>
      <c r="G93" s="102">
        <v>8.1999999999999993</v>
      </c>
      <c r="H93" s="102">
        <v>2.9</v>
      </c>
      <c r="J93" s="102">
        <v>2.6</v>
      </c>
      <c r="K93" s="218">
        <v>3.5</v>
      </c>
      <c r="L93" s="218">
        <v>42</v>
      </c>
      <c r="M93" s="218">
        <v>4000</v>
      </c>
      <c r="N93" s="218">
        <v>14</v>
      </c>
      <c r="O93" s="218">
        <v>4500</v>
      </c>
      <c r="P93" s="112"/>
      <c r="Q93">
        <f t="shared" si="2"/>
        <v>2017</v>
      </c>
      <c r="R93">
        <f t="shared" si="3"/>
        <v>3</v>
      </c>
      <c r="S93" s="112"/>
    </row>
    <row r="94" spans="1:19" s="102" customFormat="1" ht="12" customHeight="1">
      <c r="A94" s="117">
        <v>3</v>
      </c>
      <c r="B94" s="102" t="s">
        <v>252</v>
      </c>
      <c r="C94" s="206">
        <v>42837</v>
      </c>
      <c r="D94" s="102">
        <v>9.3000000000000007</v>
      </c>
      <c r="E94" s="102">
        <v>10.9</v>
      </c>
      <c r="F94" s="218">
        <v>96</v>
      </c>
      <c r="G94" s="102">
        <v>8.1</v>
      </c>
      <c r="H94" s="102">
        <v>2.6</v>
      </c>
      <c r="J94" s="102">
        <v>1.6</v>
      </c>
      <c r="K94" s="218">
        <v>9.1999999999999993</v>
      </c>
      <c r="L94" s="218">
        <v>32</v>
      </c>
      <c r="M94" s="218">
        <v>2500</v>
      </c>
      <c r="N94" s="218">
        <v>19</v>
      </c>
      <c r="O94" s="218">
        <v>3100</v>
      </c>
      <c r="P94" s="112"/>
      <c r="Q94">
        <f t="shared" si="2"/>
        <v>2017</v>
      </c>
      <c r="R94">
        <f t="shared" si="3"/>
        <v>4</v>
      </c>
      <c r="S94" s="112"/>
    </row>
    <row r="95" spans="1:19" s="102" customFormat="1" ht="12" customHeight="1">
      <c r="A95" s="117">
        <v>3</v>
      </c>
      <c r="B95" s="102" t="s">
        <v>252</v>
      </c>
      <c r="C95" s="206">
        <v>42871</v>
      </c>
      <c r="D95" s="102">
        <v>13.2</v>
      </c>
      <c r="E95" s="102">
        <v>9.4</v>
      </c>
      <c r="F95" s="218">
        <v>88</v>
      </c>
      <c r="G95" s="102">
        <v>8.1</v>
      </c>
      <c r="H95" s="102">
        <v>2.2000000000000002</v>
      </c>
      <c r="J95" s="102">
        <v>2.7</v>
      </c>
      <c r="K95" s="218">
        <v>2.9</v>
      </c>
      <c r="L95" s="218">
        <v>39</v>
      </c>
      <c r="M95" s="218">
        <v>1300</v>
      </c>
      <c r="N95" s="218">
        <v>120</v>
      </c>
      <c r="O95" s="218">
        <v>1800</v>
      </c>
      <c r="P95" s="112"/>
      <c r="Q95">
        <f t="shared" si="2"/>
        <v>2017</v>
      </c>
      <c r="R95">
        <f t="shared" si="3"/>
        <v>5</v>
      </c>
      <c r="S95" s="112"/>
    </row>
    <row r="96" spans="1:19" s="102" customFormat="1">
      <c r="A96" s="117">
        <v>3</v>
      </c>
      <c r="B96" s="102" t="s">
        <v>252</v>
      </c>
      <c r="C96" s="206">
        <v>42901</v>
      </c>
      <c r="D96" s="102">
        <v>17.7</v>
      </c>
      <c r="E96" s="102">
        <v>7.3</v>
      </c>
      <c r="F96" s="218">
        <v>77</v>
      </c>
      <c r="G96" s="102">
        <v>7.9</v>
      </c>
      <c r="H96" s="102">
        <v>1.3</v>
      </c>
      <c r="J96" s="102">
        <v>1.0900000000000001</v>
      </c>
      <c r="K96" s="218">
        <v>39</v>
      </c>
      <c r="L96" s="218">
        <v>66</v>
      </c>
      <c r="M96" s="218">
        <v>1300</v>
      </c>
      <c r="N96" s="218">
        <v>52</v>
      </c>
      <c r="O96" s="218">
        <v>2000</v>
      </c>
      <c r="P96" s="112"/>
      <c r="Q96">
        <f t="shared" si="2"/>
        <v>2017</v>
      </c>
      <c r="R96">
        <f t="shared" si="3"/>
        <v>6</v>
      </c>
      <c r="S96" s="112"/>
    </row>
    <row r="97" spans="1:19" s="102" customFormat="1" ht="12" customHeight="1">
      <c r="A97" s="117">
        <v>3</v>
      </c>
      <c r="B97" s="102" t="s">
        <v>252</v>
      </c>
      <c r="C97" s="124">
        <v>42927</v>
      </c>
      <c r="D97" s="192">
        <v>19.100000000000001</v>
      </c>
      <c r="E97" s="192">
        <v>8.1</v>
      </c>
      <c r="F97" s="204">
        <v>88</v>
      </c>
      <c r="G97" s="192">
        <v>8</v>
      </c>
      <c r="H97" s="192">
        <v>0.76</v>
      </c>
      <c r="I97" s="193"/>
      <c r="J97" s="196">
        <v>0.82</v>
      </c>
      <c r="K97" s="189">
        <v>22</v>
      </c>
      <c r="L97" s="195">
        <v>56</v>
      </c>
      <c r="M97" s="195">
        <v>1000</v>
      </c>
      <c r="N97" s="195">
        <v>24</v>
      </c>
      <c r="O97" s="195">
        <v>1600</v>
      </c>
      <c r="P97" s="201"/>
      <c r="Q97">
        <f t="shared" si="2"/>
        <v>2017</v>
      </c>
      <c r="R97">
        <f t="shared" si="3"/>
        <v>7</v>
      </c>
      <c r="S97"/>
    </row>
    <row r="98" spans="1:19" s="102" customFormat="1" ht="12" customHeight="1">
      <c r="A98" s="117">
        <v>3</v>
      </c>
      <c r="B98" s="102" t="s">
        <v>252</v>
      </c>
      <c r="C98" s="124">
        <v>42963</v>
      </c>
      <c r="D98" s="193">
        <v>18.2</v>
      </c>
      <c r="E98" s="193">
        <v>7.2</v>
      </c>
      <c r="F98" s="204">
        <v>76</v>
      </c>
      <c r="G98" s="193">
        <v>7.9</v>
      </c>
      <c r="H98" s="193">
        <v>1.5</v>
      </c>
      <c r="I98" s="193"/>
      <c r="J98" s="193">
        <v>1.1000000000000001</v>
      </c>
      <c r="K98" s="189">
        <v>23</v>
      </c>
      <c r="L98" s="189">
        <v>72</v>
      </c>
      <c r="M98" s="189">
        <v>690</v>
      </c>
      <c r="N98" s="189">
        <v>25</v>
      </c>
      <c r="O98" s="189">
        <v>1200</v>
      </c>
      <c r="P98" s="202"/>
      <c r="Q98">
        <f t="shared" si="2"/>
        <v>2017</v>
      </c>
      <c r="R98">
        <f t="shared" si="3"/>
        <v>8</v>
      </c>
      <c r="S98"/>
    </row>
    <row r="99" spans="1:19" s="102" customFormat="1" ht="12" customHeight="1">
      <c r="A99" s="117">
        <v>3</v>
      </c>
      <c r="B99" s="102" t="s">
        <v>252</v>
      </c>
      <c r="C99" s="206">
        <v>42990</v>
      </c>
      <c r="D99" s="192">
        <v>14.4</v>
      </c>
      <c r="E99" s="193">
        <v>8.3000000000000007</v>
      </c>
      <c r="F99" s="204">
        <v>81</v>
      </c>
      <c r="G99" s="193">
        <v>7.9</v>
      </c>
      <c r="H99" s="189">
        <v>2.7</v>
      </c>
      <c r="I99" s="192"/>
      <c r="J99" s="223">
        <v>1.4</v>
      </c>
      <c r="K99" s="195">
        <v>69</v>
      </c>
      <c r="L99" s="195">
        <v>97</v>
      </c>
      <c r="M99" s="195">
        <v>6400</v>
      </c>
      <c r="N99" s="195">
        <v>30</v>
      </c>
      <c r="O99" s="195">
        <v>6300</v>
      </c>
      <c r="P99" s="199"/>
      <c r="Q99">
        <f t="shared" si="2"/>
        <v>2017</v>
      </c>
      <c r="R99">
        <f t="shared" si="3"/>
        <v>9</v>
      </c>
      <c r="S99"/>
    </row>
    <row r="100" spans="1:19" s="102" customFormat="1" ht="12" customHeight="1">
      <c r="A100" s="117">
        <v>3</v>
      </c>
      <c r="B100" s="102" t="s">
        <v>252</v>
      </c>
      <c r="C100" s="124">
        <v>43027</v>
      </c>
      <c r="D100" s="192">
        <v>12.3</v>
      </c>
      <c r="E100" s="192">
        <v>9.1</v>
      </c>
      <c r="F100" s="204">
        <v>85</v>
      </c>
      <c r="G100" s="192">
        <v>8</v>
      </c>
      <c r="H100" s="192">
        <v>1.8</v>
      </c>
      <c r="I100" s="193"/>
      <c r="J100" s="193">
        <v>1.2</v>
      </c>
      <c r="K100" s="189">
        <v>42</v>
      </c>
      <c r="L100" s="195">
        <v>67</v>
      </c>
      <c r="M100" s="195">
        <v>4000</v>
      </c>
      <c r="N100" s="195">
        <v>28</v>
      </c>
      <c r="O100" s="195">
        <v>4500</v>
      </c>
      <c r="P100" s="200"/>
      <c r="Q100">
        <f t="shared" si="2"/>
        <v>2017</v>
      </c>
      <c r="R100">
        <f t="shared" si="3"/>
        <v>10</v>
      </c>
      <c r="S100"/>
    </row>
    <row r="101" spans="1:19" s="102" customFormat="1" ht="12" customHeight="1">
      <c r="A101" s="117">
        <v>3</v>
      </c>
      <c r="B101" s="102" t="s">
        <v>252</v>
      </c>
      <c r="C101" s="206">
        <v>43053</v>
      </c>
      <c r="D101" s="192">
        <v>5.0999999999999996</v>
      </c>
      <c r="E101" s="192">
        <v>12.2</v>
      </c>
      <c r="F101" s="204">
        <v>96</v>
      </c>
      <c r="G101" s="192">
        <v>8.1</v>
      </c>
      <c r="H101" s="192">
        <v>2.9</v>
      </c>
      <c r="I101" s="193"/>
      <c r="J101" s="193">
        <v>1.6</v>
      </c>
      <c r="K101" s="189">
        <v>46</v>
      </c>
      <c r="L101" s="195">
        <v>65</v>
      </c>
      <c r="M101" s="195">
        <v>3100</v>
      </c>
      <c r="N101" s="195">
        <v>32</v>
      </c>
      <c r="O101" s="195">
        <v>3600</v>
      </c>
      <c r="P101" s="200"/>
      <c r="Q101">
        <f t="shared" si="2"/>
        <v>2017</v>
      </c>
      <c r="R101">
        <f t="shared" si="3"/>
        <v>11</v>
      </c>
      <c r="S101"/>
    </row>
    <row r="102" spans="1:19" s="102" customFormat="1" ht="12" customHeight="1">
      <c r="A102" s="117">
        <v>3</v>
      </c>
      <c r="B102" s="102" t="s">
        <v>252</v>
      </c>
      <c r="C102" s="125">
        <v>43081</v>
      </c>
      <c r="D102" s="193">
        <v>3.1</v>
      </c>
      <c r="E102" s="193">
        <v>12.5</v>
      </c>
      <c r="F102" s="204">
        <v>96</v>
      </c>
      <c r="G102" s="193">
        <v>8</v>
      </c>
      <c r="H102" s="193">
        <v>5.4</v>
      </c>
      <c r="I102" s="193"/>
      <c r="J102" s="193">
        <v>1.4</v>
      </c>
      <c r="K102" s="189">
        <v>44</v>
      </c>
      <c r="L102" s="189">
        <v>65</v>
      </c>
      <c r="M102" s="189">
        <v>3800</v>
      </c>
      <c r="N102" s="189">
        <v>60</v>
      </c>
      <c r="O102" s="189">
        <v>4600</v>
      </c>
      <c r="P102" s="200"/>
      <c r="Q102">
        <f t="shared" si="2"/>
        <v>2017</v>
      </c>
      <c r="R102">
        <f t="shared" si="3"/>
        <v>12</v>
      </c>
      <c r="S102"/>
    </row>
    <row r="103" spans="1:19" s="102" customFormat="1" ht="12" customHeight="1">
      <c r="A103" s="117">
        <v>3</v>
      </c>
      <c r="B103" s="102" t="s">
        <v>252</v>
      </c>
      <c r="C103" s="206">
        <v>43117</v>
      </c>
      <c r="D103" s="102">
        <v>2.1</v>
      </c>
      <c r="E103" s="102">
        <v>13.2</v>
      </c>
      <c r="F103" s="218">
        <v>96</v>
      </c>
      <c r="G103" s="102">
        <v>7.91</v>
      </c>
      <c r="H103" s="218">
        <v>7.9</v>
      </c>
      <c r="J103" s="102">
        <v>3.1</v>
      </c>
      <c r="K103" s="218">
        <v>44</v>
      </c>
      <c r="L103" s="218">
        <v>78</v>
      </c>
      <c r="M103" s="218">
        <v>3900</v>
      </c>
      <c r="N103" s="218">
        <v>91</v>
      </c>
      <c r="O103" s="218">
        <v>10000</v>
      </c>
      <c r="P103" s="112"/>
      <c r="Q103">
        <f t="shared" si="2"/>
        <v>2018</v>
      </c>
      <c r="R103">
        <f t="shared" si="3"/>
        <v>1</v>
      </c>
      <c r="S103" s="112"/>
    </row>
    <row r="104" spans="1:19" s="102" customFormat="1" ht="12" customHeight="1">
      <c r="A104" s="117">
        <v>3</v>
      </c>
      <c r="B104" s="102" t="s">
        <v>252</v>
      </c>
      <c r="C104" s="206">
        <v>43151</v>
      </c>
      <c r="D104" s="102">
        <v>2.8</v>
      </c>
      <c r="E104" s="102">
        <v>12.7</v>
      </c>
      <c r="F104" s="218">
        <v>94</v>
      </c>
      <c r="G104" s="102">
        <v>7.81</v>
      </c>
      <c r="H104" s="218">
        <v>5.8</v>
      </c>
      <c r="J104" s="102">
        <v>3.7</v>
      </c>
      <c r="K104" s="218">
        <v>34</v>
      </c>
      <c r="L104" s="218">
        <v>60</v>
      </c>
      <c r="M104" s="218">
        <v>4200</v>
      </c>
      <c r="N104" s="218">
        <v>63</v>
      </c>
      <c r="O104" s="218">
        <v>4400</v>
      </c>
      <c r="P104" s="112"/>
      <c r="Q104">
        <f t="shared" si="2"/>
        <v>2018</v>
      </c>
      <c r="R104">
        <f t="shared" si="3"/>
        <v>2</v>
      </c>
      <c r="S104" s="112"/>
    </row>
    <row r="105" spans="1:19" s="102" customFormat="1" ht="12" customHeight="1">
      <c r="A105" s="117">
        <v>3</v>
      </c>
      <c r="B105" s="102" t="s">
        <v>252</v>
      </c>
      <c r="C105" s="206">
        <v>43172</v>
      </c>
      <c r="D105" s="102">
        <v>3.5</v>
      </c>
      <c r="E105" s="102">
        <v>12.5</v>
      </c>
      <c r="F105" s="218">
        <v>94</v>
      </c>
      <c r="G105" s="102">
        <v>7.79</v>
      </c>
      <c r="H105" s="218">
        <v>19</v>
      </c>
      <c r="J105" s="102">
        <v>5.9</v>
      </c>
      <c r="K105" s="218">
        <v>41</v>
      </c>
      <c r="L105" s="218">
        <v>100</v>
      </c>
      <c r="M105" s="218">
        <v>3000</v>
      </c>
      <c r="N105" s="218">
        <v>200</v>
      </c>
      <c r="O105" s="218">
        <v>3900</v>
      </c>
      <c r="P105" s="112"/>
      <c r="Q105">
        <f t="shared" si="2"/>
        <v>2018</v>
      </c>
      <c r="R105">
        <f t="shared" si="3"/>
        <v>3</v>
      </c>
      <c r="S105" s="112"/>
    </row>
    <row r="106" spans="1:19" s="102" customFormat="1" ht="12" customHeight="1">
      <c r="A106" s="117">
        <v>3</v>
      </c>
      <c r="B106" s="102" t="s">
        <v>252</v>
      </c>
      <c r="C106" s="206">
        <v>43200</v>
      </c>
      <c r="D106" s="102">
        <v>9.1</v>
      </c>
      <c r="E106" s="102">
        <v>13.2</v>
      </c>
      <c r="F106" s="218">
        <v>115</v>
      </c>
      <c r="G106" s="102">
        <v>8.25</v>
      </c>
      <c r="H106" s="218">
        <v>5.6</v>
      </c>
      <c r="J106" s="102">
        <v>5.6</v>
      </c>
      <c r="K106" s="218">
        <v>6.2</v>
      </c>
      <c r="L106" s="218">
        <v>40</v>
      </c>
      <c r="M106" s="218">
        <v>2800</v>
      </c>
      <c r="N106" s="218" t="s">
        <v>148</v>
      </c>
      <c r="O106" s="218">
        <v>3500</v>
      </c>
      <c r="P106" s="112"/>
      <c r="Q106">
        <f t="shared" si="2"/>
        <v>2018</v>
      </c>
      <c r="R106">
        <f t="shared" si="3"/>
        <v>4</v>
      </c>
      <c r="S106" s="112"/>
    </row>
    <row r="107" spans="1:19" s="102" customFormat="1" ht="12" customHeight="1">
      <c r="A107" s="117">
        <v>3</v>
      </c>
      <c r="B107" s="102" t="s">
        <v>252</v>
      </c>
      <c r="C107" s="206">
        <v>43229</v>
      </c>
      <c r="D107" s="102">
        <v>16.600000000000001</v>
      </c>
      <c r="E107" s="102">
        <v>8.1999999999999993</v>
      </c>
      <c r="F107" s="218">
        <v>84</v>
      </c>
      <c r="G107" s="102">
        <v>7.96</v>
      </c>
      <c r="H107" s="218">
        <v>2.8</v>
      </c>
      <c r="J107" s="102">
        <v>3.2</v>
      </c>
      <c r="K107" s="218">
        <v>14</v>
      </c>
      <c r="L107" s="218">
        <v>39</v>
      </c>
      <c r="M107" s="218">
        <v>1400</v>
      </c>
      <c r="N107" s="218">
        <v>35</v>
      </c>
      <c r="O107" s="218">
        <v>2000</v>
      </c>
      <c r="P107" s="112"/>
      <c r="Q107">
        <f t="shared" si="2"/>
        <v>2018</v>
      </c>
      <c r="R107">
        <f t="shared" si="3"/>
        <v>5</v>
      </c>
      <c r="S107" s="112"/>
    </row>
    <row r="108" spans="1:19" s="102" customFormat="1">
      <c r="A108" s="117">
        <v>3</v>
      </c>
      <c r="B108" s="102" t="s">
        <v>252</v>
      </c>
      <c r="C108" s="206">
        <v>43270</v>
      </c>
      <c r="D108" s="102">
        <v>19.600000000000001</v>
      </c>
      <c r="E108" s="102">
        <v>7.9</v>
      </c>
      <c r="F108" s="218">
        <v>86</v>
      </c>
      <c r="G108" s="102">
        <v>7.7</v>
      </c>
      <c r="H108" s="218">
        <v>0.84</v>
      </c>
      <c r="J108" s="102">
        <v>2.1</v>
      </c>
      <c r="K108" s="218">
        <v>36</v>
      </c>
      <c r="L108" s="218">
        <v>58</v>
      </c>
      <c r="M108" s="218">
        <v>1400</v>
      </c>
      <c r="N108" s="218">
        <v>30</v>
      </c>
      <c r="O108" s="218">
        <v>2000</v>
      </c>
      <c r="P108" s="112"/>
      <c r="Q108">
        <f t="shared" si="2"/>
        <v>2018</v>
      </c>
      <c r="R108">
        <f t="shared" si="3"/>
        <v>6</v>
      </c>
      <c r="S108" s="112"/>
    </row>
    <row r="109" spans="1:19" s="102" customFormat="1" ht="12" customHeight="1">
      <c r="A109" s="117">
        <v>3</v>
      </c>
      <c r="B109" s="102" t="s">
        <v>252</v>
      </c>
      <c r="C109" s="206">
        <v>43297</v>
      </c>
      <c r="D109" s="102">
        <v>21.9</v>
      </c>
      <c r="E109" s="102">
        <v>7.2</v>
      </c>
      <c r="F109" s="218">
        <v>82</v>
      </c>
      <c r="G109" s="102">
        <v>7.48</v>
      </c>
      <c r="H109" s="218">
        <v>0.9</v>
      </c>
      <c r="J109" s="102">
        <v>2.5</v>
      </c>
      <c r="K109" s="218">
        <v>38</v>
      </c>
      <c r="L109" s="218">
        <v>59</v>
      </c>
      <c r="M109" s="218">
        <v>1000</v>
      </c>
      <c r="N109" s="218">
        <v>38</v>
      </c>
      <c r="O109" s="218">
        <v>1300</v>
      </c>
      <c r="P109" s="112"/>
      <c r="Q109">
        <f t="shared" si="2"/>
        <v>2018</v>
      </c>
      <c r="R109">
        <f t="shared" si="3"/>
        <v>7</v>
      </c>
      <c r="S109" s="112"/>
    </row>
    <row r="110" spans="1:19" s="102" customFormat="1" ht="12" customHeight="1">
      <c r="A110" s="117">
        <v>3</v>
      </c>
      <c r="B110" s="102" t="s">
        <v>252</v>
      </c>
      <c r="C110" s="206">
        <v>43333</v>
      </c>
      <c r="D110" s="102">
        <v>19.899999999999999</v>
      </c>
      <c r="E110" s="102">
        <v>6.7</v>
      </c>
      <c r="F110" s="218">
        <v>73</v>
      </c>
      <c r="G110" s="102">
        <v>7.43</v>
      </c>
      <c r="H110" s="218">
        <v>1.2</v>
      </c>
      <c r="J110" s="102">
        <v>2.4</v>
      </c>
      <c r="K110" s="218">
        <v>46</v>
      </c>
      <c r="L110" s="218">
        <v>61</v>
      </c>
      <c r="M110" s="218">
        <v>910</v>
      </c>
      <c r="N110" s="218">
        <v>34</v>
      </c>
      <c r="O110" s="218">
        <v>1300</v>
      </c>
      <c r="P110" s="112"/>
      <c r="Q110">
        <f t="shared" si="2"/>
        <v>2018</v>
      </c>
      <c r="R110">
        <f t="shared" si="3"/>
        <v>8</v>
      </c>
      <c r="S110" s="112"/>
    </row>
    <row r="111" spans="1:19" s="102" customFormat="1" ht="12" customHeight="1">
      <c r="A111" s="117">
        <v>3</v>
      </c>
      <c r="B111" s="102" t="s">
        <v>252</v>
      </c>
      <c r="C111" s="206">
        <v>43361</v>
      </c>
      <c r="D111" s="102">
        <v>16.2</v>
      </c>
      <c r="E111" s="102">
        <v>7.6</v>
      </c>
      <c r="F111" s="218">
        <v>78</v>
      </c>
      <c r="G111" s="102">
        <v>7.65</v>
      </c>
      <c r="H111" s="218">
        <v>1.1000000000000001</v>
      </c>
      <c r="J111" s="102">
        <v>1.7</v>
      </c>
      <c r="K111" s="218">
        <v>40</v>
      </c>
      <c r="L111" s="218">
        <v>60</v>
      </c>
      <c r="M111" s="218">
        <v>1100</v>
      </c>
      <c r="N111" s="218">
        <v>25</v>
      </c>
      <c r="O111" s="218">
        <v>1500</v>
      </c>
      <c r="P111" s="112"/>
      <c r="Q111">
        <f t="shared" si="2"/>
        <v>2018</v>
      </c>
      <c r="R111">
        <f t="shared" si="3"/>
        <v>9</v>
      </c>
      <c r="S111" s="112"/>
    </row>
    <row r="112" spans="1:19" s="102" customFormat="1" ht="12" customHeight="1">
      <c r="A112" s="117">
        <v>3</v>
      </c>
      <c r="B112" s="102" t="s">
        <v>252</v>
      </c>
      <c r="C112" s="206">
        <v>43389</v>
      </c>
      <c r="D112" s="102">
        <v>13.5</v>
      </c>
      <c r="E112" s="102">
        <v>10.5</v>
      </c>
      <c r="F112" s="218">
        <v>101</v>
      </c>
      <c r="G112" s="102">
        <v>7.55</v>
      </c>
      <c r="H112" s="218">
        <v>1.1000000000000001</v>
      </c>
      <c r="J112" s="102">
        <v>1.8</v>
      </c>
      <c r="K112" s="218">
        <v>4.0999999999999996</v>
      </c>
      <c r="L112" s="218">
        <v>58</v>
      </c>
      <c r="M112" s="218">
        <v>2800</v>
      </c>
      <c r="N112" s="218">
        <v>24</v>
      </c>
      <c r="O112" s="218">
        <v>3000</v>
      </c>
      <c r="P112" s="112"/>
      <c r="Q112">
        <f t="shared" si="2"/>
        <v>2018</v>
      </c>
      <c r="R112">
        <f t="shared" si="3"/>
        <v>10</v>
      </c>
      <c r="S112" s="112"/>
    </row>
    <row r="113" spans="1:20" s="102" customFormat="1" ht="12" customHeight="1">
      <c r="A113" s="117">
        <v>3</v>
      </c>
      <c r="B113" s="102" t="s">
        <v>252</v>
      </c>
      <c r="C113" s="206">
        <v>43424</v>
      </c>
      <c r="D113" s="102">
        <v>7.3</v>
      </c>
      <c r="E113" s="102">
        <v>9.6</v>
      </c>
      <c r="F113" s="218">
        <v>80</v>
      </c>
      <c r="G113" s="102">
        <v>7.59</v>
      </c>
      <c r="H113" s="218">
        <v>1.5</v>
      </c>
      <c r="J113" s="102">
        <v>3.1</v>
      </c>
      <c r="K113" s="218">
        <v>36</v>
      </c>
      <c r="L113" s="218">
        <v>59</v>
      </c>
      <c r="M113" s="218">
        <v>4200</v>
      </c>
      <c r="N113" s="218">
        <v>46</v>
      </c>
      <c r="O113" s="218">
        <v>4400</v>
      </c>
      <c r="P113" s="112"/>
      <c r="Q113">
        <f t="shared" si="2"/>
        <v>2018</v>
      </c>
      <c r="R113">
        <f t="shared" si="3"/>
        <v>11</v>
      </c>
      <c r="S113" s="112"/>
    </row>
    <row r="114" spans="1:20" s="102" customFormat="1">
      <c r="A114" s="117">
        <v>3</v>
      </c>
      <c r="B114" s="102" t="s">
        <v>252</v>
      </c>
      <c r="C114" s="206">
        <v>43447</v>
      </c>
      <c r="D114" s="102">
        <v>4.3</v>
      </c>
      <c r="E114" s="102">
        <v>11.4</v>
      </c>
      <c r="F114" s="218">
        <v>88</v>
      </c>
      <c r="G114" s="102">
        <v>7.57</v>
      </c>
      <c r="H114" s="218">
        <v>2.8</v>
      </c>
      <c r="J114" s="102">
        <v>2.2000000000000002</v>
      </c>
      <c r="K114" s="218">
        <v>38</v>
      </c>
      <c r="L114" s="218">
        <v>58</v>
      </c>
      <c r="M114" s="218">
        <v>12000</v>
      </c>
      <c r="N114" s="218">
        <v>65</v>
      </c>
      <c r="O114" s="218">
        <v>12000</v>
      </c>
      <c r="P114" s="112"/>
      <c r="Q114">
        <f t="shared" si="2"/>
        <v>2018</v>
      </c>
      <c r="R114">
        <f t="shared" si="3"/>
        <v>12</v>
      </c>
      <c r="S114" s="112"/>
    </row>
    <row r="115" spans="1:20">
      <c r="A115" s="117">
        <v>3</v>
      </c>
      <c r="B115" s="102" t="s">
        <v>252</v>
      </c>
      <c r="C115" s="206">
        <v>43475</v>
      </c>
      <c r="D115" s="102">
        <v>2.6</v>
      </c>
      <c r="E115" s="102">
        <v>13.3</v>
      </c>
      <c r="F115" s="218">
        <v>98</v>
      </c>
      <c r="G115" s="102">
        <v>7.79</v>
      </c>
      <c r="H115" s="218">
        <v>3</v>
      </c>
      <c r="I115" s="102"/>
      <c r="J115" s="102">
        <v>4.4000000000000004</v>
      </c>
      <c r="K115" s="218">
        <v>34</v>
      </c>
      <c r="L115" s="218">
        <v>56</v>
      </c>
      <c r="M115" s="218">
        <v>7000</v>
      </c>
      <c r="N115" s="218">
        <v>140</v>
      </c>
      <c r="O115" s="218">
        <v>7200</v>
      </c>
      <c r="P115" s="112"/>
      <c r="Q115">
        <f t="shared" si="2"/>
        <v>2019</v>
      </c>
      <c r="R115">
        <f t="shared" si="3"/>
        <v>1</v>
      </c>
      <c r="S115" s="112"/>
      <c r="T115" s="102"/>
    </row>
    <row r="116" spans="1:20">
      <c r="A116" s="117">
        <v>3</v>
      </c>
      <c r="B116" s="102" t="s">
        <v>252</v>
      </c>
      <c r="C116" s="206">
        <v>43515</v>
      </c>
      <c r="D116" s="102">
        <v>5.6</v>
      </c>
      <c r="E116" s="102">
        <v>12.7</v>
      </c>
      <c r="F116" s="218">
        <v>101</v>
      </c>
      <c r="G116" s="102">
        <v>8.08</v>
      </c>
      <c r="H116" s="218">
        <v>5.3</v>
      </c>
      <c r="I116" s="102"/>
      <c r="J116" s="102">
        <v>3.7</v>
      </c>
      <c r="K116" s="218">
        <v>3.1</v>
      </c>
      <c r="L116" s="218">
        <v>58</v>
      </c>
      <c r="M116" s="218">
        <v>6000</v>
      </c>
      <c r="N116" s="218" t="s">
        <v>148</v>
      </c>
      <c r="O116" s="218">
        <v>6400</v>
      </c>
      <c r="P116" s="112"/>
      <c r="Q116">
        <f t="shared" si="2"/>
        <v>2019</v>
      </c>
      <c r="R116">
        <f t="shared" si="3"/>
        <v>2</v>
      </c>
      <c r="S116" s="112"/>
      <c r="T116" s="102"/>
    </row>
    <row r="117" spans="1:20">
      <c r="A117" s="117">
        <v>3</v>
      </c>
      <c r="B117" s="102" t="s">
        <v>252</v>
      </c>
      <c r="C117" s="206">
        <v>43536</v>
      </c>
      <c r="D117" s="102">
        <v>4.4000000000000004</v>
      </c>
      <c r="E117" s="102">
        <v>13.8</v>
      </c>
      <c r="F117" s="218">
        <v>107</v>
      </c>
      <c r="G117" s="102">
        <v>8.1300000000000008</v>
      </c>
      <c r="H117" s="218">
        <v>6.4</v>
      </c>
      <c r="I117" s="102"/>
      <c r="J117" s="102">
        <v>4.5999999999999996</v>
      </c>
      <c r="K117" s="218">
        <v>11</v>
      </c>
      <c r="L117" s="218">
        <v>59</v>
      </c>
      <c r="M117" s="218">
        <v>6500</v>
      </c>
      <c r="N117" s="218">
        <v>10</v>
      </c>
      <c r="O117" s="218">
        <v>7100</v>
      </c>
      <c r="P117" s="112"/>
      <c r="Q117">
        <f t="shared" si="2"/>
        <v>2019</v>
      </c>
      <c r="R117">
        <f t="shared" si="3"/>
        <v>3</v>
      </c>
      <c r="S117" s="112"/>
      <c r="T117" s="102"/>
    </row>
    <row r="118" spans="1:20">
      <c r="A118" s="117">
        <v>3</v>
      </c>
      <c r="B118" s="102" t="s">
        <v>252</v>
      </c>
      <c r="C118" s="206">
        <v>43571</v>
      </c>
      <c r="D118" s="102">
        <v>8.3000000000000007</v>
      </c>
      <c r="E118" s="102">
        <v>14</v>
      </c>
      <c r="F118" s="218">
        <v>119</v>
      </c>
      <c r="G118" s="102">
        <v>8.11</v>
      </c>
      <c r="H118" s="218">
        <v>2.4</v>
      </c>
      <c r="I118" s="102"/>
      <c r="J118" s="102">
        <v>4.0999999999999996</v>
      </c>
      <c r="K118" s="218">
        <v>3.9</v>
      </c>
      <c r="L118" s="218">
        <v>21</v>
      </c>
      <c r="M118" s="218">
        <v>2200</v>
      </c>
      <c r="N118" s="218">
        <v>22</v>
      </c>
      <c r="O118" s="218">
        <v>3100</v>
      </c>
      <c r="P118" s="112"/>
      <c r="Q118">
        <f t="shared" si="2"/>
        <v>2019</v>
      </c>
      <c r="R118">
        <f t="shared" si="3"/>
        <v>4</v>
      </c>
      <c r="S118" s="112"/>
      <c r="T118" s="102"/>
    </row>
    <row r="119" spans="1:20">
      <c r="A119" s="117">
        <v>3</v>
      </c>
      <c r="B119" s="102" t="s">
        <v>252</v>
      </c>
      <c r="C119" s="206">
        <v>43600</v>
      </c>
      <c r="D119" s="102">
        <v>14.2</v>
      </c>
      <c r="E119" s="102">
        <v>9.6</v>
      </c>
      <c r="F119" s="218">
        <v>94</v>
      </c>
      <c r="G119" s="102">
        <v>7.98</v>
      </c>
      <c r="H119" s="218">
        <v>2.2999999999999998</v>
      </c>
      <c r="I119" s="102"/>
      <c r="J119" s="102">
        <v>3.8</v>
      </c>
      <c r="K119" s="218">
        <v>19</v>
      </c>
      <c r="L119" s="218">
        <v>47</v>
      </c>
      <c r="M119" s="218">
        <v>1300</v>
      </c>
      <c r="N119" s="218">
        <v>48</v>
      </c>
      <c r="O119" s="218">
        <v>2000</v>
      </c>
      <c r="P119" s="112"/>
      <c r="Q119">
        <f t="shared" si="2"/>
        <v>2019</v>
      </c>
      <c r="R119">
        <f t="shared" si="3"/>
        <v>5</v>
      </c>
      <c r="S119" s="112"/>
      <c r="T119" s="102"/>
    </row>
    <row r="120" spans="1:20">
      <c r="A120" s="117">
        <v>3</v>
      </c>
      <c r="B120" s="102" t="s">
        <v>252</v>
      </c>
      <c r="C120" s="206">
        <v>43635</v>
      </c>
      <c r="D120" s="102">
        <v>21.1</v>
      </c>
      <c r="E120" s="102">
        <v>7.7</v>
      </c>
      <c r="F120" s="218">
        <v>86</v>
      </c>
      <c r="G120" s="102">
        <v>7.68</v>
      </c>
      <c r="H120" s="218">
        <v>1.1000000000000001</v>
      </c>
      <c r="I120" s="102"/>
      <c r="J120" s="102">
        <v>2</v>
      </c>
      <c r="K120" s="218">
        <v>36</v>
      </c>
      <c r="L120" s="218">
        <v>62</v>
      </c>
      <c r="M120" s="218">
        <v>1500</v>
      </c>
      <c r="N120" s="218">
        <v>77</v>
      </c>
      <c r="O120" s="218">
        <v>2100</v>
      </c>
      <c r="P120" s="112"/>
      <c r="Q120">
        <f t="shared" si="2"/>
        <v>2019</v>
      </c>
      <c r="R120">
        <f t="shared" si="3"/>
        <v>6</v>
      </c>
      <c r="S120" s="112"/>
      <c r="T120" s="102"/>
    </row>
    <row r="121" spans="1:20">
      <c r="A121" s="117">
        <v>3</v>
      </c>
      <c r="B121" s="102" t="s">
        <v>252</v>
      </c>
      <c r="C121" s="206">
        <v>43662</v>
      </c>
      <c r="D121" s="102">
        <v>19.600000000000001</v>
      </c>
      <c r="E121" s="102">
        <v>7.1</v>
      </c>
      <c r="F121" s="218">
        <v>77</v>
      </c>
      <c r="G121" s="102">
        <v>7.7</v>
      </c>
      <c r="H121" s="218">
        <v>0.82</v>
      </c>
      <c r="I121" s="102"/>
      <c r="J121" s="102">
        <v>1.2</v>
      </c>
      <c r="K121" s="218">
        <v>34</v>
      </c>
      <c r="L121" s="218">
        <v>50</v>
      </c>
      <c r="M121" s="218">
        <v>700</v>
      </c>
      <c r="N121" s="218">
        <v>35</v>
      </c>
      <c r="O121" s="218">
        <v>1000</v>
      </c>
      <c r="P121" s="112"/>
      <c r="Q121">
        <f t="shared" si="2"/>
        <v>2019</v>
      </c>
      <c r="R121">
        <f t="shared" si="3"/>
        <v>7</v>
      </c>
      <c r="S121" s="112"/>
      <c r="T121" s="102"/>
    </row>
    <row r="122" spans="1:20">
      <c r="A122" s="117">
        <v>3</v>
      </c>
      <c r="B122" s="102" t="s">
        <v>252</v>
      </c>
      <c r="C122" s="206">
        <v>43698</v>
      </c>
      <c r="D122" s="102">
        <v>18.399999999999999</v>
      </c>
      <c r="E122" s="102">
        <v>7.4</v>
      </c>
      <c r="F122" s="218">
        <v>79</v>
      </c>
      <c r="G122" s="102">
        <v>7.71</v>
      </c>
      <c r="H122" s="218">
        <v>1.2</v>
      </c>
      <c r="I122" s="102"/>
      <c r="J122" s="102">
        <v>3.7</v>
      </c>
      <c r="K122" s="218">
        <v>47</v>
      </c>
      <c r="L122" s="218">
        <v>71</v>
      </c>
      <c r="M122" s="218">
        <v>740</v>
      </c>
      <c r="N122" s="218">
        <v>23</v>
      </c>
      <c r="O122" s="218">
        <v>1100</v>
      </c>
      <c r="P122" s="112"/>
      <c r="Q122">
        <f t="shared" si="2"/>
        <v>2019</v>
      </c>
      <c r="R122">
        <f t="shared" si="3"/>
        <v>8</v>
      </c>
      <c r="S122" s="112"/>
      <c r="T122" s="102"/>
    </row>
    <row r="123" spans="1:20">
      <c r="A123" s="117">
        <v>3</v>
      </c>
      <c r="B123" s="102" t="s">
        <v>252</v>
      </c>
      <c r="C123" s="206">
        <v>43725</v>
      </c>
      <c r="D123" s="102">
        <v>14</v>
      </c>
      <c r="E123" s="102">
        <v>8.4</v>
      </c>
      <c r="F123" s="218">
        <v>82</v>
      </c>
      <c r="G123" s="102">
        <v>7.84</v>
      </c>
      <c r="H123" s="218">
        <v>0.96</v>
      </c>
      <c r="I123" s="102"/>
      <c r="J123" s="102">
        <v>3.27</v>
      </c>
      <c r="K123" s="218">
        <v>45</v>
      </c>
      <c r="L123" s="218">
        <v>63</v>
      </c>
      <c r="M123" s="218">
        <v>1300</v>
      </c>
      <c r="N123" s="218">
        <v>21</v>
      </c>
      <c r="O123" s="218">
        <v>1700</v>
      </c>
      <c r="P123" s="112"/>
      <c r="Q123">
        <f t="shared" si="2"/>
        <v>2019</v>
      </c>
      <c r="R123">
        <f t="shared" si="3"/>
        <v>9</v>
      </c>
      <c r="S123" s="112"/>
      <c r="T123" s="102"/>
    </row>
    <row r="124" spans="1:20">
      <c r="A124" s="117">
        <v>3</v>
      </c>
      <c r="B124" s="102" t="s">
        <v>252</v>
      </c>
      <c r="C124" s="206">
        <v>43748</v>
      </c>
      <c r="D124" s="102">
        <v>9.6999999999999993</v>
      </c>
      <c r="E124" s="102">
        <v>9.6999999999999993</v>
      </c>
      <c r="F124" s="218">
        <v>86</v>
      </c>
      <c r="G124" s="102">
        <v>7.84</v>
      </c>
      <c r="H124" s="218">
        <v>1.3</v>
      </c>
      <c r="I124" s="102"/>
      <c r="J124" s="102">
        <v>2.2999999999999998</v>
      </c>
      <c r="K124" s="218">
        <v>27</v>
      </c>
      <c r="L124" s="218">
        <v>37</v>
      </c>
      <c r="M124" s="218">
        <v>2000</v>
      </c>
      <c r="N124" s="218">
        <v>21</v>
      </c>
      <c r="O124" s="218">
        <v>2500</v>
      </c>
      <c r="P124" s="112"/>
      <c r="Q124">
        <f t="shared" si="2"/>
        <v>2019</v>
      </c>
      <c r="R124">
        <f t="shared" si="3"/>
        <v>10</v>
      </c>
      <c r="S124" s="112"/>
      <c r="T124" s="102"/>
    </row>
    <row r="125" spans="1:20">
      <c r="A125" s="117">
        <v>3</v>
      </c>
      <c r="B125" s="102" t="s">
        <v>252</v>
      </c>
      <c r="C125" s="206">
        <v>43782</v>
      </c>
      <c r="D125" s="102">
        <v>6.3</v>
      </c>
      <c r="E125" s="102">
        <v>10.8</v>
      </c>
      <c r="F125" s="218">
        <v>88</v>
      </c>
      <c r="G125" s="102">
        <v>7.92</v>
      </c>
      <c r="H125" s="218">
        <v>1.75</v>
      </c>
      <c r="I125" s="102"/>
      <c r="J125" s="102">
        <v>1.6</v>
      </c>
      <c r="K125" s="218">
        <v>30</v>
      </c>
      <c r="L125" s="218">
        <v>54</v>
      </c>
      <c r="M125" s="218">
        <v>7800</v>
      </c>
      <c r="N125" s="218">
        <v>29</v>
      </c>
      <c r="O125" s="218">
        <v>7500</v>
      </c>
      <c r="P125" s="112"/>
      <c r="Q125">
        <f t="shared" si="2"/>
        <v>2019</v>
      </c>
      <c r="R125">
        <f t="shared" si="3"/>
        <v>11</v>
      </c>
      <c r="S125" s="112"/>
      <c r="T125" s="102"/>
    </row>
    <row r="126" spans="1:20">
      <c r="A126" s="117">
        <v>3</v>
      </c>
      <c r="B126" s="102" t="s">
        <v>252</v>
      </c>
      <c r="C126" s="206">
        <v>43812</v>
      </c>
      <c r="D126" s="102">
        <v>5.0999999999999996</v>
      </c>
      <c r="E126" s="102">
        <v>12.1</v>
      </c>
      <c r="F126" s="218">
        <v>95</v>
      </c>
      <c r="G126" s="102">
        <v>7.88</v>
      </c>
      <c r="H126" s="218">
        <v>17.399999999999999</v>
      </c>
      <c r="I126" s="102"/>
      <c r="J126" s="102">
        <v>2.2999999999999998</v>
      </c>
      <c r="K126" s="218">
        <v>50</v>
      </c>
      <c r="L126" s="218">
        <v>110</v>
      </c>
      <c r="M126" s="218">
        <v>12000</v>
      </c>
      <c r="N126" s="218">
        <v>41</v>
      </c>
      <c r="O126" s="218">
        <v>12000</v>
      </c>
      <c r="P126" s="112"/>
      <c r="Q126">
        <f t="shared" si="2"/>
        <v>2019</v>
      </c>
      <c r="R126">
        <f t="shared" si="3"/>
        <v>12</v>
      </c>
      <c r="S126" s="112"/>
      <c r="T126" s="102"/>
    </row>
    <row r="127" spans="1:20">
      <c r="A127" s="117">
        <v>5</v>
      </c>
      <c r="B127" s="102" t="s">
        <v>253</v>
      </c>
      <c r="C127" s="216">
        <v>40225</v>
      </c>
      <c r="D127">
        <v>0</v>
      </c>
      <c r="E127" s="116">
        <v>7.8</v>
      </c>
      <c r="F127" s="101">
        <v>53</v>
      </c>
      <c r="G127">
        <v>7.8</v>
      </c>
      <c r="H127" s="116">
        <v>6.1</v>
      </c>
      <c r="J127">
        <v>3.5</v>
      </c>
      <c r="K127">
        <v>49</v>
      </c>
      <c r="L127">
        <v>62</v>
      </c>
      <c r="M127">
        <v>1900</v>
      </c>
      <c r="N127">
        <v>270</v>
      </c>
      <c r="O127">
        <v>2700</v>
      </c>
      <c r="Q127">
        <f t="shared" si="2"/>
        <v>2010</v>
      </c>
      <c r="R127">
        <f t="shared" si="3"/>
        <v>2</v>
      </c>
    </row>
    <row r="128" spans="1:20">
      <c r="A128" s="117">
        <v>5</v>
      </c>
      <c r="B128" s="102" t="s">
        <v>253</v>
      </c>
      <c r="C128" s="216">
        <v>40290</v>
      </c>
      <c r="D128">
        <v>8.1999999999999993</v>
      </c>
      <c r="E128" s="116">
        <v>7.4</v>
      </c>
      <c r="F128" s="101">
        <v>63</v>
      </c>
      <c r="G128">
        <v>8.02</v>
      </c>
      <c r="H128" s="116">
        <v>4.0999999999999996</v>
      </c>
      <c r="J128">
        <v>5.0999999999999996</v>
      </c>
      <c r="K128">
        <v>7</v>
      </c>
      <c r="L128">
        <v>23</v>
      </c>
      <c r="M128">
        <v>1800</v>
      </c>
      <c r="N128">
        <v>100</v>
      </c>
      <c r="O128">
        <v>2400</v>
      </c>
      <c r="Q128">
        <f t="shared" si="2"/>
        <v>2010</v>
      </c>
      <c r="R128">
        <f t="shared" si="3"/>
        <v>4</v>
      </c>
    </row>
    <row r="129" spans="1:18">
      <c r="A129" s="117">
        <v>5</v>
      </c>
      <c r="B129" s="102" t="s">
        <v>253</v>
      </c>
      <c r="C129" s="216">
        <v>40346</v>
      </c>
      <c r="D129">
        <v>17.100000000000001</v>
      </c>
      <c r="E129" s="116">
        <v>10</v>
      </c>
      <c r="F129" s="101">
        <v>104</v>
      </c>
      <c r="G129">
        <v>8.02</v>
      </c>
      <c r="H129" s="116">
        <v>5.9</v>
      </c>
      <c r="J129">
        <v>3.9</v>
      </c>
      <c r="K129">
        <v>10</v>
      </c>
      <c r="L129">
        <v>65</v>
      </c>
      <c r="M129">
        <v>1000</v>
      </c>
      <c r="N129" t="s">
        <v>148</v>
      </c>
      <c r="O129">
        <v>1700</v>
      </c>
      <c r="Q129">
        <f t="shared" si="2"/>
        <v>2010</v>
      </c>
      <c r="R129">
        <f t="shared" si="3"/>
        <v>6</v>
      </c>
    </row>
    <row r="130" spans="1:18">
      <c r="A130" s="117">
        <v>5</v>
      </c>
      <c r="B130" s="102" t="s">
        <v>253</v>
      </c>
      <c r="C130" s="216">
        <v>40416</v>
      </c>
      <c r="D130">
        <v>17</v>
      </c>
      <c r="E130" s="116">
        <v>7.5</v>
      </c>
      <c r="F130" s="101">
        <v>78</v>
      </c>
      <c r="G130">
        <v>7.85</v>
      </c>
      <c r="H130" s="116">
        <v>2.2000000000000002</v>
      </c>
      <c r="J130">
        <v>1.6</v>
      </c>
      <c r="K130">
        <v>47</v>
      </c>
      <c r="L130">
        <v>71</v>
      </c>
      <c r="M130">
        <v>3000</v>
      </c>
      <c r="N130">
        <v>43</v>
      </c>
      <c r="O130">
        <v>3700</v>
      </c>
      <c r="Q130">
        <f t="shared" si="2"/>
        <v>2010</v>
      </c>
      <c r="R130">
        <f t="shared" si="3"/>
        <v>8</v>
      </c>
    </row>
    <row r="131" spans="1:18">
      <c r="A131" s="117">
        <v>5</v>
      </c>
      <c r="B131" s="102" t="s">
        <v>253</v>
      </c>
      <c r="C131" s="216">
        <v>40471</v>
      </c>
      <c r="D131">
        <v>8.1</v>
      </c>
      <c r="E131" s="116">
        <v>9.8000000000000007</v>
      </c>
      <c r="F131" s="101">
        <v>83</v>
      </c>
      <c r="G131">
        <v>7.91</v>
      </c>
      <c r="H131" s="116">
        <v>2.5</v>
      </c>
      <c r="J131">
        <v>2.2000000000000002</v>
      </c>
      <c r="K131">
        <v>22</v>
      </c>
      <c r="L131">
        <v>40</v>
      </c>
      <c r="M131">
        <v>1800</v>
      </c>
      <c r="N131">
        <v>30</v>
      </c>
      <c r="O131">
        <v>2400</v>
      </c>
      <c r="Q131">
        <f t="shared" si="2"/>
        <v>2010</v>
      </c>
      <c r="R131">
        <f t="shared" si="3"/>
        <v>10</v>
      </c>
    </row>
    <row r="132" spans="1:18">
      <c r="A132" s="117">
        <v>5</v>
      </c>
      <c r="B132" s="102" t="s">
        <v>253</v>
      </c>
      <c r="C132" s="216">
        <v>40526</v>
      </c>
      <c r="D132">
        <v>0.1</v>
      </c>
      <c r="E132" s="116">
        <v>12.9</v>
      </c>
      <c r="F132" s="101">
        <v>88</v>
      </c>
      <c r="G132">
        <v>7.78</v>
      </c>
      <c r="H132" s="116">
        <v>4.0999999999999996</v>
      </c>
      <c r="J132">
        <v>3.7</v>
      </c>
      <c r="K132">
        <v>29</v>
      </c>
      <c r="L132">
        <v>51</v>
      </c>
      <c r="M132">
        <v>3900</v>
      </c>
      <c r="N132">
        <v>140</v>
      </c>
      <c r="O132">
        <v>4700</v>
      </c>
      <c r="Q132">
        <f t="shared" si="2"/>
        <v>2010</v>
      </c>
      <c r="R132">
        <f t="shared" si="3"/>
        <v>12</v>
      </c>
    </row>
    <row r="133" spans="1:18">
      <c r="A133" s="117">
        <v>5</v>
      </c>
      <c r="B133" s="102" t="s">
        <v>253</v>
      </c>
      <c r="C133" s="216">
        <v>40589</v>
      </c>
      <c r="D133">
        <v>0.1</v>
      </c>
      <c r="E133" s="116">
        <v>13.3</v>
      </c>
      <c r="F133" s="101">
        <v>91</v>
      </c>
      <c r="G133">
        <v>7.86</v>
      </c>
      <c r="H133" s="116">
        <v>11</v>
      </c>
      <c r="J133">
        <v>4.5999999999999996</v>
      </c>
      <c r="K133">
        <v>33</v>
      </c>
      <c r="L133">
        <v>68</v>
      </c>
      <c r="M133">
        <v>3600</v>
      </c>
      <c r="N133">
        <v>130</v>
      </c>
      <c r="O133">
        <v>4600</v>
      </c>
      <c r="Q133">
        <f t="shared" si="2"/>
        <v>2011</v>
      </c>
      <c r="R133">
        <f t="shared" si="3"/>
        <v>2</v>
      </c>
    </row>
    <row r="134" spans="1:18">
      <c r="A134" s="117">
        <v>5</v>
      </c>
      <c r="B134" s="102" t="s">
        <v>253</v>
      </c>
      <c r="C134" s="216">
        <v>40646</v>
      </c>
      <c r="D134">
        <v>9.1</v>
      </c>
      <c r="E134" s="116">
        <v>9.1</v>
      </c>
      <c r="F134" s="101">
        <v>79</v>
      </c>
      <c r="G134">
        <v>7.87</v>
      </c>
      <c r="H134" s="116">
        <v>3.4</v>
      </c>
      <c r="J134">
        <v>2.6</v>
      </c>
      <c r="K134">
        <v>14</v>
      </c>
      <c r="L134">
        <v>40</v>
      </c>
      <c r="M134">
        <v>2300</v>
      </c>
      <c r="N134">
        <v>110</v>
      </c>
      <c r="O134">
        <v>3100</v>
      </c>
      <c r="Q134">
        <f t="shared" si="2"/>
        <v>2011</v>
      </c>
      <c r="R134">
        <f t="shared" si="3"/>
        <v>4</v>
      </c>
    </row>
    <row r="135" spans="1:18">
      <c r="A135" s="117">
        <v>5</v>
      </c>
      <c r="B135" s="102" t="s">
        <v>253</v>
      </c>
      <c r="C135" s="216">
        <v>40710</v>
      </c>
      <c r="D135">
        <v>19.7</v>
      </c>
      <c r="E135" s="116">
        <v>8.3000000000000007</v>
      </c>
      <c r="F135" s="101">
        <v>91</v>
      </c>
      <c r="G135">
        <v>7.82</v>
      </c>
      <c r="H135" s="116">
        <v>4.7</v>
      </c>
      <c r="J135">
        <v>2.5</v>
      </c>
      <c r="K135">
        <v>22</v>
      </c>
      <c r="L135">
        <v>53</v>
      </c>
      <c r="M135">
        <v>890</v>
      </c>
      <c r="N135">
        <v>19</v>
      </c>
      <c r="O135">
        <v>1500</v>
      </c>
      <c r="Q135">
        <f t="shared" ref="Q135:Q198" si="4">YEAR(C135)</f>
        <v>2011</v>
      </c>
      <c r="R135">
        <f t="shared" ref="R135:R198" si="5">MONTH(C135)</f>
        <v>6</v>
      </c>
    </row>
    <row r="136" spans="1:18">
      <c r="A136" s="117">
        <v>5</v>
      </c>
      <c r="B136" s="102" t="s">
        <v>253</v>
      </c>
      <c r="C136" s="216">
        <v>40778</v>
      </c>
      <c r="D136">
        <v>18</v>
      </c>
      <c r="E136" s="116">
        <v>7.1</v>
      </c>
      <c r="F136" s="101">
        <v>75</v>
      </c>
      <c r="G136">
        <v>7.77</v>
      </c>
      <c r="H136" s="116">
        <v>2.5</v>
      </c>
      <c r="J136">
        <v>2.1</v>
      </c>
      <c r="K136">
        <v>30</v>
      </c>
      <c r="L136">
        <v>49</v>
      </c>
      <c r="M136">
        <v>1500</v>
      </c>
      <c r="N136">
        <v>35</v>
      </c>
      <c r="O136">
        <v>2100</v>
      </c>
      <c r="Q136">
        <f t="shared" si="4"/>
        <v>2011</v>
      </c>
      <c r="R136">
        <f t="shared" si="5"/>
        <v>8</v>
      </c>
    </row>
    <row r="137" spans="1:18">
      <c r="A137" s="117">
        <v>5</v>
      </c>
      <c r="B137" s="102" t="s">
        <v>253</v>
      </c>
      <c r="C137" s="216">
        <v>40834</v>
      </c>
      <c r="D137">
        <v>9.1999999999999993</v>
      </c>
      <c r="E137" s="116">
        <v>9.4</v>
      </c>
      <c r="F137" s="101">
        <v>82</v>
      </c>
      <c r="G137">
        <v>7.79</v>
      </c>
      <c r="H137" s="116">
        <v>5</v>
      </c>
      <c r="J137">
        <v>2</v>
      </c>
      <c r="K137">
        <v>21</v>
      </c>
      <c r="L137">
        <v>50</v>
      </c>
      <c r="M137">
        <v>2000</v>
      </c>
      <c r="N137">
        <v>64</v>
      </c>
      <c r="O137">
        <v>2900</v>
      </c>
      <c r="Q137">
        <f t="shared" si="4"/>
        <v>2011</v>
      </c>
      <c r="R137">
        <f t="shared" si="5"/>
        <v>10</v>
      </c>
    </row>
    <row r="138" spans="1:18">
      <c r="A138" s="117">
        <v>5</v>
      </c>
      <c r="B138" s="102" t="s">
        <v>253</v>
      </c>
      <c r="C138" s="216">
        <v>40896</v>
      </c>
      <c r="D138">
        <v>3.7</v>
      </c>
      <c r="E138" s="116">
        <v>13.6</v>
      </c>
      <c r="F138" s="101">
        <v>103</v>
      </c>
      <c r="G138">
        <v>7.76</v>
      </c>
      <c r="H138" s="116">
        <v>6.9</v>
      </c>
      <c r="J138">
        <v>2.6</v>
      </c>
      <c r="K138">
        <v>33</v>
      </c>
      <c r="L138">
        <v>62</v>
      </c>
      <c r="M138">
        <v>4600</v>
      </c>
      <c r="N138">
        <v>120</v>
      </c>
      <c r="O138">
        <v>5700</v>
      </c>
      <c r="Q138">
        <f t="shared" si="4"/>
        <v>2011</v>
      </c>
      <c r="R138">
        <f t="shared" si="5"/>
        <v>12</v>
      </c>
    </row>
    <row r="139" spans="1:18">
      <c r="A139" s="117">
        <v>5</v>
      </c>
      <c r="B139" s="102" t="s">
        <v>253</v>
      </c>
      <c r="C139" s="216">
        <v>40949</v>
      </c>
      <c r="D139">
        <v>0.1</v>
      </c>
      <c r="E139" s="116">
        <v>12.6</v>
      </c>
      <c r="F139" s="101">
        <v>84</v>
      </c>
      <c r="G139">
        <v>8</v>
      </c>
      <c r="H139" s="116">
        <v>5.0999999999999996</v>
      </c>
      <c r="J139">
        <v>1.5</v>
      </c>
      <c r="K139">
        <v>26</v>
      </c>
      <c r="L139">
        <v>57</v>
      </c>
      <c r="M139">
        <v>2400</v>
      </c>
      <c r="N139">
        <v>180</v>
      </c>
      <c r="O139">
        <v>3400</v>
      </c>
      <c r="Q139">
        <f t="shared" si="4"/>
        <v>2012</v>
      </c>
      <c r="R139">
        <f t="shared" si="5"/>
        <v>2</v>
      </c>
    </row>
    <row r="140" spans="1:18">
      <c r="A140" s="117">
        <v>5</v>
      </c>
      <c r="B140" s="102" t="s">
        <v>253</v>
      </c>
      <c r="C140" s="216">
        <v>41012</v>
      </c>
      <c r="D140">
        <v>7.9</v>
      </c>
      <c r="E140" s="116">
        <v>9.8000000000000007</v>
      </c>
      <c r="F140" s="101">
        <v>85</v>
      </c>
      <c r="G140">
        <v>7.9</v>
      </c>
      <c r="H140" s="116">
        <v>5.0999999999999996</v>
      </c>
      <c r="J140">
        <v>2.9</v>
      </c>
      <c r="K140">
        <v>9</v>
      </c>
      <c r="L140">
        <v>33</v>
      </c>
      <c r="M140">
        <v>1500</v>
      </c>
      <c r="N140">
        <v>100</v>
      </c>
      <c r="O140">
        <v>2300</v>
      </c>
      <c r="Q140">
        <f t="shared" si="4"/>
        <v>2012</v>
      </c>
      <c r="R140">
        <f t="shared" si="5"/>
        <v>4</v>
      </c>
    </row>
    <row r="141" spans="1:18">
      <c r="A141" s="117">
        <v>5</v>
      </c>
      <c r="B141" s="102" t="s">
        <v>253</v>
      </c>
      <c r="C141" s="216">
        <v>41078</v>
      </c>
      <c r="D141">
        <v>17.3</v>
      </c>
      <c r="E141" s="116">
        <v>7.9</v>
      </c>
      <c r="F141" s="101">
        <v>82</v>
      </c>
      <c r="G141">
        <v>8</v>
      </c>
      <c r="H141" s="116">
        <v>3.8</v>
      </c>
      <c r="J141">
        <v>2.1</v>
      </c>
      <c r="K141">
        <v>13</v>
      </c>
      <c r="L141">
        <v>50</v>
      </c>
      <c r="M141">
        <v>930</v>
      </c>
      <c r="N141">
        <v>34</v>
      </c>
      <c r="O141">
        <v>1800</v>
      </c>
      <c r="Q141">
        <f t="shared" si="4"/>
        <v>2012</v>
      </c>
      <c r="R141">
        <f t="shared" si="5"/>
        <v>6</v>
      </c>
    </row>
    <row r="142" spans="1:18">
      <c r="A142" s="117">
        <v>5</v>
      </c>
      <c r="B142" s="102" t="s">
        <v>253</v>
      </c>
      <c r="C142" s="216">
        <v>41136</v>
      </c>
      <c r="D142">
        <v>18.5</v>
      </c>
      <c r="E142" s="116">
        <v>8.5</v>
      </c>
      <c r="F142" s="101">
        <v>91</v>
      </c>
      <c r="G142">
        <v>7.9</v>
      </c>
      <c r="H142" s="116">
        <v>2.8</v>
      </c>
      <c r="J142">
        <v>1.5</v>
      </c>
      <c r="K142">
        <v>39</v>
      </c>
      <c r="L142">
        <v>71</v>
      </c>
      <c r="M142">
        <v>560</v>
      </c>
      <c r="N142">
        <v>25</v>
      </c>
      <c r="O142">
        <v>1000</v>
      </c>
      <c r="Q142">
        <f t="shared" si="4"/>
        <v>2012</v>
      </c>
      <c r="R142">
        <f t="shared" si="5"/>
        <v>8</v>
      </c>
    </row>
    <row r="143" spans="1:18">
      <c r="A143" s="117">
        <v>5</v>
      </c>
      <c r="B143" s="102" t="s">
        <v>253</v>
      </c>
      <c r="C143" s="216">
        <v>41193</v>
      </c>
      <c r="D143">
        <v>10.3</v>
      </c>
      <c r="E143" s="116">
        <v>9.1999999999999993</v>
      </c>
      <c r="F143" s="101">
        <v>82</v>
      </c>
      <c r="G143">
        <v>8</v>
      </c>
      <c r="H143" s="116">
        <v>2.6</v>
      </c>
      <c r="J143">
        <v>1.4</v>
      </c>
      <c r="K143">
        <v>72</v>
      </c>
      <c r="L143">
        <v>89</v>
      </c>
      <c r="M143">
        <v>3000</v>
      </c>
      <c r="N143">
        <v>64</v>
      </c>
      <c r="O143">
        <v>3300</v>
      </c>
      <c r="Q143">
        <f t="shared" si="4"/>
        <v>2012</v>
      </c>
      <c r="R143">
        <f t="shared" si="5"/>
        <v>10</v>
      </c>
    </row>
    <row r="144" spans="1:18">
      <c r="A144" s="117">
        <v>5</v>
      </c>
      <c r="B144" s="102" t="s">
        <v>253</v>
      </c>
      <c r="C144" s="216">
        <v>41263</v>
      </c>
      <c r="D144">
        <v>1.8</v>
      </c>
      <c r="E144" s="116">
        <v>12.2</v>
      </c>
      <c r="F144" s="101">
        <v>86</v>
      </c>
      <c r="G144">
        <v>8</v>
      </c>
      <c r="H144" s="116">
        <v>5.0999999999999996</v>
      </c>
      <c r="J144">
        <v>2.4</v>
      </c>
      <c r="K144">
        <v>39</v>
      </c>
      <c r="L144">
        <v>77</v>
      </c>
      <c r="M144">
        <v>5400</v>
      </c>
      <c r="N144">
        <v>150</v>
      </c>
      <c r="O144">
        <v>6100</v>
      </c>
      <c r="Q144">
        <f t="shared" si="4"/>
        <v>2012</v>
      </c>
      <c r="R144">
        <f t="shared" si="5"/>
        <v>12</v>
      </c>
    </row>
    <row r="145" spans="1:20">
      <c r="A145" s="117">
        <v>5</v>
      </c>
      <c r="B145" s="102" t="s">
        <v>253</v>
      </c>
      <c r="C145" s="216">
        <v>41323</v>
      </c>
      <c r="D145">
        <v>1.5</v>
      </c>
      <c r="E145" s="116">
        <v>11.6</v>
      </c>
      <c r="F145" s="101">
        <v>84</v>
      </c>
      <c r="G145">
        <v>7.9</v>
      </c>
      <c r="H145" s="116">
        <v>3</v>
      </c>
      <c r="J145">
        <v>2.2000000000000002</v>
      </c>
      <c r="K145">
        <v>32</v>
      </c>
      <c r="L145">
        <v>58</v>
      </c>
      <c r="M145">
        <v>3200</v>
      </c>
      <c r="N145">
        <v>94</v>
      </c>
      <c r="O145">
        <v>4100</v>
      </c>
      <c r="Q145">
        <f t="shared" si="4"/>
        <v>2013</v>
      </c>
      <c r="R145">
        <f t="shared" si="5"/>
        <v>2</v>
      </c>
    </row>
    <row r="146" spans="1:20">
      <c r="A146" s="117">
        <v>5</v>
      </c>
      <c r="B146" s="102" t="s">
        <v>253</v>
      </c>
      <c r="C146" s="216">
        <v>41379</v>
      </c>
      <c r="D146">
        <v>6.9</v>
      </c>
      <c r="E146" s="116">
        <v>11.2</v>
      </c>
      <c r="F146" s="101">
        <v>92</v>
      </c>
      <c r="G146">
        <v>8</v>
      </c>
      <c r="H146" s="116">
        <v>3.2</v>
      </c>
      <c r="J146">
        <v>3.1</v>
      </c>
      <c r="K146">
        <v>6</v>
      </c>
      <c r="L146">
        <v>32</v>
      </c>
      <c r="M146">
        <v>1600</v>
      </c>
      <c r="N146">
        <v>170</v>
      </c>
      <c r="O146">
        <v>2600</v>
      </c>
      <c r="Q146">
        <f t="shared" si="4"/>
        <v>2013</v>
      </c>
      <c r="R146">
        <f t="shared" si="5"/>
        <v>4</v>
      </c>
    </row>
    <row r="147" spans="1:20">
      <c r="A147" s="117">
        <v>5</v>
      </c>
      <c r="B147" s="102" t="s">
        <v>253</v>
      </c>
      <c r="C147" s="216">
        <v>41443</v>
      </c>
      <c r="D147">
        <v>18.5</v>
      </c>
      <c r="E147" s="116">
        <v>7</v>
      </c>
      <c r="F147" s="101">
        <v>74</v>
      </c>
      <c r="G147">
        <v>7.9</v>
      </c>
      <c r="H147" s="116">
        <v>6.5</v>
      </c>
      <c r="J147">
        <v>2.1</v>
      </c>
      <c r="K147">
        <v>26</v>
      </c>
      <c r="L147">
        <v>69</v>
      </c>
      <c r="M147">
        <v>1100</v>
      </c>
      <c r="N147">
        <v>98</v>
      </c>
      <c r="O147">
        <v>1900</v>
      </c>
      <c r="Q147">
        <f t="shared" si="4"/>
        <v>2013</v>
      </c>
      <c r="R147">
        <f t="shared" si="5"/>
        <v>6</v>
      </c>
    </row>
    <row r="148" spans="1:20">
      <c r="A148" s="117">
        <v>5</v>
      </c>
      <c r="B148" s="102" t="s">
        <v>253</v>
      </c>
      <c r="C148" s="216">
        <v>41500</v>
      </c>
      <c r="D148">
        <v>19.399999999999999</v>
      </c>
      <c r="E148" s="116">
        <v>5</v>
      </c>
      <c r="F148" s="101">
        <v>54</v>
      </c>
      <c r="G148">
        <v>7.7</v>
      </c>
      <c r="H148" s="116">
        <v>1.9</v>
      </c>
      <c r="J148">
        <v>2</v>
      </c>
      <c r="K148">
        <v>22</v>
      </c>
      <c r="L148">
        <v>68</v>
      </c>
      <c r="M148">
        <v>590</v>
      </c>
      <c r="N148">
        <v>120</v>
      </c>
      <c r="O148">
        <v>1400</v>
      </c>
      <c r="Q148">
        <f t="shared" si="4"/>
        <v>2013</v>
      </c>
      <c r="R148">
        <f t="shared" si="5"/>
        <v>8</v>
      </c>
    </row>
    <row r="149" spans="1:20">
      <c r="A149" s="117">
        <v>5</v>
      </c>
      <c r="B149" s="102" t="s">
        <v>253</v>
      </c>
      <c r="C149" s="216">
        <v>41572</v>
      </c>
      <c r="D149">
        <v>11.2</v>
      </c>
      <c r="E149" s="116">
        <v>8.1999999999999993</v>
      </c>
      <c r="F149" s="101">
        <v>73</v>
      </c>
      <c r="G149">
        <v>7.7</v>
      </c>
      <c r="H149" s="116">
        <v>4.7</v>
      </c>
      <c r="J149">
        <v>0.61</v>
      </c>
      <c r="K149">
        <v>39</v>
      </c>
      <c r="L149">
        <v>65</v>
      </c>
      <c r="M149">
        <v>4200</v>
      </c>
      <c r="N149">
        <v>71</v>
      </c>
      <c r="O149">
        <v>5400</v>
      </c>
      <c r="Q149">
        <f t="shared" si="4"/>
        <v>2013</v>
      </c>
      <c r="R149">
        <f t="shared" si="5"/>
        <v>10</v>
      </c>
    </row>
    <row r="150" spans="1:20">
      <c r="A150" s="117">
        <v>5</v>
      </c>
      <c r="B150" s="102" t="s">
        <v>253</v>
      </c>
      <c r="C150" s="216">
        <v>41619</v>
      </c>
      <c r="D150">
        <v>5.3</v>
      </c>
      <c r="E150" s="116">
        <v>10</v>
      </c>
      <c r="F150" s="101">
        <v>79</v>
      </c>
      <c r="G150">
        <v>7.9</v>
      </c>
      <c r="H150" s="116">
        <v>5.4</v>
      </c>
      <c r="J150">
        <v>2</v>
      </c>
      <c r="K150">
        <v>36</v>
      </c>
      <c r="L150">
        <v>65</v>
      </c>
      <c r="M150">
        <v>6200</v>
      </c>
      <c r="N150">
        <v>140</v>
      </c>
      <c r="O150">
        <v>7700</v>
      </c>
      <c r="Q150">
        <f t="shared" si="4"/>
        <v>2013</v>
      </c>
      <c r="R150">
        <f t="shared" si="5"/>
        <v>12</v>
      </c>
    </row>
    <row r="151" spans="1:20">
      <c r="A151" s="117">
        <v>5</v>
      </c>
      <c r="B151" s="102" t="s">
        <v>253</v>
      </c>
      <c r="C151" s="206">
        <v>41681</v>
      </c>
      <c r="D151" s="102">
        <v>2</v>
      </c>
      <c r="E151" s="102">
        <v>11.7</v>
      </c>
      <c r="F151" s="218">
        <v>88</v>
      </c>
      <c r="G151" s="102">
        <v>7.9</v>
      </c>
      <c r="H151" s="218">
        <v>3.8</v>
      </c>
      <c r="I151" s="102"/>
      <c r="J151" s="102">
        <v>1.9</v>
      </c>
      <c r="K151" s="218">
        <v>20</v>
      </c>
      <c r="L151" s="218">
        <v>51</v>
      </c>
      <c r="M151" s="218">
        <v>4200</v>
      </c>
      <c r="N151" s="218">
        <v>62</v>
      </c>
      <c r="O151" s="218">
        <v>5000</v>
      </c>
      <c r="P151" s="112"/>
      <c r="Q151">
        <f t="shared" si="4"/>
        <v>2014</v>
      </c>
      <c r="R151">
        <f t="shared" si="5"/>
        <v>2</v>
      </c>
      <c r="S151" s="112"/>
      <c r="T151" s="102"/>
    </row>
    <row r="152" spans="1:20">
      <c r="A152" s="117">
        <v>5</v>
      </c>
      <c r="B152" s="102" t="s">
        <v>253</v>
      </c>
      <c r="C152" s="206">
        <v>41743</v>
      </c>
      <c r="D152" s="102">
        <v>9.6</v>
      </c>
      <c r="E152" s="102">
        <v>11.2</v>
      </c>
      <c r="F152" s="218">
        <v>100</v>
      </c>
      <c r="G152" s="102">
        <v>8</v>
      </c>
      <c r="H152" s="218">
        <v>5.2</v>
      </c>
      <c r="I152" s="102"/>
      <c r="J152" s="102">
        <v>4</v>
      </c>
      <c r="K152" s="218">
        <v>4</v>
      </c>
      <c r="L152" s="218">
        <v>44</v>
      </c>
      <c r="M152" s="218">
        <v>1700</v>
      </c>
      <c r="N152" s="218">
        <v>34</v>
      </c>
      <c r="O152" s="218">
        <v>2900</v>
      </c>
      <c r="P152" s="112"/>
      <c r="Q152">
        <f t="shared" si="4"/>
        <v>2014</v>
      </c>
      <c r="R152">
        <f t="shared" si="5"/>
        <v>4</v>
      </c>
      <c r="S152" s="112"/>
      <c r="T152" s="102"/>
    </row>
    <row r="153" spans="1:20">
      <c r="A153" s="117">
        <v>5</v>
      </c>
      <c r="B153" s="102" t="s">
        <v>253</v>
      </c>
      <c r="C153" s="206">
        <v>41807</v>
      </c>
      <c r="D153" s="102">
        <v>19.7</v>
      </c>
      <c r="E153" s="102">
        <v>6.7</v>
      </c>
      <c r="F153" s="218">
        <v>72</v>
      </c>
      <c r="G153" s="102">
        <v>8</v>
      </c>
      <c r="H153" s="218">
        <v>1.8</v>
      </c>
      <c r="I153" s="102"/>
      <c r="J153" s="102">
        <v>1.9</v>
      </c>
      <c r="K153" s="218">
        <v>30</v>
      </c>
      <c r="L153" s="218">
        <v>48</v>
      </c>
      <c r="M153" s="218">
        <v>990</v>
      </c>
      <c r="N153" s="218">
        <v>24</v>
      </c>
      <c r="O153" s="218">
        <v>1600</v>
      </c>
      <c r="P153" s="112"/>
      <c r="Q153">
        <f t="shared" si="4"/>
        <v>2014</v>
      </c>
      <c r="R153">
        <f t="shared" si="5"/>
        <v>6</v>
      </c>
      <c r="S153" s="112"/>
      <c r="T153" s="102"/>
    </row>
    <row r="154" spans="1:20">
      <c r="A154" s="117">
        <v>5</v>
      </c>
      <c r="B154" s="102" t="s">
        <v>253</v>
      </c>
      <c r="C154" s="206">
        <v>41863</v>
      </c>
      <c r="D154" s="102">
        <v>20.2</v>
      </c>
      <c r="E154" s="102">
        <v>5.6</v>
      </c>
      <c r="F154" s="218">
        <v>71</v>
      </c>
      <c r="G154" s="102">
        <v>7.6</v>
      </c>
      <c r="H154" s="218">
        <v>3.4</v>
      </c>
      <c r="I154" s="102"/>
      <c r="J154" s="102">
        <v>1.2</v>
      </c>
      <c r="K154" s="218">
        <v>32</v>
      </c>
      <c r="L154" s="218">
        <v>70</v>
      </c>
      <c r="M154" s="218">
        <v>550</v>
      </c>
      <c r="N154" s="218">
        <v>51</v>
      </c>
      <c r="O154" s="218">
        <v>1300</v>
      </c>
      <c r="P154" s="112"/>
      <c r="Q154">
        <f t="shared" si="4"/>
        <v>2014</v>
      </c>
      <c r="R154">
        <f t="shared" si="5"/>
        <v>8</v>
      </c>
      <c r="S154" s="112"/>
      <c r="T154" s="102"/>
    </row>
    <row r="155" spans="1:20">
      <c r="A155" s="117">
        <v>5</v>
      </c>
      <c r="B155" s="102" t="s">
        <v>253</v>
      </c>
      <c r="C155" s="206">
        <v>41929</v>
      </c>
      <c r="D155" s="102">
        <v>12.3</v>
      </c>
      <c r="E155" s="102">
        <v>5</v>
      </c>
      <c r="F155" s="218">
        <v>55</v>
      </c>
      <c r="G155" s="102">
        <v>7.7</v>
      </c>
      <c r="H155" s="218">
        <v>5.6</v>
      </c>
      <c r="I155" s="102"/>
      <c r="J155" s="102" t="s">
        <v>287</v>
      </c>
      <c r="K155" s="218">
        <v>17</v>
      </c>
      <c r="L155" s="218">
        <v>79</v>
      </c>
      <c r="M155" s="218">
        <v>3300</v>
      </c>
      <c r="N155" s="218">
        <v>90</v>
      </c>
      <c r="O155" s="218">
        <v>4100</v>
      </c>
      <c r="P155" s="112"/>
      <c r="Q155">
        <f t="shared" si="4"/>
        <v>2014</v>
      </c>
      <c r="R155">
        <f t="shared" si="5"/>
        <v>10</v>
      </c>
      <c r="S155" s="112"/>
      <c r="T155" s="102"/>
    </row>
    <row r="156" spans="1:20">
      <c r="A156" s="117">
        <v>5</v>
      </c>
      <c r="B156" s="102" t="s">
        <v>253</v>
      </c>
      <c r="C156" s="206">
        <v>41985</v>
      </c>
      <c r="D156" s="102">
        <v>4</v>
      </c>
      <c r="E156" s="102">
        <v>11.6</v>
      </c>
      <c r="F156" s="218">
        <v>90</v>
      </c>
      <c r="G156" s="102">
        <v>7.9</v>
      </c>
      <c r="H156" s="218">
        <v>7.6</v>
      </c>
      <c r="I156" s="102"/>
      <c r="J156" s="102" t="s">
        <v>287</v>
      </c>
      <c r="K156" s="218">
        <v>42</v>
      </c>
      <c r="L156" s="218">
        <v>55</v>
      </c>
      <c r="M156" s="218">
        <v>5300</v>
      </c>
      <c r="N156" s="218">
        <v>87</v>
      </c>
      <c r="O156" s="218">
        <v>6000</v>
      </c>
      <c r="P156" s="112"/>
      <c r="Q156">
        <f t="shared" si="4"/>
        <v>2014</v>
      </c>
      <c r="R156">
        <f t="shared" si="5"/>
        <v>12</v>
      </c>
      <c r="S156" s="112"/>
      <c r="T156" s="102"/>
    </row>
    <row r="157" spans="1:20">
      <c r="A157" s="117">
        <v>5</v>
      </c>
      <c r="B157" s="102" t="s">
        <v>253</v>
      </c>
      <c r="C157" s="206">
        <v>42045</v>
      </c>
      <c r="D157" s="102">
        <v>2.2999999999999998</v>
      </c>
      <c r="E157" s="102">
        <v>13.4</v>
      </c>
      <c r="F157" s="218">
        <v>97</v>
      </c>
      <c r="G157" s="102">
        <v>8</v>
      </c>
      <c r="H157" s="218">
        <v>6.1</v>
      </c>
      <c r="I157" s="102"/>
      <c r="J157" s="102">
        <v>2.1</v>
      </c>
      <c r="K157" s="218">
        <v>16</v>
      </c>
      <c r="L157" s="218">
        <v>54</v>
      </c>
      <c r="M157" s="218">
        <v>3500</v>
      </c>
      <c r="N157" s="218">
        <v>67</v>
      </c>
      <c r="O157" s="218">
        <v>4500</v>
      </c>
      <c r="P157" s="112"/>
      <c r="Q157">
        <f t="shared" si="4"/>
        <v>2015</v>
      </c>
      <c r="R157">
        <f t="shared" si="5"/>
        <v>2</v>
      </c>
      <c r="S157" s="112"/>
      <c r="T157" s="102"/>
    </row>
    <row r="158" spans="1:20">
      <c r="A158" s="117">
        <v>5</v>
      </c>
      <c r="B158" s="102" t="s">
        <v>253</v>
      </c>
      <c r="C158" s="206">
        <v>42107</v>
      </c>
      <c r="D158" s="102">
        <v>9.1999999999999993</v>
      </c>
      <c r="E158" s="102">
        <v>11.6</v>
      </c>
      <c r="F158" s="218">
        <v>97</v>
      </c>
      <c r="G158" s="102">
        <v>8.1</v>
      </c>
      <c r="H158" s="218">
        <v>3.1</v>
      </c>
      <c r="I158" s="102"/>
      <c r="J158" s="102">
        <v>2.2000000000000002</v>
      </c>
      <c r="K158" s="218">
        <v>6.4</v>
      </c>
      <c r="L158" s="218">
        <v>41</v>
      </c>
      <c r="M158" s="218">
        <v>2400</v>
      </c>
      <c r="N158" s="218">
        <v>22</v>
      </c>
      <c r="O158" s="218">
        <v>3100</v>
      </c>
      <c r="P158" s="112"/>
      <c r="Q158">
        <f t="shared" si="4"/>
        <v>2015</v>
      </c>
      <c r="R158">
        <f t="shared" si="5"/>
        <v>4</v>
      </c>
      <c r="S158" s="112"/>
      <c r="T158" s="102"/>
    </row>
    <row r="159" spans="1:20">
      <c r="A159" s="117">
        <v>5</v>
      </c>
      <c r="B159" s="102" t="s">
        <v>253</v>
      </c>
      <c r="C159" s="206">
        <v>42172</v>
      </c>
      <c r="D159" s="102">
        <v>16.399999999999999</v>
      </c>
      <c r="E159" s="102">
        <v>9.1</v>
      </c>
      <c r="F159" s="218">
        <v>92</v>
      </c>
      <c r="G159" s="102">
        <v>8</v>
      </c>
      <c r="H159" s="218">
        <v>5.2</v>
      </c>
      <c r="I159" s="102"/>
      <c r="J159" s="102">
        <v>3.4</v>
      </c>
      <c r="K159" s="218">
        <v>4.5</v>
      </c>
      <c r="L159" s="218">
        <v>55</v>
      </c>
      <c r="M159" s="218">
        <v>1500</v>
      </c>
      <c r="N159" s="218">
        <v>12</v>
      </c>
      <c r="O159" s="218">
        <v>2300</v>
      </c>
      <c r="P159" s="112"/>
      <c r="Q159">
        <f t="shared" si="4"/>
        <v>2015</v>
      </c>
      <c r="R159">
        <f t="shared" si="5"/>
        <v>6</v>
      </c>
      <c r="S159" s="112"/>
      <c r="T159" s="102"/>
    </row>
    <row r="160" spans="1:20">
      <c r="A160" s="117">
        <v>5</v>
      </c>
      <c r="B160" s="102" t="s">
        <v>253</v>
      </c>
      <c r="C160" s="206">
        <v>42234</v>
      </c>
      <c r="D160" s="102">
        <v>18.899999999999999</v>
      </c>
      <c r="E160" s="102">
        <v>6.9</v>
      </c>
      <c r="F160" s="218">
        <v>74</v>
      </c>
      <c r="G160" s="102">
        <v>7.9</v>
      </c>
      <c r="H160" s="218">
        <v>3.2</v>
      </c>
      <c r="I160" s="102"/>
      <c r="J160" s="102">
        <v>1</v>
      </c>
      <c r="K160" s="218">
        <v>21</v>
      </c>
      <c r="L160" s="218">
        <v>60</v>
      </c>
      <c r="M160" s="218">
        <v>640</v>
      </c>
      <c r="N160" s="218">
        <v>28</v>
      </c>
      <c r="O160" s="218">
        <v>1300</v>
      </c>
      <c r="P160" s="112"/>
      <c r="Q160">
        <f t="shared" si="4"/>
        <v>2015</v>
      </c>
      <c r="R160">
        <f t="shared" si="5"/>
        <v>8</v>
      </c>
      <c r="S160" s="112"/>
      <c r="T160" s="102"/>
    </row>
    <row r="161" spans="1:20">
      <c r="A161" s="117">
        <v>5</v>
      </c>
      <c r="B161" s="102" t="s">
        <v>253</v>
      </c>
      <c r="C161" s="206">
        <v>42290</v>
      </c>
      <c r="D161" s="102">
        <v>9</v>
      </c>
      <c r="E161" s="102">
        <v>10.6</v>
      </c>
      <c r="F161" s="218">
        <v>91</v>
      </c>
      <c r="G161" s="102">
        <v>8</v>
      </c>
      <c r="H161" s="218">
        <v>3</v>
      </c>
      <c r="I161" s="102"/>
      <c r="J161" s="102">
        <v>1.7</v>
      </c>
      <c r="K161" s="218">
        <v>10</v>
      </c>
      <c r="L161" s="218">
        <v>41</v>
      </c>
      <c r="M161" s="218">
        <v>190</v>
      </c>
      <c r="N161" s="218">
        <v>14</v>
      </c>
      <c r="O161" s="218">
        <v>1200</v>
      </c>
      <c r="P161" s="112"/>
      <c r="Q161">
        <f t="shared" si="4"/>
        <v>2015</v>
      </c>
      <c r="R161">
        <f t="shared" si="5"/>
        <v>10</v>
      </c>
      <c r="S161" s="112"/>
      <c r="T161" s="102"/>
    </row>
    <row r="162" spans="1:20">
      <c r="A162" s="117">
        <v>5</v>
      </c>
      <c r="B162" s="102" t="s">
        <v>253</v>
      </c>
      <c r="C162" s="206">
        <v>42352</v>
      </c>
      <c r="D162" s="102">
        <v>4.2</v>
      </c>
      <c r="E162" s="102">
        <v>11.6</v>
      </c>
      <c r="F162" s="218">
        <v>88</v>
      </c>
      <c r="G162" s="102">
        <v>7.9</v>
      </c>
      <c r="H162" s="218">
        <v>5.9</v>
      </c>
      <c r="I162" s="102"/>
      <c r="J162" s="102">
        <v>1.8</v>
      </c>
      <c r="K162" s="218">
        <v>36</v>
      </c>
      <c r="L162" s="218">
        <v>61</v>
      </c>
      <c r="M162" s="218">
        <v>3600</v>
      </c>
      <c r="N162" s="218">
        <v>78</v>
      </c>
      <c r="O162" s="218">
        <v>4900</v>
      </c>
      <c r="P162" s="112"/>
      <c r="Q162">
        <f t="shared" si="4"/>
        <v>2015</v>
      </c>
      <c r="R162">
        <f t="shared" si="5"/>
        <v>12</v>
      </c>
      <c r="S162" s="112"/>
      <c r="T162" s="102"/>
    </row>
    <row r="163" spans="1:20">
      <c r="A163" s="117">
        <v>5</v>
      </c>
      <c r="B163" s="102" t="s">
        <v>253</v>
      </c>
      <c r="C163" s="206">
        <v>42416</v>
      </c>
      <c r="D163" s="102">
        <v>1.5</v>
      </c>
      <c r="E163" s="102">
        <v>12.7</v>
      </c>
      <c r="F163" s="218">
        <v>89</v>
      </c>
      <c r="G163" s="102">
        <v>8</v>
      </c>
      <c r="H163" s="218">
        <v>5.5</v>
      </c>
      <c r="I163" s="102"/>
      <c r="J163" s="102">
        <v>2.1</v>
      </c>
      <c r="K163" s="218">
        <v>34</v>
      </c>
      <c r="L163" s="218">
        <v>70</v>
      </c>
      <c r="M163" s="218">
        <v>3500</v>
      </c>
      <c r="N163" s="218">
        <v>69</v>
      </c>
      <c r="O163" s="218">
        <v>3900</v>
      </c>
      <c r="P163" s="112"/>
      <c r="Q163">
        <f t="shared" si="4"/>
        <v>2016</v>
      </c>
      <c r="R163">
        <f t="shared" si="5"/>
        <v>2</v>
      </c>
      <c r="S163" s="112"/>
      <c r="T163" s="102"/>
    </row>
    <row r="164" spans="1:20">
      <c r="A164" s="117">
        <v>5</v>
      </c>
      <c r="B164" s="102" t="s">
        <v>253</v>
      </c>
      <c r="C164" s="206">
        <v>42472</v>
      </c>
      <c r="D164" s="102">
        <v>8.6999999999999993</v>
      </c>
      <c r="E164" s="102">
        <v>11.5</v>
      </c>
      <c r="F164" s="218">
        <v>99</v>
      </c>
      <c r="G164" s="102">
        <v>8</v>
      </c>
      <c r="H164" s="218">
        <v>4.3</v>
      </c>
      <c r="I164" s="102"/>
      <c r="J164" s="102">
        <v>2.7</v>
      </c>
      <c r="K164" s="218">
        <v>9.9</v>
      </c>
      <c r="L164" s="218">
        <v>42</v>
      </c>
      <c r="M164" s="218">
        <v>1600</v>
      </c>
      <c r="N164" s="218">
        <v>70</v>
      </c>
      <c r="O164" s="218">
        <v>2300</v>
      </c>
      <c r="P164" s="112"/>
      <c r="Q164">
        <f t="shared" si="4"/>
        <v>2016</v>
      </c>
      <c r="R164">
        <f t="shared" si="5"/>
        <v>4</v>
      </c>
      <c r="S164" s="112"/>
      <c r="T164" s="102"/>
    </row>
    <row r="165" spans="1:20">
      <c r="A165" s="117">
        <v>5</v>
      </c>
      <c r="B165" s="102" t="s">
        <v>253</v>
      </c>
      <c r="C165" s="206">
        <v>42536</v>
      </c>
      <c r="D165" s="102">
        <v>17.2</v>
      </c>
      <c r="E165" s="102">
        <v>7.2</v>
      </c>
      <c r="F165" s="218">
        <v>76</v>
      </c>
      <c r="G165" s="102">
        <v>7.9</v>
      </c>
      <c r="H165" s="218">
        <v>3</v>
      </c>
      <c r="I165" s="102"/>
      <c r="J165" s="102">
        <v>1.5</v>
      </c>
      <c r="K165" s="218">
        <v>16</v>
      </c>
      <c r="L165" s="218">
        <v>37</v>
      </c>
      <c r="M165" s="218">
        <v>1400</v>
      </c>
      <c r="N165" s="218">
        <v>70</v>
      </c>
      <c r="O165" s="218">
        <v>2100</v>
      </c>
      <c r="P165" s="112"/>
      <c r="Q165">
        <f t="shared" si="4"/>
        <v>2016</v>
      </c>
      <c r="R165">
        <f t="shared" si="5"/>
        <v>6</v>
      </c>
      <c r="S165" s="112"/>
      <c r="T165" s="102"/>
    </row>
    <row r="166" spans="1:20">
      <c r="A166" s="117">
        <v>5</v>
      </c>
      <c r="B166" s="102" t="s">
        <v>253</v>
      </c>
      <c r="C166" s="206">
        <v>42592</v>
      </c>
      <c r="D166" s="102">
        <v>17.399999999999999</v>
      </c>
      <c r="E166" s="102">
        <v>7.5</v>
      </c>
      <c r="F166" s="218">
        <v>79</v>
      </c>
      <c r="G166" s="102">
        <v>7.8</v>
      </c>
      <c r="H166" s="218">
        <v>2.4</v>
      </c>
      <c r="I166" s="102"/>
      <c r="J166" s="102">
        <v>1.6</v>
      </c>
      <c r="K166" s="218">
        <v>14</v>
      </c>
      <c r="L166" s="218">
        <v>46</v>
      </c>
      <c r="M166" s="218">
        <v>680</v>
      </c>
      <c r="N166" s="218">
        <v>19</v>
      </c>
      <c r="O166" s="218">
        <v>1400</v>
      </c>
      <c r="P166" s="112"/>
      <c r="Q166">
        <f t="shared" si="4"/>
        <v>2016</v>
      </c>
      <c r="R166">
        <f t="shared" si="5"/>
        <v>8</v>
      </c>
      <c r="S166" s="112"/>
      <c r="T166" s="102"/>
    </row>
    <row r="167" spans="1:20">
      <c r="A167" s="117">
        <v>5</v>
      </c>
      <c r="B167" s="102" t="s">
        <v>253</v>
      </c>
      <c r="C167" s="206">
        <v>42661</v>
      </c>
      <c r="D167" s="102">
        <v>8.6999999999999993</v>
      </c>
      <c r="E167" s="102">
        <v>9</v>
      </c>
      <c r="F167" s="218">
        <v>77</v>
      </c>
      <c r="G167" s="102">
        <v>7.9</v>
      </c>
      <c r="H167" s="218">
        <v>2</v>
      </c>
      <c r="I167" s="102"/>
      <c r="J167" s="102">
        <v>1.2</v>
      </c>
      <c r="K167" s="218">
        <v>22</v>
      </c>
      <c r="L167" s="218">
        <v>64</v>
      </c>
      <c r="M167" s="218">
        <v>3700</v>
      </c>
      <c r="N167" s="218">
        <v>53</v>
      </c>
      <c r="O167" s="218">
        <v>3900</v>
      </c>
      <c r="P167" s="112"/>
      <c r="Q167">
        <f t="shared" si="4"/>
        <v>2016</v>
      </c>
      <c r="R167">
        <f t="shared" si="5"/>
        <v>10</v>
      </c>
      <c r="S167" s="112"/>
      <c r="T167" s="102"/>
    </row>
    <row r="168" spans="1:20">
      <c r="A168" s="117">
        <v>5</v>
      </c>
      <c r="B168" s="102" t="s">
        <v>253</v>
      </c>
      <c r="C168" s="206">
        <v>42724</v>
      </c>
      <c r="D168" s="102">
        <v>4.3</v>
      </c>
      <c r="E168" s="102">
        <v>10.6</v>
      </c>
      <c r="F168" s="218">
        <v>80</v>
      </c>
      <c r="G168" s="102">
        <v>7.9</v>
      </c>
      <c r="H168" s="218">
        <v>2.4</v>
      </c>
      <c r="I168" s="102"/>
      <c r="J168" s="102">
        <v>1.4</v>
      </c>
      <c r="K168" s="218">
        <v>33</v>
      </c>
      <c r="L168" s="218">
        <v>44</v>
      </c>
      <c r="M168" s="218">
        <v>4100</v>
      </c>
      <c r="N168" s="218">
        <v>92</v>
      </c>
      <c r="O168" s="218">
        <v>4500</v>
      </c>
      <c r="P168" s="112"/>
      <c r="Q168">
        <f t="shared" si="4"/>
        <v>2016</v>
      </c>
      <c r="R168">
        <f t="shared" si="5"/>
        <v>12</v>
      </c>
      <c r="S168" s="112"/>
      <c r="T168" s="102"/>
    </row>
    <row r="169" spans="1:20">
      <c r="A169" s="117">
        <v>5</v>
      </c>
      <c r="B169" s="102" t="s">
        <v>253</v>
      </c>
      <c r="C169" s="206">
        <v>42773</v>
      </c>
      <c r="D169" s="102">
        <v>1.9</v>
      </c>
      <c r="E169" s="102">
        <v>12.3</v>
      </c>
      <c r="F169" s="218">
        <v>88</v>
      </c>
      <c r="G169" s="102">
        <v>8</v>
      </c>
      <c r="H169" s="218">
        <v>2.2999999999999998</v>
      </c>
      <c r="I169" s="102"/>
      <c r="J169" s="102">
        <v>2.1</v>
      </c>
      <c r="K169" s="218">
        <v>20</v>
      </c>
      <c r="L169" s="218">
        <v>46</v>
      </c>
      <c r="M169" s="218">
        <v>2900</v>
      </c>
      <c r="N169" s="218">
        <v>75</v>
      </c>
      <c r="O169" s="218">
        <v>3300</v>
      </c>
      <c r="P169" s="112"/>
      <c r="Q169">
        <f t="shared" si="4"/>
        <v>2017</v>
      </c>
      <c r="R169">
        <f t="shared" si="5"/>
        <v>2</v>
      </c>
      <c r="S169" s="112"/>
      <c r="T169" s="102"/>
    </row>
    <row r="170" spans="1:20">
      <c r="A170" s="117">
        <v>5</v>
      </c>
      <c r="B170" s="102" t="s">
        <v>253</v>
      </c>
      <c r="C170" s="206">
        <v>42837</v>
      </c>
      <c r="D170" s="102">
        <v>8.6999999999999993</v>
      </c>
      <c r="E170" s="102">
        <v>11</v>
      </c>
      <c r="F170" s="218">
        <v>96</v>
      </c>
      <c r="G170" s="102">
        <v>8</v>
      </c>
      <c r="H170" s="218">
        <v>3.3</v>
      </c>
      <c r="I170" s="102"/>
      <c r="J170" s="102">
        <v>2</v>
      </c>
      <c r="K170" s="218">
        <v>4.8</v>
      </c>
      <c r="L170" s="218">
        <v>32</v>
      </c>
      <c r="M170" s="218">
        <v>2100</v>
      </c>
      <c r="N170" s="218">
        <v>42</v>
      </c>
      <c r="O170" s="218">
        <v>2800</v>
      </c>
      <c r="P170" s="112"/>
      <c r="Q170">
        <f t="shared" si="4"/>
        <v>2017</v>
      </c>
      <c r="R170">
        <f t="shared" si="5"/>
        <v>4</v>
      </c>
      <c r="S170" s="112"/>
      <c r="T170" s="102"/>
    </row>
    <row r="171" spans="1:20">
      <c r="A171" s="117">
        <v>5</v>
      </c>
      <c r="B171" s="102" t="s">
        <v>253</v>
      </c>
      <c r="C171" s="206">
        <v>42901</v>
      </c>
      <c r="D171" s="102">
        <v>17.8</v>
      </c>
      <c r="E171" s="102">
        <v>8.5</v>
      </c>
      <c r="F171" s="218">
        <v>89</v>
      </c>
      <c r="G171" s="102">
        <v>8</v>
      </c>
      <c r="H171" s="218">
        <v>2.6</v>
      </c>
      <c r="I171" s="102"/>
      <c r="J171" s="102">
        <v>2.0099999999999998</v>
      </c>
      <c r="K171" s="218">
        <v>13</v>
      </c>
      <c r="L171" s="218">
        <v>45</v>
      </c>
      <c r="M171" s="218">
        <v>950</v>
      </c>
      <c r="N171" s="218">
        <v>28</v>
      </c>
      <c r="O171" s="218">
        <v>1500</v>
      </c>
      <c r="P171" s="112"/>
      <c r="Q171">
        <f t="shared" si="4"/>
        <v>2017</v>
      </c>
      <c r="R171">
        <f t="shared" si="5"/>
        <v>6</v>
      </c>
      <c r="S171" s="112"/>
      <c r="T171" s="102"/>
    </row>
    <row r="172" spans="1:20">
      <c r="A172" s="117">
        <v>5</v>
      </c>
      <c r="B172" s="102" t="s">
        <v>253</v>
      </c>
      <c r="C172" s="206">
        <v>42963</v>
      </c>
      <c r="D172" s="102">
        <v>18.5</v>
      </c>
      <c r="E172" s="102">
        <v>6.9</v>
      </c>
      <c r="F172" s="218">
        <v>73</v>
      </c>
      <c r="G172" s="102">
        <v>7.9</v>
      </c>
      <c r="H172" s="218">
        <v>2.7</v>
      </c>
      <c r="I172" s="102"/>
      <c r="J172" s="102">
        <v>1.5</v>
      </c>
      <c r="K172" s="218">
        <v>17</v>
      </c>
      <c r="L172" s="218">
        <v>62</v>
      </c>
      <c r="M172" s="218">
        <v>420</v>
      </c>
      <c r="N172" s="218">
        <v>16</v>
      </c>
      <c r="O172" s="218">
        <v>990</v>
      </c>
      <c r="P172" s="112"/>
      <c r="Q172">
        <f t="shared" si="4"/>
        <v>2017</v>
      </c>
      <c r="R172">
        <f t="shared" si="5"/>
        <v>8</v>
      </c>
      <c r="S172" s="112"/>
      <c r="T172" s="102"/>
    </row>
    <row r="173" spans="1:20">
      <c r="A173" s="117">
        <v>5</v>
      </c>
      <c r="B173" s="102" t="s">
        <v>253</v>
      </c>
      <c r="C173" s="206">
        <v>43027</v>
      </c>
      <c r="D173" s="102">
        <v>11.9</v>
      </c>
      <c r="E173" s="102">
        <v>7.2</v>
      </c>
      <c r="F173" s="218">
        <v>67</v>
      </c>
      <c r="G173" s="102">
        <v>7.9</v>
      </c>
      <c r="H173" s="218">
        <v>2.4</v>
      </c>
      <c r="I173" s="102"/>
      <c r="J173" s="102">
        <v>1.2</v>
      </c>
      <c r="K173" s="218">
        <v>32</v>
      </c>
      <c r="L173" s="218">
        <v>65</v>
      </c>
      <c r="M173" s="218">
        <v>2900</v>
      </c>
      <c r="N173" s="218">
        <v>57</v>
      </c>
      <c r="O173" s="218">
        <v>3600</v>
      </c>
      <c r="P173" s="112"/>
      <c r="Q173">
        <f t="shared" si="4"/>
        <v>2017</v>
      </c>
      <c r="R173">
        <f t="shared" si="5"/>
        <v>10</v>
      </c>
      <c r="S173" s="112"/>
      <c r="T173" s="102"/>
    </row>
    <row r="174" spans="1:20">
      <c r="A174" s="117">
        <v>5</v>
      </c>
      <c r="B174" s="102" t="s">
        <v>253</v>
      </c>
      <c r="C174" s="206">
        <v>43081</v>
      </c>
      <c r="D174" s="102">
        <v>2.4</v>
      </c>
      <c r="E174" s="102">
        <v>11.6</v>
      </c>
      <c r="F174" s="218">
        <v>87</v>
      </c>
      <c r="G174" s="102">
        <v>8</v>
      </c>
      <c r="H174" s="218">
        <v>4.8</v>
      </c>
      <c r="I174" s="102"/>
      <c r="J174" s="102">
        <v>1.5</v>
      </c>
      <c r="K174" s="218">
        <v>45</v>
      </c>
      <c r="L174" s="218">
        <v>73</v>
      </c>
      <c r="M174" s="218">
        <v>3200</v>
      </c>
      <c r="N174" s="218">
        <v>75</v>
      </c>
      <c r="O174" s="218">
        <v>4100</v>
      </c>
      <c r="P174" s="112"/>
      <c r="Q174">
        <f t="shared" si="4"/>
        <v>2017</v>
      </c>
      <c r="R174">
        <f t="shared" si="5"/>
        <v>12</v>
      </c>
      <c r="S174" s="112"/>
      <c r="T174" s="102"/>
    </row>
    <row r="175" spans="1:20">
      <c r="A175" s="117">
        <v>5</v>
      </c>
      <c r="B175" s="102" t="s">
        <v>253</v>
      </c>
      <c r="C175" s="206">
        <v>43151</v>
      </c>
      <c r="D175" s="102">
        <v>2.8</v>
      </c>
      <c r="E175" s="102">
        <v>11.4</v>
      </c>
      <c r="F175" s="218">
        <v>84</v>
      </c>
      <c r="G175" s="102">
        <v>7.78</v>
      </c>
      <c r="H175" s="218">
        <v>6</v>
      </c>
      <c r="I175" s="102"/>
      <c r="J175" s="102">
        <v>3.2</v>
      </c>
      <c r="K175" s="218">
        <v>33</v>
      </c>
      <c r="L175" s="218">
        <v>59</v>
      </c>
      <c r="M175" s="218">
        <v>3400</v>
      </c>
      <c r="N175" s="218">
        <v>87</v>
      </c>
      <c r="O175" s="218">
        <v>3800</v>
      </c>
      <c r="P175" s="112"/>
      <c r="Q175">
        <f t="shared" si="4"/>
        <v>2018</v>
      </c>
      <c r="R175">
        <f t="shared" si="5"/>
        <v>2</v>
      </c>
      <c r="S175" s="112"/>
      <c r="T175" s="102"/>
    </row>
    <row r="176" spans="1:20">
      <c r="A176" s="117">
        <v>5</v>
      </c>
      <c r="B176" s="102" t="s">
        <v>253</v>
      </c>
      <c r="C176" s="206">
        <v>43200</v>
      </c>
      <c r="D176" s="102">
        <v>9.1</v>
      </c>
      <c r="E176" s="102">
        <v>15.1</v>
      </c>
      <c r="F176" s="218">
        <v>131</v>
      </c>
      <c r="G176" s="102">
        <v>8.56</v>
      </c>
      <c r="H176" s="218">
        <v>6.1</v>
      </c>
      <c r="I176" s="102"/>
      <c r="J176" s="102">
        <v>5.2</v>
      </c>
      <c r="K176" s="218">
        <v>7</v>
      </c>
      <c r="L176" s="218">
        <v>44</v>
      </c>
      <c r="M176" s="218">
        <v>2500</v>
      </c>
      <c r="N176" s="218" t="s">
        <v>148</v>
      </c>
      <c r="O176" s="218">
        <v>3200</v>
      </c>
      <c r="P176" s="112"/>
      <c r="Q176">
        <f t="shared" si="4"/>
        <v>2018</v>
      </c>
      <c r="R176">
        <f t="shared" si="5"/>
        <v>4</v>
      </c>
      <c r="S176" s="112"/>
      <c r="T176" s="102"/>
    </row>
    <row r="177" spans="1:20">
      <c r="A177" s="117">
        <v>5</v>
      </c>
      <c r="B177" s="102" t="s">
        <v>253</v>
      </c>
      <c r="C177" s="206">
        <v>43270</v>
      </c>
      <c r="D177" s="102">
        <v>19.7</v>
      </c>
      <c r="E177" s="102">
        <v>7.6</v>
      </c>
      <c r="F177" s="218">
        <v>83</v>
      </c>
      <c r="G177" s="102">
        <v>7.68</v>
      </c>
      <c r="H177" s="218">
        <v>2.5</v>
      </c>
      <c r="I177" s="102"/>
      <c r="J177" s="102">
        <v>2.6</v>
      </c>
      <c r="K177" s="218">
        <v>15</v>
      </c>
      <c r="L177" s="218">
        <v>47</v>
      </c>
      <c r="M177" s="218">
        <v>1100</v>
      </c>
      <c r="N177" s="218">
        <v>34</v>
      </c>
      <c r="O177" s="218">
        <v>1600</v>
      </c>
      <c r="P177" s="112"/>
      <c r="Q177">
        <f t="shared" si="4"/>
        <v>2018</v>
      </c>
      <c r="R177">
        <f t="shared" si="5"/>
        <v>6</v>
      </c>
      <c r="S177" s="112"/>
      <c r="T177" s="102"/>
    </row>
    <row r="178" spans="1:20">
      <c r="A178" s="117">
        <v>5</v>
      </c>
      <c r="B178" s="102" t="s">
        <v>253</v>
      </c>
      <c r="C178" s="206">
        <v>43333</v>
      </c>
      <c r="D178" s="102">
        <v>20.9</v>
      </c>
      <c r="E178" s="102">
        <v>6.8</v>
      </c>
      <c r="F178" s="218">
        <v>76</v>
      </c>
      <c r="G178" s="102">
        <v>7.54</v>
      </c>
      <c r="H178" s="218">
        <v>1.8</v>
      </c>
      <c r="I178" s="102"/>
      <c r="J178" s="102">
        <v>2.1</v>
      </c>
      <c r="K178" s="218">
        <v>22</v>
      </c>
      <c r="L178" s="218">
        <v>46</v>
      </c>
      <c r="M178" s="218">
        <v>460</v>
      </c>
      <c r="N178" s="218">
        <v>26</v>
      </c>
      <c r="O178" s="218">
        <v>970</v>
      </c>
      <c r="P178" s="112"/>
      <c r="Q178">
        <f t="shared" si="4"/>
        <v>2018</v>
      </c>
      <c r="R178">
        <f t="shared" si="5"/>
        <v>8</v>
      </c>
      <c r="S178" s="112"/>
      <c r="T178" s="102"/>
    </row>
    <row r="179" spans="1:20">
      <c r="A179" s="117">
        <v>5</v>
      </c>
      <c r="B179" s="102" t="s">
        <v>253</v>
      </c>
      <c r="C179" s="206">
        <v>43389</v>
      </c>
      <c r="D179" s="102">
        <v>13.5</v>
      </c>
      <c r="E179" s="102">
        <v>9.6999999999999993</v>
      </c>
      <c r="F179" s="218">
        <v>93</v>
      </c>
      <c r="G179" s="102">
        <v>7.64</v>
      </c>
      <c r="H179" s="218">
        <v>1.4</v>
      </c>
      <c r="I179" s="102"/>
      <c r="J179" s="102">
        <v>2</v>
      </c>
      <c r="K179" s="218">
        <v>5</v>
      </c>
      <c r="L179" s="218">
        <v>48</v>
      </c>
      <c r="M179" s="218">
        <v>3700</v>
      </c>
      <c r="N179" s="218">
        <v>45</v>
      </c>
      <c r="O179" s="218">
        <v>4200</v>
      </c>
      <c r="P179" s="112"/>
      <c r="Q179">
        <f t="shared" si="4"/>
        <v>2018</v>
      </c>
      <c r="R179">
        <f t="shared" si="5"/>
        <v>10</v>
      </c>
      <c r="S179" s="112"/>
      <c r="T179" s="102"/>
    </row>
    <row r="180" spans="1:20">
      <c r="A180" s="117">
        <v>5</v>
      </c>
      <c r="B180" s="102" t="s">
        <v>253</v>
      </c>
      <c r="C180" s="206">
        <v>43447</v>
      </c>
      <c r="D180" s="102">
        <v>4.0999999999999996</v>
      </c>
      <c r="E180" s="102">
        <v>10.3</v>
      </c>
      <c r="F180" s="218">
        <v>79</v>
      </c>
      <c r="G180" s="102">
        <v>7.57</v>
      </c>
      <c r="H180" s="218">
        <v>3.7</v>
      </c>
      <c r="I180" s="102"/>
      <c r="J180" s="102">
        <v>2.4</v>
      </c>
      <c r="K180" s="218">
        <v>19</v>
      </c>
      <c r="L180" s="218">
        <v>61</v>
      </c>
      <c r="M180" s="218">
        <v>11000</v>
      </c>
      <c r="N180" s="218">
        <v>100</v>
      </c>
      <c r="O180" s="218">
        <v>10000</v>
      </c>
      <c r="P180" s="112"/>
      <c r="Q180">
        <f t="shared" si="4"/>
        <v>2018</v>
      </c>
      <c r="R180">
        <f t="shared" si="5"/>
        <v>12</v>
      </c>
      <c r="S180" s="112"/>
      <c r="T180" s="102"/>
    </row>
    <row r="181" spans="1:20">
      <c r="A181" s="117">
        <v>5</v>
      </c>
      <c r="B181" s="102" t="s">
        <v>253</v>
      </c>
      <c r="C181" s="206">
        <v>43515</v>
      </c>
      <c r="D181" s="102">
        <v>5</v>
      </c>
      <c r="E181" s="102">
        <v>13.4</v>
      </c>
      <c r="F181" s="218">
        <v>105</v>
      </c>
      <c r="G181" s="102">
        <v>8.1300000000000008</v>
      </c>
      <c r="H181" s="218">
        <v>5.4</v>
      </c>
      <c r="I181" s="102"/>
      <c r="J181" s="102">
        <v>3.2</v>
      </c>
      <c r="K181" s="218">
        <v>3.5</v>
      </c>
      <c r="L181" s="218">
        <v>57</v>
      </c>
      <c r="M181" s="218">
        <v>4800</v>
      </c>
      <c r="N181" s="218" t="s">
        <v>148</v>
      </c>
      <c r="O181" s="218">
        <v>5100</v>
      </c>
      <c r="P181" s="112"/>
      <c r="Q181">
        <f t="shared" si="4"/>
        <v>2019</v>
      </c>
      <c r="R181">
        <f t="shared" si="5"/>
        <v>2</v>
      </c>
      <c r="S181" s="112"/>
      <c r="T181" s="102"/>
    </row>
    <row r="182" spans="1:20">
      <c r="A182" s="117">
        <v>5</v>
      </c>
      <c r="B182" s="102" t="s">
        <v>253</v>
      </c>
      <c r="C182" s="206">
        <v>43571</v>
      </c>
      <c r="D182" s="102">
        <v>7.8</v>
      </c>
      <c r="E182" s="102">
        <v>12.8</v>
      </c>
      <c r="F182" s="218">
        <v>108</v>
      </c>
      <c r="G182" s="102">
        <v>8.0500000000000007</v>
      </c>
      <c r="H182" s="218">
        <v>4.0999999999999996</v>
      </c>
      <c r="I182" s="102"/>
      <c r="J182" s="102">
        <v>4.2</v>
      </c>
      <c r="K182" s="218">
        <v>3.9</v>
      </c>
      <c r="L182" s="218">
        <v>28</v>
      </c>
      <c r="M182" s="218">
        <v>1800</v>
      </c>
      <c r="N182" s="218">
        <v>62</v>
      </c>
      <c r="O182" s="218">
        <v>2400</v>
      </c>
      <c r="P182" s="112"/>
      <c r="Q182">
        <f t="shared" si="4"/>
        <v>2019</v>
      </c>
      <c r="R182">
        <f t="shared" si="5"/>
        <v>4</v>
      </c>
      <c r="S182" s="112"/>
      <c r="T182" s="102"/>
    </row>
    <row r="183" spans="1:20">
      <c r="A183" s="117">
        <v>5</v>
      </c>
      <c r="B183" s="102" t="s">
        <v>253</v>
      </c>
      <c r="C183" s="206">
        <v>43635</v>
      </c>
      <c r="D183" s="102">
        <v>21.7</v>
      </c>
      <c r="E183" s="102">
        <v>8.1999999999999993</v>
      </c>
      <c r="F183" s="218">
        <v>93</v>
      </c>
      <c r="G183" s="102">
        <v>7.75</v>
      </c>
      <c r="H183" s="218">
        <v>2.6</v>
      </c>
      <c r="I183" s="102"/>
      <c r="J183" s="102">
        <v>2.2999999999999998</v>
      </c>
      <c r="K183" s="218">
        <v>15</v>
      </c>
      <c r="L183" s="218">
        <v>51</v>
      </c>
      <c r="M183" s="218">
        <v>960</v>
      </c>
      <c r="N183" s="218">
        <v>37</v>
      </c>
      <c r="O183" s="218">
        <v>1400</v>
      </c>
      <c r="P183" s="112"/>
      <c r="Q183">
        <f t="shared" si="4"/>
        <v>2019</v>
      </c>
      <c r="R183">
        <f t="shared" si="5"/>
        <v>6</v>
      </c>
      <c r="S183" s="112"/>
      <c r="T183" s="102"/>
    </row>
    <row r="184" spans="1:20">
      <c r="A184" s="117">
        <v>5</v>
      </c>
      <c r="B184" s="102" t="s">
        <v>253</v>
      </c>
      <c r="C184" s="206">
        <v>43698</v>
      </c>
      <c r="D184" s="102">
        <v>19</v>
      </c>
      <c r="E184" s="102">
        <v>7.4</v>
      </c>
      <c r="F184" s="218">
        <v>80</v>
      </c>
      <c r="G184" s="102">
        <v>7.72</v>
      </c>
      <c r="H184" s="218">
        <v>2.4</v>
      </c>
      <c r="I184" s="102"/>
      <c r="J184" s="102">
        <v>4.7</v>
      </c>
      <c r="K184" s="218">
        <v>30</v>
      </c>
      <c r="L184" s="218">
        <v>61</v>
      </c>
      <c r="M184" s="218">
        <v>350</v>
      </c>
      <c r="N184" s="218">
        <v>23</v>
      </c>
      <c r="O184" s="218">
        <v>830</v>
      </c>
      <c r="P184" s="112"/>
      <c r="Q184">
        <f t="shared" si="4"/>
        <v>2019</v>
      </c>
      <c r="R184">
        <f t="shared" si="5"/>
        <v>8</v>
      </c>
      <c r="S184" s="112"/>
      <c r="T184" s="102"/>
    </row>
    <row r="185" spans="1:20">
      <c r="A185" s="117">
        <v>5</v>
      </c>
      <c r="B185" s="102" t="s">
        <v>253</v>
      </c>
      <c r="C185" s="206">
        <v>43748</v>
      </c>
      <c r="D185" s="102">
        <v>9.9</v>
      </c>
      <c r="E185" s="102">
        <v>10</v>
      </c>
      <c r="F185" s="218">
        <v>89</v>
      </c>
      <c r="G185" s="102">
        <v>7.84</v>
      </c>
      <c r="H185" s="218">
        <v>2.1</v>
      </c>
      <c r="I185" s="102"/>
      <c r="J185" s="102">
        <v>2.2999999999999998</v>
      </c>
      <c r="K185" s="218">
        <v>18</v>
      </c>
      <c r="L185" s="218">
        <v>32</v>
      </c>
      <c r="M185" s="218">
        <v>1900</v>
      </c>
      <c r="N185" s="218">
        <v>70</v>
      </c>
      <c r="O185" s="218">
        <v>2800</v>
      </c>
      <c r="P185" s="112"/>
      <c r="Q185">
        <f t="shared" si="4"/>
        <v>2019</v>
      </c>
      <c r="R185">
        <f t="shared" si="5"/>
        <v>10</v>
      </c>
      <c r="S185" s="112"/>
      <c r="T185" s="102"/>
    </row>
    <row r="186" spans="1:20">
      <c r="A186" s="117">
        <v>5</v>
      </c>
      <c r="B186" s="102" t="s">
        <v>253</v>
      </c>
      <c r="C186" s="206">
        <v>43812</v>
      </c>
      <c r="D186" s="102">
        <v>5.0999999999999996</v>
      </c>
      <c r="E186" s="102">
        <v>10.9</v>
      </c>
      <c r="F186" s="218">
        <v>86</v>
      </c>
      <c r="G186" s="102">
        <v>7.77</v>
      </c>
      <c r="H186" s="218">
        <v>10.5</v>
      </c>
      <c r="I186" s="102"/>
      <c r="J186" s="102">
        <v>2.2000000000000002</v>
      </c>
      <c r="K186" s="218">
        <v>39</v>
      </c>
      <c r="L186" s="218">
        <v>79</v>
      </c>
      <c r="M186" s="218">
        <v>9800</v>
      </c>
      <c r="N186" s="218">
        <v>72</v>
      </c>
      <c r="O186" s="218">
        <v>10000</v>
      </c>
      <c r="P186" s="112"/>
      <c r="Q186">
        <f t="shared" si="4"/>
        <v>2019</v>
      </c>
      <c r="R186">
        <f t="shared" si="5"/>
        <v>12</v>
      </c>
      <c r="S186" s="112"/>
      <c r="T186" s="102"/>
    </row>
    <row r="187" spans="1:20">
      <c r="A187" s="117">
        <v>7</v>
      </c>
      <c r="B187" s="102" t="s">
        <v>254</v>
      </c>
      <c r="C187" s="206">
        <v>40192</v>
      </c>
      <c r="D187" s="102">
        <v>0.6</v>
      </c>
      <c r="E187" s="102">
        <v>14</v>
      </c>
      <c r="F187" s="218">
        <v>97</v>
      </c>
      <c r="G187" s="102">
        <v>8.18</v>
      </c>
      <c r="H187" s="218">
        <v>2.8</v>
      </c>
      <c r="I187" s="102"/>
      <c r="J187" s="102">
        <v>2.7</v>
      </c>
      <c r="K187" s="218">
        <v>76</v>
      </c>
      <c r="L187" s="218">
        <v>84</v>
      </c>
      <c r="M187" s="218">
        <v>2200</v>
      </c>
      <c r="N187" s="218">
        <v>120</v>
      </c>
      <c r="O187" s="218">
        <v>2700</v>
      </c>
      <c r="P187" s="112"/>
      <c r="Q187">
        <f t="shared" si="4"/>
        <v>2010</v>
      </c>
      <c r="R187">
        <f t="shared" si="5"/>
        <v>1</v>
      </c>
      <c r="S187" s="112"/>
      <c r="T187" s="102"/>
    </row>
    <row r="188" spans="1:20">
      <c r="A188" s="117">
        <v>7</v>
      </c>
      <c r="B188" s="102" t="s">
        <v>254</v>
      </c>
      <c r="C188" s="206">
        <v>40225</v>
      </c>
      <c r="D188" s="102">
        <v>0.6</v>
      </c>
      <c r="E188" s="102">
        <v>8.9</v>
      </c>
      <c r="F188" s="218">
        <v>62</v>
      </c>
      <c r="G188" s="102">
        <v>8.07</v>
      </c>
      <c r="H188" s="218">
        <v>1.4</v>
      </c>
      <c r="I188" s="102"/>
      <c r="J188" s="102">
        <v>3.3</v>
      </c>
      <c r="K188" s="218">
        <v>75</v>
      </c>
      <c r="L188" s="218">
        <v>76</v>
      </c>
      <c r="M188" s="218">
        <v>2100</v>
      </c>
      <c r="N188" s="218">
        <v>140</v>
      </c>
      <c r="O188" s="218">
        <v>3100</v>
      </c>
      <c r="P188" s="112"/>
      <c r="Q188">
        <f t="shared" si="4"/>
        <v>2010</v>
      </c>
      <c r="R188">
        <f t="shared" si="5"/>
        <v>2</v>
      </c>
      <c r="S188" s="112"/>
      <c r="T188" s="102"/>
    </row>
    <row r="189" spans="1:20">
      <c r="A189" s="117">
        <v>7</v>
      </c>
      <c r="B189" s="102" t="s">
        <v>254</v>
      </c>
      <c r="C189" s="206">
        <v>40247</v>
      </c>
      <c r="D189" s="102">
        <v>2.4</v>
      </c>
      <c r="E189" s="102">
        <v>13.5</v>
      </c>
      <c r="F189" s="218">
        <v>99</v>
      </c>
      <c r="G189" s="102">
        <v>8.07</v>
      </c>
      <c r="H189" s="218">
        <v>1</v>
      </c>
      <c r="I189" s="102"/>
      <c r="J189" s="102">
        <v>3.9</v>
      </c>
      <c r="K189" s="218">
        <v>59</v>
      </c>
      <c r="L189" s="218">
        <v>74</v>
      </c>
      <c r="M189" s="218">
        <v>2300</v>
      </c>
      <c r="N189" s="218">
        <v>82</v>
      </c>
      <c r="O189" s="218">
        <v>2900</v>
      </c>
      <c r="P189" s="112"/>
      <c r="Q189">
        <f t="shared" si="4"/>
        <v>2010</v>
      </c>
      <c r="R189">
        <f t="shared" si="5"/>
        <v>3</v>
      </c>
      <c r="S189" s="112"/>
      <c r="T189" s="102"/>
    </row>
    <row r="190" spans="1:20">
      <c r="A190" s="117">
        <v>7</v>
      </c>
      <c r="B190" s="102" t="s">
        <v>254</v>
      </c>
      <c r="C190" s="206">
        <v>40290</v>
      </c>
      <c r="D190" s="102">
        <v>8.3000000000000007</v>
      </c>
      <c r="E190" s="102">
        <v>9.4</v>
      </c>
      <c r="F190" s="218">
        <v>80</v>
      </c>
      <c r="G190" s="102">
        <v>8.89</v>
      </c>
      <c r="H190" s="218">
        <v>2</v>
      </c>
      <c r="I190" s="102"/>
      <c r="J190" s="102">
        <v>5.6</v>
      </c>
      <c r="K190" s="218">
        <v>3</v>
      </c>
      <c r="L190" s="218">
        <v>18</v>
      </c>
      <c r="M190" s="218">
        <v>2600</v>
      </c>
      <c r="N190" s="218">
        <v>19</v>
      </c>
      <c r="O190" s="218">
        <v>3500</v>
      </c>
      <c r="P190" s="112"/>
      <c r="Q190">
        <f t="shared" si="4"/>
        <v>2010</v>
      </c>
      <c r="R190">
        <f t="shared" si="5"/>
        <v>4</v>
      </c>
      <c r="S190" s="112"/>
      <c r="T190" s="102"/>
    </row>
    <row r="191" spans="1:20">
      <c r="A191" s="117">
        <v>7</v>
      </c>
      <c r="B191" s="102" t="s">
        <v>254</v>
      </c>
      <c r="C191" s="206">
        <v>40317</v>
      </c>
      <c r="D191" s="102">
        <v>11.5</v>
      </c>
      <c r="E191" s="102">
        <v>12.3</v>
      </c>
      <c r="F191" s="218">
        <v>113</v>
      </c>
      <c r="G191" s="102">
        <v>8.81</v>
      </c>
      <c r="H191" s="218">
        <v>3</v>
      </c>
      <c r="I191" s="102"/>
      <c r="J191" s="102">
        <v>3.3</v>
      </c>
      <c r="K191" s="218">
        <v>6</v>
      </c>
      <c r="L191" s="218">
        <v>21</v>
      </c>
      <c r="M191" s="218">
        <v>2300</v>
      </c>
      <c r="N191" s="218">
        <v>10</v>
      </c>
      <c r="O191" s="218">
        <v>2800</v>
      </c>
      <c r="P191" s="112"/>
      <c r="Q191">
        <f t="shared" si="4"/>
        <v>2010</v>
      </c>
      <c r="R191">
        <f t="shared" si="5"/>
        <v>5</v>
      </c>
      <c r="S191" s="112"/>
      <c r="T191" s="102"/>
    </row>
    <row r="192" spans="1:20">
      <c r="A192" s="117">
        <v>7</v>
      </c>
      <c r="B192" s="102" t="s">
        <v>254</v>
      </c>
      <c r="C192" s="206">
        <v>40346</v>
      </c>
      <c r="D192" s="102">
        <v>17</v>
      </c>
      <c r="E192" s="102">
        <v>11.1</v>
      </c>
      <c r="F192" s="218">
        <v>115</v>
      </c>
      <c r="G192" s="102">
        <v>8.56</v>
      </c>
      <c r="H192" s="218">
        <v>1.7</v>
      </c>
      <c r="I192" s="102"/>
      <c r="J192" s="102">
        <v>1.7</v>
      </c>
      <c r="K192" s="218">
        <v>2</v>
      </c>
      <c r="L192" s="218">
        <v>23</v>
      </c>
      <c r="M192" s="218">
        <v>1800</v>
      </c>
      <c r="N192" s="218">
        <v>16</v>
      </c>
      <c r="O192" s="218">
        <v>2400</v>
      </c>
      <c r="P192" s="112"/>
      <c r="Q192">
        <f t="shared" si="4"/>
        <v>2010</v>
      </c>
      <c r="R192">
        <f t="shared" si="5"/>
        <v>6</v>
      </c>
      <c r="S192" s="112"/>
      <c r="T192" s="102"/>
    </row>
    <row r="193" spans="1:20">
      <c r="A193" s="117">
        <v>7</v>
      </c>
      <c r="B193" s="102" t="s">
        <v>254</v>
      </c>
      <c r="C193" s="206">
        <v>40379</v>
      </c>
      <c r="D193" s="102">
        <v>22.7</v>
      </c>
      <c r="E193" s="102">
        <v>11.41</v>
      </c>
      <c r="F193" s="218">
        <v>132</v>
      </c>
      <c r="G193" s="102">
        <v>8.83</v>
      </c>
      <c r="H193" s="218">
        <v>6.1</v>
      </c>
      <c r="I193" s="102"/>
      <c r="J193" s="102">
        <v>6.5</v>
      </c>
      <c r="K193" s="218" t="s">
        <v>149</v>
      </c>
      <c r="L193" s="218">
        <v>54</v>
      </c>
      <c r="M193" s="218">
        <v>680</v>
      </c>
      <c r="N193" s="218">
        <v>13</v>
      </c>
      <c r="O193" s="218">
        <v>1100</v>
      </c>
      <c r="P193" s="112"/>
      <c r="Q193">
        <f t="shared" si="4"/>
        <v>2010</v>
      </c>
      <c r="R193">
        <f t="shared" si="5"/>
        <v>7</v>
      </c>
      <c r="S193" s="112"/>
      <c r="T193" s="102"/>
    </row>
    <row r="194" spans="1:20">
      <c r="A194" s="117">
        <v>7</v>
      </c>
      <c r="B194" s="102" t="s">
        <v>254</v>
      </c>
      <c r="C194" s="206">
        <v>40416</v>
      </c>
      <c r="D194" s="102">
        <v>17.899999999999999</v>
      </c>
      <c r="E194" s="102">
        <v>10.17</v>
      </c>
      <c r="F194" s="218">
        <v>107</v>
      </c>
      <c r="G194" s="102">
        <v>8.6300000000000008</v>
      </c>
      <c r="H194" s="218">
        <v>14</v>
      </c>
      <c r="I194" s="102"/>
      <c r="J194" s="102">
        <v>5.6</v>
      </c>
      <c r="K194" s="218">
        <v>96</v>
      </c>
      <c r="L194" s="218">
        <v>150</v>
      </c>
      <c r="M194" s="218">
        <v>12</v>
      </c>
      <c r="N194" s="218" t="s">
        <v>148</v>
      </c>
      <c r="O194" s="218">
        <v>1000</v>
      </c>
      <c r="P194" s="112"/>
      <c r="Q194">
        <f t="shared" si="4"/>
        <v>2010</v>
      </c>
      <c r="R194">
        <f t="shared" si="5"/>
        <v>8</v>
      </c>
      <c r="S194" s="112"/>
      <c r="T194" s="102"/>
    </row>
    <row r="195" spans="1:20">
      <c r="A195" s="117">
        <v>7</v>
      </c>
      <c r="B195" s="102" t="s">
        <v>254</v>
      </c>
      <c r="C195" s="206">
        <v>40444</v>
      </c>
      <c r="D195" s="102">
        <v>15.3</v>
      </c>
      <c r="E195" s="102">
        <v>10.54</v>
      </c>
      <c r="F195" s="218">
        <v>106</v>
      </c>
      <c r="G195" s="102">
        <v>8.26</v>
      </c>
      <c r="H195" s="218">
        <v>10</v>
      </c>
      <c r="I195" s="102"/>
      <c r="J195" s="102">
        <v>4.8</v>
      </c>
      <c r="K195" s="218">
        <v>23</v>
      </c>
      <c r="L195" s="218">
        <v>67</v>
      </c>
      <c r="M195" s="218" t="s">
        <v>148</v>
      </c>
      <c r="N195" s="218" t="s">
        <v>148</v>
      </c>
      <c r="O195" s="218">
        <v>1200</v>
      </c>
      <c r="P195" s="112"/>
      <c r="Q195">
        <f t="shared" si="4"/>
        <v>2010</v>
      </c>
      <c r="R195">
        <f t="shared" si="5"/>
        <v>9</v>
      </c>
      <c r="S195" s="112"/>
      <c r="T195" s="102"/>
    </row>
    <row r="196" spans="1:20">
      <c r="A196" s="117">
        <v>7</v>
      </c>
      <c r="B196" s="102" t="s">
        <v>254</v>
      </c>
      <c r="C196" s="206">
        <v>40471</v>
      </c>
      <c r="D196" s="102">
        <v>9.4</v>
      </c>
      <c r="E196" s="102">
        <v>9.1</v>
      </c>
      <c r="F196" s="218">
        <v>80</v>
      </c>
      <c r="G196" s="102">
        <v>8.15</v>
      </c>
      <c r="H196" s="218">
        <v>3.1</v>
      </c>
      <c r="I196" s="102"/>
      <c r="J196" s="102">
        <v>2.6</v>
      </c>
      <c r="K196" s="218">
        <v>3</v>
      </c>
      <c r="L196" s="218">
        <v>24</v>
      </c>
      <c r="M196" s="218">
        <v>14</v>
      </c>
      <c r="N196" s="218" t="s">
        <v>148</v>
      </c>
      <c r="O196" s="218">
        <v>610</v>
      </c>
      <c r="P196" s="112"/>
      <c r="Q196">
        <f t="shared" si="4"/>
        <v>2010</v>
      </c>
      <c r="R196">
        <f t="shared" si="5"/>
        <v>10</v>
      </c>
      <c r="S196" s="112"/>
      <c r="T196" s="102"/>
    </row>
    <row r="197" spans="1:20">
      <c r="A197" s="117">
        <v>7</v>
      </c>
      <c r="B197" s="102" t="s">
        <v>254</v>
      </c>
      <c r="C197" s="206">
        <v>40498</v>
      </c>
      <c r="D197" s="102">
        <v>6</v>
      </c>
      <c r="E197" s="102">
        <v>10.3</v>
      </c>
      <c r="F197" s="218">
        <v>83</v>
      </c>
      <c r="G197" s="102">
        <v>8.01</v>
      </c>
      <c r="H197" s="218">
        <v>2.9</v>
      </c>
      <c r="I197" s="102"/>
      <c r="J197" s="102">
        <v>2.7</v>
      </c>
      <c r="K197" s="218">
        <v>9</v>
      </c>
      <c r="L197" s="218">
        <v>46</v>
      </c>
      <c r="M197" s="218">
        <v>720</v>
      </c>
      <c r="N197" s="218">
        <v>48</v>
      </c>
      <c r="O197" s="218">
        <v>1300</v>
      </c>
      <c r="P197" s="112"/>
      <c r="Q197">
        <f t="shared" si="4"/>
        <v>2010</v>
      </c>
      <c r="R197">
        <f t="shared" si="5"/>
        <v>11</v>
      </c>
      <c r="S197" s="112"/>
      <c r="T197" s="102"/>
    </row>
    <row r="198" spans="1:20">
      <c r="A198" s="117">
        <v>7</v>
      </c>
      <c r="B198" s="102" t="s">
        <v>254</v>
      </c>
      <c r="C198" s="206">
        <v>40526</v>
      </c>
      <c r="D198" s="102">
        <v>0.4</v>
      </c>
      <c r="E198" s="102">
        <v>13.1</v>
      </c>
      <c r="F198" s="218">
        <v>91</v>
      </c>
      <c r="G198" s="102">
        <v>8.02</v>
      </c>
      <c r="H198" s="218">
        <v>2.1</v>
      </c>
      <c r="I198" s="102"/>
      <c r="J198" s="102">
        <v>3.4</v>
      </c>
      <c r="K198" s="218">
        <v>18</v>
      </c>
      <c r="L198" s="218">
        <v>31</v>
      </c>
      <c r="M198" s="218">
        <v>1900</v>
      </c>
      <c r="N198" s="218">
        <v>43</v>
      </c>
      <c r="O198" s="218">
        <v>2300</v>
      </c>
      <c r="P198" s="112"/>
      <c r="Q198">
        <f t="shared" si="4"/>
        <v>2010</v>
      </c>
      <c r="R198">
        <f t="shared" si="5"/>
        <v>12</v>
      </c>
      <c r="S198" s="112"/>
      <c r="T198" s="102"/>
    </row>
    <row r="199" spans="1:20">
      <c r="A199" s="117">
        <v>7</v>
      </c>
      <c r="B199" s="102" t="s">
        <v>254</v>
      </c>
      <c r="C199" s="216">
        <v>40554</v>
      </c>
      <c r="D199">
        <v>0.9</v>
      </c>
      <c r="E199" s="116">
        <v>13.1</v>
      </c>
      <c r="F199" s="101">
        <v>92</v>
      </c>
      <c r="G199">
        <v>8.02</v>
      </c>
      <c r="H199" s="116">
        <v>1.1000000000000001</v>
      </c>
      <c r="J199">
        <v>1.4</v>
      </c>
      <c r="K199">
        <v>15</v>
      </c>
      <c r="L199">
        <v>26</v>
      </c>
      <c r="M199">
        <v>2300</v>
      </c>
      <c r="N199">
        <v>68</v>
      </c>
      <c r="O199">
        <v>2900</v>
      </c>
      <c r="Q199">
        <f t="shared" ref="Q199:Q262" si="6">YEAR(C199)</f>
        <v>2011</v>
      </c>
      <c r="R199">
        <f t="shared" ref="R199:R262" si="7">MONTH(C199)</f>
        <v>1</v>
      </c>
    </row>
    <row r="200" spans="1:20">
      <c r="A200" s="117">
        <v>7</v>
      </c>
      <c r="B200" s="102" t="s">
        <v>254</v>
      </c>
      <c r="C200" s="216">
        <v>40589</v>
      </c>
      <c r="D200">
        <v>0.1</v>
      </c>
      <c r="E200" s="116">
        <v>12.6</v>
      </c>
      <c r="F200" s="101">
        <v>86</v>
      </c>
      <c r="G200">
        <v>7.94</v>
      </c>
      <c r="H200" s="116">
        <v>4.8</v>
      </c>
      <c r="J200">
        <v>3.5</v>
      </c>
      <c r="K200">
        <v>34</v>
      </c>
      <c r="L200">
        <v>54</v>
      </c>
      <c r="M200">
        <v>3500</v>
      </c>
      <c r="N200">
        <v>91</v>
      </c>
      <c r="O200">
        <v>4200</v>
      </c>
      <c r="Q200">
        <f t="shared" si="6"/>
        <v>2011</v>
      </c>
      <c r="R200">
        <f t="shared" si="7"/>
        <v>2</v>
      </c>
    </row>
    <row r="201" spans="1:20">
      <c r="A201" s="117">
        <v>7</v>
      </c>
      <c r="B201" s="102" t="s">
        <v>254</v>
      </c>
      <c r="C201" s="216">
        <v>40612</v>
      </c>
      <c r="D201">
        <v>1.8</v>
      </c>
      <c r="E201" s="116">
        <v>14.2</v>
      </c>
      <c r="F201" s="101">
        <v>120</v>
      </c>
      <c r="G201">
        <v>8.07</v>
      </c>
      <c r="H201" s="116">
        <v>5</v>
      </c>
      <c r="J201">
        <v>3</v>
      </c>
      <c r="K201">
        <v>28</v>
      </c>
      <c r="L201">
        <v>46</v>
      </c>
      <c r="M201">
        <v>3600</v>
      </c>
      <c r="N201">
        <v>15</v>
      </c>
      <c r="O201">
        <v>4500</v>
      </c>
      <c r="Q201">
        <f t="shared" si="6"/>
        <v>2011</v>
      </c>
      <c r="R201">
        <f t="shared" si="7"/>
        <v>3</v>
      </c>
    </row>
    <row r="202" spans="1:20">
      <c r="A202" s="117">
        <v>7</v>
      </c>
      <c r="B202" s="102" t="s">
        <v>254</v>
      </c>
      <c r="C202" s="216">
        <v>40646</v>
      </c>
      <c r="D202">
        <v>7.2</v>
      </c>
      <c r="E202" s="116">
        <v>11.2</v>
      </c>
      <c r="F202" s="101">
        <v>93</v>
      </c>
      <c r="G202">
        <v>8.2100000000000009</v>
      </c>
      <c r="H202" s="116">
        <v>2.4</v>
      </c>
      <c r="J202">
        <v>3.2</v>
      </c>
      <c r="K202" t="s">
        <v>148</v>
      </c>
      <c r="L202">
        <v>22</v>
      </c>
      <c r="M202">
        <v>2700</v>
      </c>
      <c r="N202">
        <v>12</v>
      </c>
      <c r="O202">
        <v>3400</v>
      </c>
      <c r="Q202">
        <f t="shared" si="6"/>
        <v>2011</v>
      </c>
      <c r="R202">
        <f t="shared" si="7"/>
        <v>4</v>
      </c>
    </row>
    <row r="203" spans="1:20">
      <c r="A203" s="117">
        <v>7</v>
      </c>
      <c r="B203" s="102" t="s">
        <v>254</v>
      </c>
      <c r="C203" s="216">
        <v>40673</v>
      </c>
      <c r="D203">
        <v>14.3</v>
      </c>
      <c r="E203" s="116">
        <v>10.5</v>
      </c>
      <c r="F203" s="101">
        <v>103</v>
      </c>
      <c r="G203">
        <v>8.2550000000000008</v>
      </c>
      <c r="H203" s="116">
        <v>1.7</v>
      </c>
      <c r="J203">
        <v>3.1</v>
      </c>
      <c r="K203">
        <v>3</v>
      </c>
      <c r="L203">
        <v>22</v>
      </c>
      <c r="M203">
        <v>1900</v>
      </c>
      <c r="N203">
        <v>36</v>
      </c>
      <c r="O203">
        <v>2400</v>
      </c>
      <c r="Q203">
        <f t="shared" si="6"/>
        <v>2011</v>
      </c>
      <c r="R203">
        <f t="shared" si="7"/>
        <v>5</v>
      </c>
    </row>
    <row r="204" spans="1:20">
      <c r="A204" s="117">
        <v>7</v>
      </c>
      <c r="B204" s="102" t="s">
        <v>254</v>
      </c>
      <c r="C204" s="216">
        <v>40710</v>
      </c>
      <c r="D204">
        <v>20.5</v>
      </c>
      <c r="E204" s="116">
        <v>9.1999999999999993</v>
      </c>
      <c r="F204" s="101">
        <v>102</v>
      </c>
      <c r="G204">
        <v>8.25</v>
      </c>
      <c r="H204" s="116">
        <v>5.2</v>
      </c>
      <c r="J204">
        <v>4.4000000000000004</v>
      </c>
      <c r="K204">
        <v>2.4</v>
      </c>
      <c r="L204">
        <v>19</v>
      </c>
      <c r="M204">
        <v>970</v>
      </c>
      <c r="N204">
        <v>23</v>
      </c>
      <c r="O204">
        <v>1600</v>
      </c>
      <c r="Q204">
        <f t="shared" si="6"/>
        <v>2011</v>
      </c>
      <c r="R204">
        <f t="shared" si="7"/>
        <v>6</v>
      </c>
    </row>
    <row r="205" spans="1:20">
      <c r="A205" s="117">
        <v>7</v>
      </c>
      <c r="B205" s="102" t="s">
        <v>254</v>
      </c>
      <c r="C205" s="216">
        <v>40738</v>
      </c>
      <c r="D205">
        <v>18.3</v>
      </c>
      <c r="E205" s="116">
        <v>8.6</v>
      </c>
      <c r="F205" s="101">
        <v>91</v>
      </c>
      <c r="G205">
        <v>8.26</v>
      </c>
      <c r="H205" s="116">
        <v>6.5</v>
      </c>
      <c r="J205">
        <v>3</v>
      </c>
      <c r="K205">
        <v>4</v>
      </c>
      <c r="L205">
        <v>31</v>
      </c>
      <c r="M205">
        <v>160</v>
      </c>
      <c r="N205">
        <v>34</v>
      </c>
      <c r="O205">
        <v>810</v>
      </c>
      <c r="Q205">
        <f t="shared" si="6"/>
        <v>2011</v>
      </c>
      <c r="R205">
        <f t="shared" si="7"/>
        <v>7</v>
      </c>
    </row>
    <row r="206" spans="1:20">
      <c r="A206" s="117">
        <v>7</v>
      </c>
      <c r="B206" s="102" t="s">
        <v>254</v>
      </c>
      <c r="C206" s="216">
        <v>40778</v>
      </c>
      <c r="D206">
        <v>18.7</v>
      </c>
      <c r="E206" s="116">
        <v>11.2</v>
      </c>
      <c r="F206" s="101">
        <v>120</v>
      </c>
      <c r="G206">
        <v>8.8000000000000007</v>
      </c>
      <c r="H206" s="116">
        <v>7.4</v>
      </c>
      <c r="J206">
        <v>3.1</v>
      </c>
      <c r="K206">
        <v>4</v>
      </c>
      <c r="L206">
        <v>24</v>
      </c>
      <c r="M206">
        <v>15</v>
      </c>
      <c r="N206">
        <v>11</v>
      </c>
      <c r="O206">
        <v>730</v>
      </c>
      <c r="Q206">
        <f t="shared" si="6"/>
        <v>2011</v>
      </c>
      <c r="R206">
        <f t="shared" si="7"/>
        <v>8</v>
      </c>
    </row>
    <row r="207" spans="1:20">
      <c r="A207" s="117">
        <v>7</v>
      </c>
      <c r="B207" s="102" t="s">
        <v>254</v>
      </c>
      <c r="C207" s="216">
        <v>40807</v>
      </c>
      <c r="D207">
        <v>15.3</v>
      </c>
      <c r="E207" s="116">
        <v>9.6999999999999993</v>
      </c>
      <c r="F207" s="101">
        <v>97</v>
      </c>
      <c r="G207">
        <v>8.69</v>
      </c>
      <c r="H207" s="116">
        <v>6.3</v>
      </c>
      <c r="J207">
        <v>2.2999999999999998</v>
      </c>
      <c r="K207" t="s">
        <v>149</v>
      </c>
      <c r="L207">
        <v>38</v>
      </c>
      <c r="M207">
        <v>43</v>
      </c>
      <c r="N207" t="s">
        <v>148</v>
      </c>
      <c r="O207">
        <v>790</v>
      </c>
      <c r="Q207">
        <f t="shared" si="6"/>
        <v>2011</v>
      </c>
      <c r="R207">
        <f t="shared" si="7"/>
        <v>9</v>
      </c>
    </row>
    <row r="208" spans="1:20">
      <c r="A208" s="117">
        <v>7</v>
      </c>
      <c r="B208" s="102" t="s">
        <v>254</v>
      </c>
      <c r="C208" s="216">
        <v>40834</v>
      </c>
      <c r="D208">
        <v>10.3</v>
      </c>
      <c r="E208" s="116">
        <v>10.3</v>
      </c>
      <c r="F208" s="101">
        <v>92</v>
      </c>
      <c r="G208">
        <v>8.48</v>
      </c>
      <c r="H208" s="116">
        <v>7.5</v>
      </c>
      <c r="J208">
        <v>1.9</v>
      </c>
      <c r="K208">
        <v>2</v>
      </c>
      <c r="L208">
        <v>32</v>
      </c>
      <c r="M208">
        <v>58</v>
      </c>
      <c r="N208" t="s">
        <v>148</v>
      </c>
      <c r="O208">
        <v>810</v>
      </c>
      <c r="Q208">
        <f t="shared" si="6"/>
        <v>2011</v>
      </c>
      <c r="R208">
        <f t="shared" si="7"/>
        <v>10</v>
      </c>
    </row>
    <row r="209" spans="1:20">
      <c r="A209" s="117">
        <v>7</v>
      </c>
      <c r="B209" s="102" t="s">
        <v>254</v>
      </c>
      <c r="C209" s="216">
        <v>40863</v>
      </c>
      <c r="D209">
        <v>6.8</v>
      </c>
      <c r="E209" s="116">
        <v>11.4</v>
      </c>
      <c r="F209" s="101">
        <v>94</v>
      </c>
      <c r="G209">
        <v>8.1</v>
      </c>
      <c r="H209" s="116">
        <v>1.6</v>
      </c>
      <c r="J209">
        <v>2.2000000000000002</v>
      </c>
      <c r="K209">
        <v>14</v>
      </c>
      <c r="L209">
        <v>24</v>
      </c>
      <c r="M209">
        <v>250</v>
      </c>
      <c r="N209">
        <v>95</v>
      </c>
      <c r="O209">
        <v>830</v>
      </c>
      <c r="Q209">
        <f t="shared" si="6"/>
        <v>2011</v>
      </c>
      <c r="R209">
        <f t="shared" si="7"/>
        <v>11</v>
      </c>
    </row>
    <row r="210" spans="1:20">
      <c r="A210" s="117">
        <v>7</v>
      </c>
      <c r="B210" s="102" t="s">
        <v>254</v>
      </c>
      <c r="C210" s="216">
        <v>40896</v>
      </c>
      <c r="D210">
        <v>3.3</v>
      </c>
      <c r="E210" s="116">
        <v>12.4</v>
      </c>
      <c r="F210" s="101">
        <v>93</v>
      </c>
      <c r="G210">
        <v>8.15</v>
      </c>
      <c r="H210" s="116">
        <v>3.5</v>
      </c>
      <c r="J210">
        <v>1.9</v>
      </c>
      <c r="K210">
        <v>22</v>
      </c>
      <c r="L210">
        <v>35</v>
      </c>
      <c r="M210">
        <v>1100</v>
      </c>
      <c r="N210">
        <v>99</v>
      </c>
      <c r="O210">
        <v>1800</v>
      </c>
      <c r="Q210">
        <f t="shared" si="6"/>
        <v>2011</v>
      </c>
      <c r="R210">
        <f t="shared" si="7"/>
        <v>12</v>
      </c>
    </row>
    <row r="211" spans="1:20" ht="13">
      <c r="A211" s="117">
        <v>7</v>
      </c>
      <c r="B211" s="102" t="s">
        <v>254</v>
      </c>
      <c r="C211" s="206">
        <v>40926</v>
      </c>
      <c r="D211" s="102">
        <v>2.6</v>
      </c>
      <c r="E211" s="102">
        <v>12.5</v>
      </c>
      <c r="F211" s="218">
        <v>92</v>
      </c>
      <c r="G211" s="102">
        <v>8.1999999999999993</v>
      </c>
      <c r="H211" s="102">
        <v>6.6</v>
      </c>
      <c r="I211" s="102"/>
      <c r="J211" s="102">
        <v>2.2999999999999998</v>
      </c>
      <c r="K211" s="218">
        <v>39</v>
      </c>
      <c r="L211" s="218">
        <v>51</v>
      </c>
      <c r="M211" s="218">
        <v>2600</v>
      </c>
      <c r="N211" s="218">
        <v>83</v>
      </c>
      <c r="O211" s="218">
        <v>3100</v>
      </c>
      <c r="P211" s="121"/>
      <c r="Q211">
        <f t="shared" si="6"/>
        <v>2012</v>
      </c>
      <c r="R211">
        <f t="shared" si="7"/>
        <v>1</v>
      </c>
      <c r="S211" s="103"/>
      <c r="T211" s="102"/>
    </row>
    <row r="212" spans="1:20">
      <c r="A212" s="117">
        <v>7</v>
      </c>
      <c r="B212" s="102" t="s">
        <v>254</v>
      </c>
      <c r="C212" s="206">
        <v>40949</v>
      </c>
      <c r="D212" s="102">
        <v>0.2</v>
      </c>
      <c r="E212" s="102">
        <v>14.2</v>
      </c>
      <c r="F212" s="218">
        <v>97</v>
      </c>
      <c r="G212" s="102">
        <v>8.3000000000000007</v>
      </c>
      <c r="H212" s="102">
        <v>2.9</v>
      </c>
      <c r="I212" s="102"/>
      <c r="J212" s="102" t="s">
        <v>287</v>
      </c>
      <c r="K212" s="218">
        <v>36</v>
      </c>
      <c r="L212" s="218">
        <v>49</v>
      </c>
      <c r="M212" s="218">
        <v>2900</v>
      </c>
      <c r="N212" s="218">
        <v>80</v>
      </c>
      <c r="O212" s="218">
        <v>3400</v>
      </c>
      <c r="P212" s="111"/>
      <c r="Q212">
        <f t="shared" si="6"/>
        <v>2012</v>
      </c>
      <c r="R212">
        <f t="shared" si="7"/>
        <v>2</v>
      </c>
      <c r="S212" s="119"/>
      <c r="T212" s="102"/>
    </row>
    <row r="213" spans="1:20">
      <c r="A213" s="117">
        <v>7</v>
      </c>
      <c r="B213" s="102" t="s">
        <v>254</v>
      </c>
      <c r="C213" s="206">
        <v>40983</v>
      </c>
      <c r="D213" s="102">
        <v>3.4</v>
      </c>
      <c r="E213" s="102">
        <v>12</v>
      </c>
      <c r="F213" s="218">
        <v>98</v>
      </c>
      <c r="G213" s="102">
        <v>8.1999999999999993</v>
      </c>
      <c r="H213" s="102">
        <v>2.7</v>
      </c>
      <c r="I213" s="102"/>
      <c r="J213" s="102">
        <v>1.8</v>
      </c>
      <c r="K213" s="218">
        <v>18</v>
      </c>
      <c r="L213" s="218">
        <v>40</v>
      </c>
      <c r="M213" s="218">
        <v>2900</v>
      </c>
      <c r="N213" s="218">
        <v>25</v>
      </c>
      <c r="O213" s="218">
        <v>3600</v>
      </c>
      <c r="P213" s="112"/>
      <c r="Q213">
        <f t="shared" si="6"/>
        <v>2012</v>
      </c>
      <c r="R213">
        <f t="shared" si="7"/>
        <v>3</v>
      </c>
      <c r="S213" s="112"/>
      <c r="T213" s="102"/>
    </row>
    <row r="214" spans="1:20">
      <c r="A214" s="117">
        <v>7</v>
      </c>
      <c r="B214" s="102" t="s">
        <v>254</v>
      </c>
      <c r="C214" s="206">
        <v>41012</v>
      </c>
      <c r="D214" s="102">
        <v>7.2</v>
      </c>
      <c r="E214" s="102">
        <v>12.1</v>
      </c>
      <c r="F214" s="218">
        <v>111</v>
      </c>
      <c r="G214" s="102">
        <v>8.5</v>
      </c>
      <c r="H214" s="102">
        <v>0.87</v>
      </c>
      <c r="I214" s="102"/>
      <c r="J214" s="102">
        <v>1.6</v>
      </c>
      <c r="K214" s="218">
        <v>4</v>
      </c>
      <c r="L214" s="218">
        <v>9.4</v>
      </c>
      <c r="M214" s="218">
        <v>2200</v>
      </c>
      <c r="N214" s="218">
        <v>16</v>
      </c>
      <c r="O214" s="218">
        <v>2800</v>
      </c>
      <c r="P214" s="112"/>
      <c r="Q214">
        <f t="shared" si="6"/>
        <v>2012</v>
      </c>
      <c r="R214">
        <f t="shared" si="7"/>
        <v>4</v>
      </c>
      <c r="S214" s="112"/>
      <c r="T214" s="102"/>
    </row>
    <row r="215" spans="1:20">
      <c r="A215" s="117">
        <v>7</v>
      </c>
      <c r="B215" s="102" t="s">
        <v>254</v>
      </c>
      <c r="C215" s="206">
        <v>41044</v>
      </c>
      <c r="D215" s="102">
        <v>13.9</v>
      </c>
      <c r="E215" s="102">
        <v>11.1</v>
      </c>
      <c r="F215" s="218">
        <v>109</v>
      </c>
      <c r="G215" s="102">
        <v>8.6</v>
      </c>
      <c r="H215" s="102">
        <v>1.7</v>
      </c>
      <c r="I215" s="102"/>
      <c r="J215" s="102">
        <v>2.2000000000000002</v>
      </c>
      <c r="K215" s="218">
        <v>3</v>
      </c>
      <c r="L215" s="218">
        <v>28</v>
      </c>
      <c r="M215" s="218">
        <v>1700</v>
      </c>
      <c r="N215" s="218">
        <v>10</v>
      </c>
      <c r="O215" s="218">
        <v>2300</v>
      </c>
      <c r="P215" s="112"/>
      <c r="Q215">
        <f t="shared" si="6"/>
        <v>2012</v>
      </c>
      <c r="R215">
        <f t="shared" si="7"/>
        <v>5</v>
      </c>
      <c r="S215" s="112"/>
      <c r="T215" s="102"/>
    </row>
    <row r="216" spans="1:20">
      <c r="A216" s="117">
        <v>7</v>
      </c>
      <c r="B216" s="102" t="s">
        <v>254</v>
      </c>
      <c r="C216" s="206">
        <v>41078</v>
      </c>
      <c r="D216" s="102">
        <v>18.899999999999999</v>
      </c>
      <c r="E216" s="102">
        <v>10.199999999999999</v>
      </c>
      <c r="F216" s="218">
        <v>110</v>
      </c>
      <c r="G216" s="102">
        <v>8.5</v>
      </c>
      <c r="H216" s="102">
        <v>4.7</v>
      </c>
      <c r="I216" s="102"/>
      <c r="J216" s="102">
        <v>2.4</v>
      </c>
      <c r="K216" s="218" t="s">
        <v>149</v>
      </c>
      <c r="L216" s="218">
        <v>23</v>
      </c>
      <c r="M216" s="218">
        <v>930</v>
      </c>
      <c r="N216" s="218" t="s">
        <v>148</v>
      </c>
      <c r="O216" s="218">
        <v>1700</v>
      </c>
      <c r="P216" s="112"/>
      <c r="Q216">
        <f t="shared" si="6"/>
        <v>2012</v>
      </c>
      <c r="R216">
        <f t="shared" si="7"/>
        <v>6</v>
      </c>
      <c r="S216" s="112"/>
      <c r="T216" s="102"/>
    </row>
    <row r="217" spans="1:20">
      <c r="A217" s="117">
        <v>7</v>
      </c>
      <c r="B217" s="102" t="s">
        <v>254</v>
      </c>
      <c r="C217" s="124">
        <v>41101</v>
      </c>
      <c r="D217" s="192">
        <v>19.5</v>
      </c>
      <c r="E217" s="192">
        <v>9.1999999999999993</v>
      </c>
      <c r="F217" s="204">
        <v>101</v>
      </c>
      <c r="G217" s="192">
        <v>8.5</v>
      </c>
      <c r="H217" s="192">
        <v>6.2</v>
      </c>
      <c r="I217" s="193"/>
      <c r="J217" s="194">
        <v>1.8</v>
      </c>
      <c r="K217" s="189">
        <v>3</v>
      </c>
      <c r="L217" s="195">
        <v>26</v>
      </c>
      <c r="M217" s="195">
        <v>680</v>
      </c>
      <c r="N217" s="195">
        <v>72</v>
      </c>
      <c r="O217" s="195">
        <v>1200</v>
      </c>
      <c r="P217" s="201"/>
      <c r="Q217">
        <f t="shared" si="6"/>
        <v>2012</v>
      </c>
      <c r="R217">
        <f t="shared" si="7"/>
        <v>7</v>
      </c>
      <c r="T217" s="102"/>
    </row>
    <row r="218" spans="1:20">
      <c r="A218" s="117">
        <v>7</v>
      </c>
      <c r="B218" s="102" t="s">
        <v>254</v>
      </c>
      <c r="C218" s="124">
        <v>41136</v>
      </c>
      <c r="D218" s="193">
        <v>21.4</v>
      </c>
      <c r="E218" s="193">
        <v>12.4</v>
      </c>
      <c r="F218" s="204">
        <v>139</v>
      </c>
      <c r="G218" s="193">
        <v>8.8000000000000007</v>
      </c>
      <c r="H218" s="193">
        <v>8.9</v>
      </c>
      <c r="I218" s="193"/>
      <c r="J218" s="193">
        <v>5.2</v>
      </c>
      <c r="K218" s="189">
        <v>56</v>
      </c>
      <c r="L218" s="189">
        <v>140</v>
      </c>
      <c r="M218" s="189">
        <v>22</v>
      </c>
      <c r="N218" s="189">
        <v>63</v>
      </c>
      <c r="O218" s="189">
        <v>970</v>
      </c>
      <c r="P218" s="201"/>
      <c r="Q218">
        <f t="shared" si="6"/>
        <v>2012</v>
      </c>
      <c r="R218">
        <f t="shared" si="7"/>
        <v>8</v>
      </c>
      <c r="T218" s="102"/>
    </row>
    <row r="219" spans="1:20">
      <c r="A219" s="117">
        <v>7</v>
      </c>
      <c r="B219" s="102" t="s">
        <v>254</v>
      </c>
      <c r="C219" s="206">
        <v>41169</v>
      </c>
      <c r="D219" s="194">
        <v>16.399999999999999</v>
      </c>
      <c r="E219" s="193">
        <v>10.9</v>
      </c>
      <c r="F219" s="204">
        <v>113</v>
      </c>
      <c r="G219" s="193">
        <v>8.9</v>
      </c>
      <c r="H219" s="193">
        <v>12</v>
      </c>
      <c r="I219" s="193"/>
      <c r="J219" s="223">
        <v>5.2</v>
      </c>
      <c r="K219" s="195">
        <v>130</v>
      </c>
      <c r="L219" s="195">
        <v>200</v>
      </c>
      <c r="M219" s="195" t="s">
        <v>148</v>
      </c>
      <c r="N219" s="195" t="s">
        <v>148</v>
      </c>
      <c r="O219" s="195">
        <v>960</v>
      </c>
      <c r="P219" s="201"/>
      <c r="Q219">
        <f t="shared" si="6"/>
        <v>2012</v>
      </c>
      <c r="R219">
        <f t="shared" si="7"/>
        <v>9</v>
      </c>
      <c r="T219" s="102"/>
    </row>
    <row r="220" spans="1:20">
      <c r="A220" s="117">
        <v>7</v>
      </c>
      <c r="B220" s="102" t="s">
        <v>254</v>
      </c>
      <c r="C220" s="124">
        <v>41193</v>
      </c>
      <c r="D220" s="192">
        <v>12.5</v>
      </c>
      <c r="E220" s="192">
        <v>10.9</v>
      </c>
      <c r="F220" s="204">
        <v>102</v>
      </c>
      <c r="G220" s="192">
        <v>8.4</v>
      </c>
      <c r="H220" s="192">
        <v>9.3000000000000007</v>
      </c>
      <c r="I220" s="193"/>
      <c r="J220" s="193">
        <v>3.2</v>
      </c>
      <c r="K220" s="189">
        <v>140</v>
      </c>
      <c r="L220" s="195">
        <v>160</v>
      </c>
      <c r="M220" s="195">
        <v>85</v>
      </c>
      <c r="N220" s="195">
        <v>63</v>
      </c>
      <c r="O220" s="195">
        <v>890</v>
      </c>
      <c r="P220" s="200"/>
      <c r="Q220">
        <f t="shared" si="6"/>
        <v>2012</v>
      </c>
      <c r="R220">
        <f t="shared" si="7"/>
        <v>10</v>
      </c>
      <c r="T220" s="102"/>
    </row>
    <row r="221" spans="1:20">
      <c r="A221" s="117">
        <v>7</v>
      </c>
      <c r="B221" s="102" t="s">
        <v>254</v>
      </c>
      <c r="C221" s="206">
        <v>41225</v>
      </c>
      <c r="D221" s="192">
        <v>7</v>
      </c>
      <c r="E221" s="192">
        <v>11.7</v>
      </c>
      <c r="F221" s="204">
        <v>96</v>
      </c>
      <c r="G221" s="192">
        <v>8.3000000000000007</v>
      </c>
      <c r="H221" s="192">
        <v>1.3</v>
      </c>
      <c r="I221" s="193"/>
      <c r="J221" s="193">
        <v>1.5</v>
      </c>
      <c r="K221" s="189">
        <v>89</v>
      </c>
      <c r="L221" s="195">
        <v>110</v>
      </c>
      <c r="M221" s="195">
        <v>790</v>
      </c>
      <c r="N221" s="195">
        <v>77</v>
      </c>
      <c r="O221" s="195">
        <v>1100</v>
      </c>
      <c r="P221" s="200"/>
      <c r="Q221">
        <f t="shared" si="6"/>
        <v>2012</v>
      </c>
      <c r="R221">
        <f t="shared" si="7"/>
        <v>11</v>
      </c>
      <c r="T221" s="102"/>
    </row>
    <row r="222" spans="1:20">
      <c r="A222" s="117">
        <v>7</v>
      </c>
      <c r="B222" s="102" t="s">
        <v>254</v>
      </c>
      <c r="C222" s="125">
        <v>41263</v>
      </c>
      <c r="D222" s="193">
        <v>0.8</v>
      </c>
      <c r="E222" s="193">
        <v>12.9</v>
      </c>
      <c r="F222" s="204">
        <v>89</v>
      </c>
      <c r="G222" s="193">
        <v>8.1999999999999993</v>
      </c>
      <c r="H222" s="193">
        <v>0.65</v>
      </c>
      <c r="I222" s="193"/>
      <c r="J222" s="193">
        <v>1.6</v>
      </c>
      <c r="K222" s="189">
        <v>70</v>
      </c>
      <c r="L222" s="189">
        <v>91</v>
      </c>
      <c r="M222" s="189">
        <v>1400</v>
      </c>
      <c r="N222" s="189">
        <v>96</v>
      </c>
      <c r="O222" s="189">
        <v>1900</v>
      </c>
      <c r="P222" s="200"/>
      <c r="Q222">
        <f t="shared" si="6"/>
        <v>2012</v>
      </c>
      <c r="R222">
        <f t="shared" si="7"/>
        <v>12</v>
      </c>
      <c r="T222" s="102"/>
    </row>
    <row r="223" spans="1:20">
      <c r="A223" s="117">
        <v>7</v>
      </c>
      <c r="B223" s="102" t="s">
        <v>254</v>
      </c>
      <c r="C223" s="206">
        <v>41290</v>
      </c>
      <c r="D223" s="102">
        <v>1.4</v>
      </c>
      <c r="E223" s="102">
        <v>12.5</v>
      </c>
      <c r="F223" s="218">
        <v>89</v>
      </c>
      <c r="G223" s="102">
        <v>8.1999999999999993</v>
      </c>
      <c r="H223" s="218">
        <v>3.1</v>
      </c>
      <c r="I223" s="102"/>
      <c r="J223" s="102">
        <v>1.5</v>
      </c>
      <c r="K223" s="218">
        <v>52</v>
      </c>
      <c r="L223" s="218">
        <v>61</v>
      </c>
      <c r="M223" s="218">
        <v>3000</v>
      </c>
      <c r="N223" s="218">
        <v>72</v>
      </c>
      <c r="O223" s="218">
        <v>3300</v>
      </c>
      <c r="P223" s="112"/>
      <c r="Q223">
        <f t="shared" si="6"/>
        <v>2013</v>
      </c>
      <c r="R223">
        <f t="shared" si="7"/>
        <v>1</v>
      </c>
      <c r="S223" s="112"/>
      <c r="T223" s="102"/>
    </row>
    <row r="224" spans="1:20">
      <c r="A224" s="117">
        <v>7</v>
      </c>
      <c r="B224" s="102" t="s">
        <v>254</v>
      </c>
      <c r="C224" s="206">
        <v>41323</v>
      </c>
      <c r="D224" s="102">
        <v>1.5</v>
      </c>
      <c r="E224" s="102">
        <v>12.4</v>
      </c>
      <c r="F224" s="218">
        <v>89</v>
      </c>
      <c r="G224" s="102">
        <v>8.1</v>
      </c>
      <c r="H224" s="218">
        <v>2.4</v>
      </c>
      <c r="I224" s="102"/>
      <c r="J224" s="102">
        <v>1.5</v>
      </c>
      <c r="K224" s="218">
        <v>46</v>
      </c>
      <c r="L224" s="218">
        <v>59</v>
      </c>
      <c r="M224" s="218">
        <v>3300</v>
      </c>
      <c r="N224" s="218">
        <v>42</v>
      </c>
      <c r="O224" s="218">
        <v>3900</v>
      </c>
      <c r="P224" s="112"/>
      <c r="Q224">
        <f t="shared" si="6"/>
        <v>2013</v>
      </c>
      <c r="R224">
        <f t="shared" si="7"/>
        <v>2</v>
      </c>
      <c r="S224" s="112"/>
      <c r="T224" s="102"/>
    </row>
    <row r="225" spans="1:20">
      <c r="A225" s="117">
        <v>7</v>
      </c>
      <c r="B225" s="102" t="s">
        <v>254</v>
      </c>
      <c r="C225" s="206">
        <v>41347</v>
      </c>
      <c r="D225" s="102">
        <v>1.6</v>
      </c>
      <c r="E225" s="102">
        <v>13.5</v>
      </c>
      <c r="F225" s="218">
        <v>98</v>
      </c>
      <c r="G225" s="102">
        <v>8.1999999999999993</v>
      </c>
      <c r="H225" s="218">
        <v>2.2000000000000002</v>
      </c>
      <c r="I225" s="102"/>
      <c r="J225" s="102">
        <v>2.2999999999999998</v>
      </c>
      <c r="K225" s="218">
        <v>15</v>
      </c>
      <c r="L225" s="218">
        <v>42</v>
      </c>
      <c r="M225" s="218">
        <v>3400</v>
      </c>
      <c r="N225" s="218" t="s">
        <v>148</v>
      </c>
      <c r="O225" s="218">
        <v>3600</v>
      </c>
      <c r="P225" s="112"/>
      <c r="Q225">
        <f t="shared" si="6"/>
        <v>2013</v>
      </c>
      <c r="R225">
        <f t="shared" si="7"/>
        <v>3</v>
      </c>
      <c r="S225" s="112"/>
      <c r="T225" s="102"/>
    </row>
    <row r="226" spans="1:20">
      <c r="A226" s="117">
        <v>7</v>
      </c>
      <c r="B226" s="102" t="s">
        <v>254</v>
      </c>
      <c r="C226" s="206">
        <v>41379</v>
      </c>
      <c r="D226" s="102">
        <v>7.8</v>
      </c>
      <c r="E226" s="102">
        <v>12.3</v>
      </c>
      <c r="F226" s="218">
        <v>103</v>
      </c>
      <c r="G226" s="102">
        <v>8.6999999999999993</v>
      </c>
      <c r="H226" s="218">
        <v>13</v>
      </c>
      <c r="I226" s="102"/>
      <c r="J226" s="102">
        <v>3.7</v>
      </c>
      <c r="K226" s="218" t="s">
        <v>149</v>
      </c>
      <c r="L226" s="218">
        <v>38</v>
      </c>
      <c r="M226" s="218">
        <v>2200</v>
      </c>
      <c r="N226" s="218">
        <v>10</v>
      </c>
      <c r="O226" s="218">
        <v>3200</v>
      </c>
      <c r="P226" s="112"/>
      <c r="Q226">
        <f t="shared" si="6"/>
        <v>2013</v>
      </c>
      <c r="R226">
        <f t="shared" si="7"/>
        <v>4</v>
      </c>
      <c r="S226" s="112"/>
      <c r="T226" s="102"/>
    </row>
    <row r="227" spans="1:20">
      <c r="A227" s="117">
        <v>7</v>
      </c>
      <c r="B227" s="102" t="s">
        <v>254</v>
      </c>
      <c r="C227" s="206">
        <v>41408</v>
      </c>
      <c r="D227" s="102">
        <v>14.1</v>
      </c>
      <c r="E227" s="102">
        <v>10.6</v>
      </c>
      <c r="F227" s="218">
        <v>102</v>
      </c>
      <c r="G227" s="102">
        <v>8.5</v>
      </c>
      <c r="H227" s="218">
        <v>2.2999999999999998</v>
      </c>
      <c r="I227" s="102"/>
      <c r="J227" s="102">
        <v>2.2000000000000002</v>
      </c>
      <c r="K227" s="218">
        <v>4</v>
      </c>
      <c r="L227" s="218">
        <v>18</v>
      </c>
      <c r="M227" s="218">
        <v>1700</v>
      </c>
      <c r="N227" s="218">
        <v>12</v>
      </c>
      <c r="O227" s="218">
        <v>2300</v>
      </c>
      <c r="P227" s="112"/>
      <c r="Q227">
        <f t="shared" si="6"/>
        <v>2013</v>
      </c>
      <c r="R227">
        <f t="shared" si="7"/>
        <v>5</v>
      </c>
      <c r="S227" s="112"/>
      <c r="T227" s="102"/>
    </row>
    <row r="228" spans="1:20">
      <c r="A228" s="117">
        <v>7</v>
      </c>
      <c r="B228" s="102" t="s">
        <v>254</v>
      </c>
      <c r="C228" s="206">
        <v>41443</v>
      </c>
      <c r="D228" s="102">
        <v>15.3</v>
      </c>
      <c r="E228" s="102">
        <v>8.5</v>
      </c>
      <c r="F228" s="218">
        <v>85</v>
      </c>
      <c r="G228" s="102">
        <v>8.4</v>
      </c>
      <c r="H228" s="218">
        <v>3.4</v>
      </c>
      <c r="I228" s="102"/>
      <c r="J228" s="102">
        <v>1.5</v>
      </c>
      <c r="K228" s="218">
        <v>5</v>
      </c>
      <c r="L228" s="218">
        <v>30</v>
      </c>
      <c r="M228" s="218">
        <v>680</v>
      </c>
      <c r="N228" s="218">
        <v>75</v>
      </c>
      <c r="O228" s="218">
        <v>1600</v>
      </c>
      <c r="P228" s="112"/>
      <c r="Q228">
        <f t="shared" si="6"/>
        <v>2013</v>
      </c>
      <c r="R228">
        <f t="shared" si="7"/>
        <v>6</v>
      </c>
      <c r="S228" s="112"/>
      <c r="T228" s="102"/>
    </row>
    <row r="229" spans="1:20">
      <c r="A229" s="117">
        <v>7</v>
      </c>
      <c r="B229" s="102" t="s">
        <v>254</v>
      </c>
      <c r="C229" s="206">
        <v>41465</v>
      </c>
      <c r="D229" s="102">
        <v>19.5</v>
      </c>
      <c r="E229" s="102">
        <v>10.9</v>
      </c>
      <c r="F229" s="218">
        <v>117</v>
      </c>
      <c r="G229" s="102">
        <v>8.6999999999999993</v>
      </c>
      <c r="H229" s="218">
        <v>10</v>
      </c>
      <c r="I229" s="102"/>
      <c r="J229" s="102">
        <v>4.9000000000000004</v>
      </c>
      <c r="K229" s="218" t="s">
        <v>149</v>
      </c>
      <c r="L229" s="218">
        <v>44</v>
      </c>
      <c r="M229" s="218">
        <v>32</v>
      </c>
      <c r="N229" s="218">
        <v>26</v>
      </c>
      <c r="O229" s="218">
        <v>1100</v>
      </c>
      <c r="P229" s="112"/>
      <c r="Q229">
        <f t="shared" si="6"/>
        <v>2013</v>
      </c>
      <c r="R229">
        <f t="shared" si="7"/>
        <v>7</v>
      </c>
      <c r="S229" s="112"/>
      <c r="T229" s="102"/>
    </row>
    <row r="230" spans="1:20">
      <c r="A230" s="117">
        <v>7</v>
      </c>
      <c r="B230" s="102" t="s">
        <v>254</v>
      </c>
      <c r="C230" s="206">
        <v>41500</v>
      </c>
      <c r="D230" s="102">
        <v>18.8</v>
      </c>
      <c r="E230" s="102">
        <v>8.4</v>
      </c>
      <c r="F230" s="218">
        <v>90</v>
      </c>
      <c r="G230" s="102">
        <v>8.4</v>
      </c>
      <c r="H230" s="218">
        <v>9</v>
      </c>
      <c r="I230" s="102"/>
      <c r="J230" s="102" t="s">
        <v>288</v>
      </c>
      <c r="K230" s="218">
        <v>72</v>
      </c>
      <c r="L230" s="218">
        <v>160</v>
      </c>
      <c r="M230" s="218" t="s">
        <v>148</v>
      </c>
      <c r="N230" s="218">
        <v>210</v>
      </c>
      <c r="O230" s="218">
        <v>1600</v>
      </c>
      <c r="P230" s="112"/>
      <c r="Q230">
        <f t="shared" si="6"/>
        <v>2013</v>
      </c>
      <c r="R230">
        <f t="shared" si="7"/>
        <v>8</v>
      </c>
      <c r="S230" s="112"/>
      <c r="T230" s="102"/>
    </row>
    <row r="231" spans="1:20">
      <c r="A231" s="117">
        <v>7</v>
      </c>
      <c r="B231" s="102" t="s">
        <v>254</v>
      </c>
      <c r="C231" s="206">
        <v>41529</v>
      </c>
      <c r="D231" s="102">
        <v>17.7</v>
      </c>
      <c r="E231" s="102">
        <v>7.6</v>
      </c>
      <c r="F231" s="218">
        <v>83</v>
      </c>
      <c r="G231" s="102">
        <v>9</v>
      </c>
      <c r="H231" s="218">
        <v>12</v>
      </c>
      <c r="I231" s="102"/>
      <c r="J231" s="102" t="s">
        <v>288</v>
      </c>
      <c r="K231" s="218">
        <v>56</v>
      </c>
      <c r="L231" s="218">
        <v>130</v>
      </c>
      <c r="M231" s="218" t="s">
        <v>148</v>
      </c>
      <c r="N231" s="218">
        <v>29</v>
      </c>
      <c r="O231" s="218">
        <v>1200</v>
      </c>
      <c r="P231" s="112"/>
      <c r="Q231">
        <f t="shared" si="6"/>
        <v>2013</v>
      </c>
      <c r="R231">
        <f t="shared" si="7"/>
        <v>9</v>
      </c>
      <c r="S231" s="112"/>
      <c r="T231" s="102"/>
    </row>
    <row r="232" spans="1:20">
      <c r="A232" s="117">
        <v>7</v>
      </c>
      <c r="B232" s="102" t="s">
        <v>254</v>
      </c>
      <c r="C232" s="206">
        <v>41572</v>
      </c>
      <c r="D232" s="102">
        <v>10.7</v>
      </c>
      <c r="E232" s="102">
        <v>11</v>
      </c>
      <c r="F232" s="218">
        <v>99</v>
      </c>
      <c r="G232" s="102">
        <v>8.3000000000000007</v>
      </c>
      <c r="H232" s="218">
        <v>11</v>
      </c>
      <c r="I232" s="102"/>
      <c r="J232" s="102">
        <v>2.9</v>
      </c>
      <c r="K232" s="218">
        <v>8</v>
      </c>
      <c r="L232" s="218">
        <v>30</v>
      </c>
      <c r="M232" s="218" t="s">
        <v>148</v>
      </c>
      <c r="N232" s="218" t="s">
        <v>148</v>
      </c>
      <c r="O232" s="218">
        <v>860</v>
      </c>
      <c r="P232" s="112"/>
      <c r="Q232">
        <f t="shared" si="6"/>
        <v>2013</v>
      </c>
      <c r="R232">
        <f t="shared" si="7"/>
        <v>10</v>
      </c>
      <c r="S232" s="112"/>
      <c r="T232" s="102"/>
    </row>
    <row r="233" spans="1:20">
      <c r="A233" s="117">
        <v>7</v>
      </c>
      <c r="B233" s="102" t="s">
        <v>254</v>
      </c>
      <c r="C233" s="206">
        <v>41591</v>
      </c>
      <c r="D233" s="102">
        <v>7.6</v>
      </c>
      <c r="E233" s="102">
        <v>5.7</v>
      </c>
      <c r="F233" s="218">
        <v>49</v>
      </c>
      <c r="G233" s="102">
        <v>7.8</v>
      </c>
      <c r="H233" s="218">
        <v>1.7</v>
      </c>
      <c r="I233" s="102"/>
      <c r="J233" s="102">
        <v>1.6</v>
      </c>
      <c r="K233" s="218">
        <v>33</v>
      </c>
      <c r="L233" s="218">
        <v>61</v>
      </c>
      <c r="M233" s="218">
        <v>530</v>
      </c>
      <c r="N233" s="218">
        <v>340</v>
      </c>
      <c r="O233" s="218">
        <v>1600</v>
      </c>
      <c r="P233" s="112"/>
      <c r="Q233">
        <f t="shared" si="6"/>
        <v>2013</v>
      </c>
      <c r="R233">
        <f t="shared" si="7"/>
        <v>11</v>
      </c>
      <c r="S233" s="112"/>
      <c r="T233" s="102"/>
    </row>
    <row r="234" spans="1:20">
      <c r="A234" s="117">
        <v>7</v>
      </c>
      <c r="B234" s="102" t="s">
        <v>254</v>
      </c>
      <c r="C234" s="206">
        <v>41619</v>
      </c>
      <c r="D234" s="102">
        <v>4.3</v>
      </c>
      <c r="E234" s="102">
        <v>11.4</v>
      </c>
      <c r="F234" s="218">
        <v>89</v>
      </c>
      <c r="G234" s="102">
        <v>8.1999999999999993</v>
      </c>
      <c r="H234" s="218">
        <v>1.2</v>
      </c>
      <c r="I234" s="102"/>
      <c r="J234" s="102">
        <v>1.3</v>
      </c>
      <c r="K234" s="218">
        <v>23</v>
      </c>
      <c r="L234" s="218">
        <v>45</v>
      </c>
      <c r="M234" s="218">
        <v>1700</v>
      </c>
      <c r="N234" s="218">
        <v>120</v>
      </c>
      <c r="O234" s="218">
        <v>2300</v>
      </c>
      <c r="P234" s="112"/>
      <c r="Q234">
        <f t="shared" si="6"/>
        <v>2013</v>
      </c>
      <c r="R234">
        <f t="shared" si="7"/>
        <v>12</v>
      </c>
      <c r="S234" s="112"/>
      <c r="T234" s="102"/>
    </row>
    <row r="235" spans="1:20">
      <c r="A235" s="117">
        <v>7</v>
      </c>
      <c r="B235" s="102" t="s">
        <v>254</v>
      </c>
      <c r="C235" s="206">
        <v>41654</v>
      </c>
      <c r="D235" s="102">
        <v>3.1</v>
      </c>
      <c r="E235" s="102">
        <v>13.1</v>
      </c>
      <c r="F235" s="218">
        <v>100</v>
      </c>
      <c r="G235" s="102">
        <v>8.1999999999999993</v>
      </c>
      <c r="H235" s="218">
        <v>1.4</v>
      </c>
      <c r="I235" s="102"/>
      <c r="J235" s="102">
        <v>1.7</v>
      </c>
      <c r="K235" s="218">
        <v>29</v>
      </c>
      <c r="L235" s="218">
        <v>45</v>
      </c>
      <c r="M235" s="218">
        <v>2900</v>
      </c>
      <c r="N235" s="218">
        <v>99</v>
      </c>
      <c r="O235" s="218">
        <v>3600</v>
      </c>
      <c r="P235" s="112"/>
      <c r="Q235">
        <f t="shared" si="6"/>
        <v>2014</v>
      </c>
      <c r="R235">
        <f t="shared" si="7"/>
        <v>1</v>
      </c>
      <c r="S235" s="112"/>
      <c r="T235" s="102"/>
    </row>
    <row r="236" spans="1:20">
      <c r="A236" s="117">
        <v>7</v>
      </c>
      <c r="B236" s="102" t="s">
        <v>254</v>
      </c>
      <c r="C236" s="206">
        <v>41681</v>
      </c>
      <c r="D236" s="102">
        <v>1</v>
      </c>
      <c r="E236" s="102">
        <v>13.1</v>
      </c>
      <c r="F236" s="218">
        <v>97</v>
      </c>
      <c r="G236" s="102">
        <v>8.1999999999999993</v>
      </c>
      <c r="H236" s="218">
        <v>1</v>
      </c>
      <c r="I236" s="102"/>
      <c r="J236" s="102" t="s">
        <v>287</v>
      </c>
      <c r="K236" s="218">
        <v>21</v>
      </c>
      <c r="L236" s="218">
        <v>35</v>
      </c>
      <c r="M236" s="218">
        <v>3000</v>
      </c>
      <c r="N236" s="218">
        <v>64</v>
      </c>
      <c r="O236" s="218">
        <v>3500</v>
      </c>
      <c r="P236" s="112"/>
      <c r="Q236">
        <f t="shared" si="6"/>
        <v>2014</v>
      </c>
      <c r="R236">
        <f t="shared" si="7"/>
        <v>2</v>
      </c>
      <c r="S236" s="112"/>
      <c r="T236" s="102"/>
    </row>
    <row r="237" spans="1:20">
      <c r="A237" s="117">
        <v>7</v>
      </c>
      <c r="B237" s="102" t="s">
        <v>254</v>
      </c>
      <c r="C237" s="206">
        <v>41709</v>
      </c>
      <c r="D237" s="102">
        <v>4.9000000000000004</v>
      </c>
      <c r="E237" s="102">
        <v>14.4</v>
      </c>
      <c r="F237" s="218">
        <v>106</v>
      </c>
      <c r="G237" s="102">
        <v>8.3000000000000007</v>
      </c>
      <c r="H237" s="218">
        <v>1.1000000000000001</v>
      </c>
      <c r="I237" s="102"/>
      <c r="J237" s="102">
        <v>2</v>
      </c>
      <c r="K237" s="218">
        <v>9</v>
      </c>
      <c r="L237" s="218">
        <v>26</v>
      </c>
      <c r="M237" s="218">
        <v>3400</v>
      </c>
      <c r="N237" s="218" t="s">
        <v>148</v>
      </c>
      <c r="O237" s="218">
        <v>4300</v>
      </c>
      <c r="P237" s="112"/>
      <c r="Q237">
        <f t="shared" si="6"/>
        <v>2014</v>
      </c>
      <c r="R237">
        <f t="shared" si="7"/>
        <v>3</v>
      </c>
      <c r="S237" s="112"/>
      <c r="T237" s="102"/>
    </row>
    <row r="238" spans="1:20">
      <c r="A238" s="117">
        <v>7</v>
      </c>
      <c r="B238" s="102" t="s">
        <v>254</v>
      </c>
      <c r="C238" s="206">
        <v>41743</v>
      </c>
      <c r="D238" s="102">
        <v>7.8</v>
      </c>
      <c r="E238" s="102">
        <v>11.8</v>
      </c>
      <c r="F238" s="218">
        <v>98</v>
      </c>
      <c r="G238" s="102">
        <v>8.5</v>
      </c>
      <c r="H238" s="218">
        <v>0.96</v>
      </c>
      <c r="I238" s="102"/>
      <c r="J238" s="102">
        <v>2.1</v>
      </c>
      <c r="K238" s="218" t="s">
        <v>149</v>
      </c>
      <c r="L238" s="218">
        <v>12</v>
      </c>
      <c r="M238" s="218">
        <v>2500</v>
      </c>
      <c r="N238" s="218">
        <v>14</v>
      </c>
      <c r="O238" s="218">
        <v>3200</v>
      </c>
      <c r="P238" s="112"/>
      <c r="Q238">
        <f t="shared" si="6"/>
        <v>2014</v>
      </c>
      <c r="R238">
        <f t="shared" si="7"/>
        <v>4</v>
      </c>
      <c r="S238" s="112"/>
      <c r="T238" s="102"/>
    </row>
    <row r="239" spans="1:20">
      <c r="A239" s="117">
        <v>7</v>
      </c>
      <c r="B239" s="102" t="s">
        <v>254</v>
      </c>
      <c r="C239" s="206">
        <v>41771</v>
      </c>
      <c r="D239" s="102">
        <v>13.8</v>
      </c>
      <c r="E239" s="102">
        <v>12.3</v>
      </c>
      <c r="F239" s="218">
        <v>108</v>
      </c>
      <c r="G239" s="102">
        <v>8.4</v>
      </c>
      <c r="H239" s="218">
        <v>0.48</v>
      </c>
      <c r="I239" s="102"/>
      <c r="J239" s="102" t="s">
        <v>287</v>
      </c>
      <c r="K239" s="218">
        <v>5</v>
      </c>
      <c r="L239" s="218">
        <v>18</v>
      </c>
      <c r="M239" s="218">
        <v>2100</v>
      </c>
      <c r="N239" s="218">
        <v>34</v>
      </c>
      <c r="O239" s="218">
        <v>2900</v>
      </c>
      <c r="P239" s="112"/>
      <c r="Q239">
        <f t="shared" si="6"/>
        <v>2014</v>
      </c>
      <c r="R239">
        <f t="shared" si="7"/>
        <v>5</v>
      </c>
      <c r="S239" s="112"/>
      <c r="T239" s="102"/>
    </row>
    <row r="240" spans="1:20">
      <c r="A240" s="117">
        <v>7</v>
      </c>
      <c r="B240" s="102" t="s">
        <v>254</v>
      </c>
      <c r="C240" s="206">
        <v>41807</v>
      </c>
      <c r="D240" s="102">
        <v>20.100000000000001</v>
      </c>
      <c r="E240" s="102">
        <v>8</v>
      </c>
      <c r="F240" s="218">
        <v>87</v>
      </c>
      <c r="G240" s="102">
        <v>8.3000000000000007</v>
      </c>
      <c r="H240" s="218">
        <v>1.4</v>
      </c>
      <c r="I240" s="102"/>
      <c r="J240" s="102">
        <v>1.5</v>
      </c>
      <c r="K240" s="218" t="s">
        <v>149</v>
      </c>
      <c r="L240" s="218">
        <v>11</v>
      </c>
      <c r="M240" s="218">
        <v>1100</v>
      </c>
      <c r="N240" s="218">
        <v>30</v>
      </c>
      <c r="O240" s="218">
        <v>1800</v>
      </c>
      <c r="P240" s="112"/>
      <c r="Q240">
        <f t="shared" si="6"/>
        <v>2014</v>
      </c>
      <c r="R240">
        <f t="shared" si="7"/>
        <v>6</v>
      </c>
      <c r="S240" s="112"/>
      <c r="T240" s="102"/>
    </row>
    <row r="241" spans="1:20">
      <c r="A241" s="117">
        <v>7</v>
      </c>
      <c r="B241" s="102" t="s">
        <v>254</v>
      </c>
      <c r="C241" s="206">
        <v>41835</v>
      </c>
      <c r="D241" s="102">
        <v>21</v>
      </c>
      <c r="E241" s="102">
        <v>8.1</v>
      </c>
      <c r="F241" s="218">
        <v>90</v>
      </c>
      <c r="G241" s="102"/>
      <c r="H241" s="218"/>
      <c r="I241" s="102"/>
      <c r="J241" s="102"/>
      <c r="K241" s="218" t="s">
        <v>149</v>
      </c>
      <c r="L241" s="218">
        <v>22</v>
      </c>
      <c r="M241" s="218">
        <v>420</v>
      </c>
      <c r="N241" s="218" t="s">
        <v>148</v>
      </c>
      <c r="O241" s="218">
        <v>1100</v>
      </c>
      <c r="P241" s="112"/>
      <c r="Q241">
        <f t="shared" si="6"/>
        <v>2014</v>
      </c>
      <c r="R241">
        <f t="shared" si="7"/>
        <v>7</v>
      </c>
      <c r="S241" s="112"/>
      <c r="T241" s="102"/>
    </row>
    <row r="242" spans="1:20">
      <c r="A242" s="117">
        <v>7</v>
      </c>
      <c r="B242" s="102" t="s">
        <v>254</v>
      </c>
      <c r="C242" s="206">
        <v>41863</v>
      </c>
      <c r="D242" s="102">
        <v>20.100000000000001</v>
      </c>
      <c r="E242" s="102">
        <v>9.8000000000000007</v>
      </c>
      <c r="F242" s="218">
        <v>101</v>
      </c>
      <c r="G242" s="102">
        <v>8.5</v>
      </c>
      <c r="H242" s="218">
        <v>21</v>
      </c>
      <c r="I242" s="102"/>
      <c r="J242" s="102">
        <v>4.8</v>
      </c>
      <c r="K242" s="218">
        <v>16</v>
      </c>
      <c r="L242" s="218">
        <v>59</v>
      </c>
      <c r="M242" s="218">
        <v>49</v>
      </c>
      <c r="N242" s="218" t="s">
        <v>148</v>
      </c>
      <c r="O242" s="218">
        <v>1400</v>
      </c>
      <c r="P242" s="112"/>
      <c r="Q242">
        <f t="shared" si="6"/>
        <v>2014</v>
      </c>
      <c r="R242">
        <f t="shared" si="7"/>
        <v>8</v>
      </c>
      <c r="S242" s="112"/>
      <c r="T242" s="102"/>
    </row>
    <row r="243" spans="1:20">
      <c r="A243" s="117">
        <v>7</v>
      </c>
      <c r="B243" s="102" t="s">
        <v>254</v>
      </c>
      <c r="C243" s="206">
        <v>41893</v>
      </c>
      <c r="D243" s="102">
        <v>17.2</v>
      </c>
      <c r="E243" s="102">
        <v>8.4</v>
      </c>
      <c r="F243" s="218">
        <v>85</v>
      </c>
      <c r="G243" s="102">
        <v>8.6</v>
      </c>
      <c r="H243" s="218">
        <v>6.7</v>
      </c>
      <c r="I243" s="102"/>
      <c r="J243" s="102">
        <v>2.6</v>
      </c>
      <c r="K243" s="218">
        <v>36</v>
      </c>
      <c r="L243" s="218">
        <v>75</v>
      </c>
      <c r="M243" s="218" t="s">
        <v>148</v>
      </c>
      <c r="N243" s="218" t="s">
        <v>148</v>
      </c>
      <c r="O243" s="218">
        <v>660</v>
      </c>
      <c r="P243" s="112"/>
      <c r="Q243">
        <f t="shared" si="6"/>
        <v>2014</v>
      </c>
      <c r="R243">
        <f t="shared" si="7"/>
        <v>9</v>
      </c>
      <c r="S243" s="112"/>
      <c r="T243" s="102"/>
    </row>
    <row r="244" spans="1:20">
      <c r="A244" s="117">
        <v>7</v>
      </c>
      <c r="B244" s="102" t="s">
        <v>254</v>
      </c>
      <c r="C244" s="206">
        <v>41929</v>
      </c>
      <c r="D244" s="102">
        <v>12.7</v>
      </c>
      <c r="E244" s="102">
        <v>8.9</v>
      </c>
      <c r="F244" s="218">
        <v>89</v>
      </c>
      <c r="G244" s="102">
        <v>8.1999999999999993</v>
      </c>
      <c r="H244" s="218">
        <v>6.7</v>
      </c>
      <c r="I244" s="102"/>
      <c r="J244" s="102">
        <v>1.3</v>
      </c>
      <c r="K244" s="218">
        <v>30</v>
      </c>
      <c r="L244" s="218">
        <v>55</v>
      </c>
      <c r="M244" s="218">
        <v>96</v>
      </c>
      <c r="N244" s="218">
        <v>62</v>
      </c>
      <c r="O244" s="218">
        <v>830</v>
      </c>
      <c r="P244" s="112"/>
      <c r="Q244">
        <f t="shared" si="6"/>
        <v>2014</v>
      </c>
      <c r="R244">
        <f t="shared" si="7"/>
        <v>10</v>
      </c>
      <c r="S244" s="112"/>
      <c r="T244" s="102"/>
    </row>
    <row r="245" spans="1:20">
      <c r="A245" s="117">
        <v>7</v>
      </c>
      <c r="B245" s="102" t="s">
        <v>254</v>
      </c>
      <c r="C245" s="206">
        <v>41954</v>
      </c>
      <c r="D245" s="102">
        <v>10.199999999999999</v>
      </c>
      <c r="E245" s="102">
        <v>8.8000000000000007</v>
      </c>
      <c r="F245" s="218">
        <v>80</v>
      </c>
      <c r="G245" s="102">
        <v>8.1</v>
      </c>
      <c r="H245" s="102">
        <v>1.7</v>
      </c>
      <c r="I245" s="102"/>
      <c r="J245" s="102">
        <v>1.2</v>
      </c>
      <c r="K245" s="218">
        <v>66</v>
      </c>
      <c r="L245" s="218">
        <v>85</v>
      </c>
      <c r="M245" s="218">
        <v>1400</v>
      </c>
      <c r="N245" s="218">
        <v>170</v>
      </c>
      <c r="O245" s="218">
        <v>2100</v>
      </c>
      <c r="P245" s="112"/>
      <c r="Q245">
        <f t="shared" si="6"/>
        <v>2014</v>
      </c>
      <c r="R245">
        <f t="shared" si="7"/>
        <v>11</v>
      </c>
      <c r="S245" s="112"/>
      <c r="T245" s="102"/>
    </row>
    <row r="246" spans="1:20">
      <c r="A246" s="117">
        <v>7</v>
      </c>
      <c r="B246" s="102" t="s">
        <v>254</v>
      </c>
      <c r="C246" s="206">
        <v>41985</v>
      </c>
      <c r="D246" s="102">
        <v>5.2</v>
      </c>
      <c r="E246" s="102">
        <v>11.8</v>
      </c>
      <c r="F246" s="218">
        <v>91</v>
      </c>
      <c r="G246" s="102">
        <v>8.1999999999999993</v>
      </c>
      <c r="H246" s="102">
        <v>1.2</v>
      </c>
      <c r="I246" s="102"/>
      <c r="J246" s="102" t="s">
        <v>287</v>
      </c>
      <c r="K246" s="218">
        <v>64</v>
      </c>
      <c r="L246" s="218">
        <v>73</v>
      </c>
      <c r="M246" s="218">
        <v>1700</v>
      </c>
      <c r="N246" s="218">
        <v>130</v>
      </c>
      <c r="O246" s="218">
        <v>2300</v>
      </c>
      <c r="P246" s="112"/>
      <c r="Q246">
        <f t="shared" si="6"/>
        <v>2014</v>
      </c>
      <c r="R246">
        <f t="shared" si="7"/>
        <v>12</v>
      </c>
      <c r="S246" s="112"/>
      <c r="T246" s="102"/>
    </row>
    <row r="247" spans="1:20">
      <c r="A247" s="117">
        <v>7</v>
      </c>
      <c r="B247" s="102" t="s">
        <v>254</v>
      </c>
      <c r="C247" s="206">
        <v>42019</v>
      </c>
      <c r="D247" s="102">
        <v>2.8</v>
      </c>
      <c r="E247" s="102">
        <v>13.2</v>
      </c>
      <c r="F247" s="218">
        <v>102</v>
      </c>
      <c r="G247" s="102">
        <v>8.1999999999999993</v>
      </c>
      <c r="H247" s="218">
        <v>8.5</v>
      </c>
      <c r="I247" s="102"/>
      <c r="J247" s="102">
        <v>1.1000000000000001</v>
      </c>
      <c r="K247" s="218">
        <v>55</v>
      </c>
      <c r="L247" s="218">
        <v>81</v>
      </c>
      <c r="M247" s="218">
        <v>3800</v>
      </c>
      <c r="N247" s="218">
        <v>46</v>
      </c>
      <c r="O247" s="218">
        <v>4000</v>
      </c>
      <c r="P247" s="112"/>
      <c r="Q247">
        <f t="shared" si="6"/>
        <v>2015</v>
      </c>
      <c r="R247">
        <f t="shared" si="7"/>
        <v>1</v>
      </c>
      <c r="S247" s="112"/>
      <c r="T247" s="102"/>
    </row>
    <row r="248" spans="1:20">
      <c r="A248" s="117">
        <v>7</v>
      </c>
      <c r="B248" s="102" t="s">
        <v>254</v>
      </c>
      <c r="C248" s="206">
        <v>42045</v>
      </c>
      <c r="D248" s="102">
        <v>2.6</v>
      </c>
      <c r="E248" s="102">
        <v>13.6</v>
      </c>
      <c r="F248" s="218">
        <v>99</v>
      </c>
      <c r="G248" s="102">
        <v>8.1999999999999993</v>
      </c>
      <c r="H248" s="218">
        <v>4.5</v>
      </c>
      <c r="I248" s="102"/>
      <c r="J248" s="102">
        <v>1.7</v>
      </c>
      <c r="K248" s="218">
        <v>52</v>
      </c>
      <c r="L248" s="218">
        <v>64</v>
      </c>
      <c r="M248" s="218">
        <v>1200</v>
      </c>
      <c r="N248" s="218">
        <v>23</v>
      </c>
      <c r="O248" s="218">
        <v>4900</v>
      </c>
      <c r="P248" s="112"/>
      <c r="Q248">
        <f t="shared" si="6"/>
        <v>2015</v>
      </c>
      <c r="R248">
        <f t="shared" si="7"/>
        <v>2</v>
      </c>
      <c r="S248" s="112"/>
      <c r="T248" s="102"/>
    </row>
    <row r="249" spans="1:20">
      <c r="A249" s="117">
        <v>7</v>
      </c>
      <c r="B249" s="102" t="s">
        <v>254</v>
      </c>
      <c r="C249" s="206">
        <v>42075</v>
      </c>
      <c r="D249" s="102">
        <v>4.3</v>
      </c>
      <c r="E249" s="102">
        <v>13.4</v>
      </c>
      <c r="F249" s="218">
        <v>101</v>
      </c>
      <c r="G249" s="102">
        <v>8.3000000000000007</v>
      </c>
      <c r="H249" s="218">
        <v>2.2999999999999998</v>
      </c>
      <c r="I249" s="102"/>
      <c r="J249" s="102">
        <v>1.5</v>
      </c>
      <c r="K249" s="218">
        <v>32</v>
      </c>
      <c r="L249" s="218">
        <v>55</v>
      </c>
      <c r="M249" s="218">
        <v>4200</v>
      </c>
      <c r="N249" s="218" t="s">
        <v>148</v>
      </c>
      <c r="O249" s="218">
        <v>4500</v>
      </c>
      <c r="P249" s="112"/>
      <c r="Q249">
        <f t="shared" si="6"/>
        <v>2015</v>
      </c>
      <c r="R249">
        <f t="shared" si="7"/>
        <v>3</v>
      </c>
      <c r="S249" s="112"/>
      <c r="T249" s="102"/>
    </row>
    <row r="250" spans="1:20">
      <c r="A250" s="117">
        <v>7</v>
      </c>
      <c r="B250" s="102" t="s">
        <v>254</v>
      </c>
      <c r="C250" s="206">
        <v>42107</v>
      </c>
      <c r="D250" s="102">
        <v>7.4</v>
      </c>
      <c r="E250" s="102">
        <v>13.1</v>
      </c>
      <c r="F250" s="218">
        <v>107</v>
      </c>
      <c r="G250" s="102">
        <v>8.6</v>
      </c>
      <c r="H250" s="218">
        <v>1.6</v>
      </c>
      <c r="I250" s="102"/>
      <c r="J250" s="102">
        <v>2.7</v>
      </c>
      <c r="K250" s="218">
        <v>3.1</v>
      </c>
      <c r="L250" s="218">
        <v>21</v>
      </c>
      <c r="M250" s="218">
        <v>3500</v>
      </c>
      <c r="N250" s="218">
        <v>18</v>
      </c>
      <c r="O250" s="218">
        <v>3900</v>
      </c>
      <c r="P250" s="112"/>
      <c r="Q250">
        <f t="shared" si="6"/>
        <v>2015</v>
      </c>
      <c r="R250">
        <f t="shared" si="7"/>
        <v>4</v>
      </c>
      <c r="S250" s="112"/>
      <c r="T250" s="102"/>
    </row>
    <row r="251" spans="1:20">
      <c r="A251" s="117">
        <v>7</v>
      </c>
      <c r="B251" s="102" t="s">
        <v>254</v>
      </c>
      <c r="C251" s="206">
        <v>42142</v>
      </c>
      <c r="D251" s="102">
        <v>12.6</v>
      </c>
      <c r="E251" s="102">
        <v>10.4</v>
      </c>
      <c r="F251" s="218">
        <v>98</v>
      </c>
      <c r="G251" s="102">
        <v>8.3000000000000007</v>
      </c>
      <c r="H251" s="218">
        <v>0.74</v>
      </c>
      <c r="I251" s="102"/>
      <c r="J251" s="102">
        <v>1.6</v>
      </c>
      <c r="K251" s="218" t="s">
        <v>149</v>
      </c>
      <c r="L251" s="218">
        <v>14</v>
      </c>
      <c r="M251" s="218">
        <v>3000</v>
      </c>
      <c r="N251" s="218">
        <v>24</v>
      </c>
      <c r="O251" s="218">
        <v>3400</v>
      </c>
      <c r="P251" s="112"/>
      <c r="Q251">
        <f t="shared" si="6"/>
        <v>2015</v>
      </c>
      <c r="R251">
        <f t="shared" si="7"/>
        <v>5</v>
      </c>
      <c r="S251" s="112"/>
      <c r="T251" s="102"/>
    </row>
    <row r="252" spans="1:20">
      <c r="A252" s="117">
        <v>7</v>
      </c>
      <c r="B252" s="102" t="s">
        <v>254</v>
      </c>
      <c r="C252" s="206">
        <v>42172</v>
      </c>
      <c r="D252" s="102">
        <v>16.2</v>
      </c>
      <c r="E252" s="102">
        <v>10.4</v>
      </c>
      <c r="F252" s="218">
        <v>104</v>
      </c>
      <c r="G252" s="102">
        <v>8.5</v>
      </c>
      <c r="H252" s="218">
        <v>2.2999999999999998</v>
      </c>
      <c r="I252" s="102"/>
      <c r="J252" s="102">
        <v>1.9</v>
      </c>
      <c r="K252" s="218" t="s">
        <v>149</v>
      </c>
      <c r="L252" s="218">
        <v>20</v>
      </c>
      <c r="M252" s="218">
        <v>2500</v>
      </c>
      <c r="N252" s="218">
        <v>16</v>
      </c>
      <c r="O252" s="218">
        <v>3200</v>
      </c>
      <c r="P252" s="112"/>
      <c r="Q252">
        <f t="shared" si="6"/>
        <v>2015</v>
      </c>
      <c r="R252">
        <f t="shared" si="7"/>
        <v>6</v>
      </c>
      <c r="S252" s="112"/>
      <c r="T252" s="102"/>
    </row>
    <row r="253" spans="1:20">
      <c r="A253" s="117">
        <v>7</v>
      </c>
      <c r="B253" s="102" t="s">
        <v>254</v>
      </c>
      <c r="C253" s="206">
        <v>42199</v>
      </c>
      <c r="D253" s="102">
        <v>18.8</v>
      </c>
      <c r="E253" s="102">
        <v>8.9</v>
      </c>
      <c r="F253" s="218">
        <v>96</v>
      </c>
      <c r="G253" s="102">
        <v>8.4</v>
      </c>
      <c r="H253" s="218">
        <v>3.7</v>
      </c>
      <c r="I253" s="102"/>
      <c r="J253" s="102">
        <v>2.6</v>
      </c>
      <c r="K253" s="218" t="s">
        <v>149</v>
      </c>
      <c r="L253" s="218">
        <v>13</v>
      </c>
      <c r="M253" s="218">
        <v>1400</v>
      </c>
      <c r="N253" s="218">
        <v>18</v>
      </c>
      <c r="O253" s="218">
        <v>2300</v>
      </c>
      <c r="P253" s="112"/>
      <c r="Q253">
        <f t="shared" si="6"/>
        <v>2015</v>
      </c>
      <c r="R253">
        <f t="shared" si="7"/>
        <v>7</v>
      </c>
      <c r="S253" s="112"/>
      <c r="T253" s="102"/>
    </row>
    <row r="254" spans="1:20">
      <c r="A254" s="117">
        <v>7</v>
      </c>
      <c r="B254" s="102" t="s">
        <v>254</v>
      </c>
      <c r="C254" s="206">
        <v>42234</v>
      </c>
      <c r="D254" s="102">
        <v>18.8</v>
      </c>
      <c r="E254" s="102">
        <v>9.8000000000000007</v>
      </c>
      <c r="F254" s="218">
        <v>102</v>
      </c>
      <c r="G254" s="102">
        <v>8.6</v>
      </c>
      <c r="H254" s="218">
        <v>16</v>
      </c>
      <c r="I254" s="102"/>
      <c r="J254" s="102">
        <v>4.2</v>
      </c>
      <c r="K254" s="218">
        <v>4.0999999999999996</v>
      </c>
      <c r="L254" s="218">
        <v>44</v>
      </c>
      <c r="M254" s="218">
        <v>51</v>
      </c>
      <c r="N254" s="218" t="s">
        <v>148</v>
      </c>
      <c r="O254" s="218">
        <v>1100</v>
      </c>
      <c r="P254" s="112"/>
      <c r="Q254">
        <f t="shared" si="6"/>
        <v>2015</v>
      </c>
      <c r="R254">
        <f t="shared" si="7"/>
        <v>8</v>
      </c>
      <c r="S254" s="112"/>
      <c r="T254" s="102"/>
    </row>
    <row r="255" spans="1:20">
      <c r="A255" s="117">
        <v>7</v>
      </c>
      <c r="B255" s="102" t="s">
        <v>254</v>
      </c>
      <c r="C255" s="206">
        <v>42265</v>
      </c>
      <c r="D255" s="102">
        <v>15.7</v>
      </c>
      <c r="E255" s="102">
        <v>9.15</v>
      </c>
      <c r="F255" s="218">
        <v>93.2</v>
      </c>
      <c r="G255" s="102">
        <v>8.3000000000000007</v>
      </c>
      <c r="H255" s="218">
        <v>4.4000000000000004</v>
      </c>
      <c r="I255" s="102"/>
      <c r="J255" s="102">
        <v>2.6</v>
      </c>
      <c r="K255" s="218">
        <v>19</v>
      </c>
      <c r="L255" s="218">
        <v>59</v>
      </c>
      <c r="M255" s="218" t="s">
        <v>148</v>
      </c>
      <c r="N255" s="218" t="s">
        <v>148</v>
      </c>
      <c r="O255" s="218">
        <v>740</v>
      </c>
      <c r="P255" s="112"/>
      <c r="Q255">
        <f t="shared" si="6"/>
        <v>2015</v>
      </c>
      <c r="R255">
        <f t="shared" si="7"/>
        <v>9</v>
      </c>
      <c r="S255" s="112"/>
      <c r="T255" s="102"/>
    </row>
    <row r="256" spans="1:20">
      <c r="A256" s="117">
        <v>7</v>
      </c>
      <c r="B256" s="102" t="s">
        <v>254</v>
      </c>
      <c r="C256" s="206">
        <v>42290</v>
      </c>
      <c r="D256" s="102">
        <v>9.6</v>
      </c>
      <c r="E256" s="102">
        <v>11.6</v>
      </c>
      <c r="F256" s="218">
        <v>101</v>
      </c>
      <c r="G256" s="102">
        <v>8.3000000000000007</v>
      </c>
      <c r="H256" s="218">
        <v>7.1</v>
      </c>
      <c r="I256" s="102"/>
      <c r="J256" s="102">
        <v>2.9</v>
      </c>
      <c r="K256" s="218">
        <v>28</v>
      </c>
      <c r="L256" s="218">
        <v>50</v>
      </c>
      <c r="M256" s="218" t="s">
        <v>148</v>
      </c>
      <c r="N256" s="218">
        <v>11</v>
      </c>
      <c r="O256" s="218">
        <v>630</v>
      </c>
      <c r="P256" s="112"/>
      <c r="Q256">
        <f t="shared" si="6"/>
        <v>2015</v>
      </c>
      <c r="R256">
        <f t="shared" si="7"/>
        <v>10</v>
      </c>
      <c r="S256" s="112"/>
      <c r="T256" s="102"/>
    </row>
    <row r="257" spans="1:20">
      <c r="A257" s="117">
        <v>7</v>
      </c>
      <c r="B257" s="102" t="s">
        <v>254</v>
      </c>
      <c r="C257" s="206">
        <v>42325</v>
      </c>
      <c r="D257" s="102">
        <v>8.1999999999999993</v>
      </c>
      <c r="E257" s="102">
        <v>9.9</v>
      </c>
      <c r="F257" s="218">
        <v>85</v>
      </c>
      <c r="G257" s="102">
        <v>8.1999999999999993</v>
      </c>
      <c r="H257" s="218">
        <v>5.5</v>
      </c>
      <c r="I257" s="102"/>
      <c r="J257" s="102">
        <v>2.2000000000000002</v>
      </c>
      <c r="K257" s="218">
        <v>32</v>
      </c>
      <c r="L257" s="218">
        <v>76</v>
      </c>
      <c r="M257" s="218">
        <v>210</v>
      </c>
      <c r="N257" s="218">
        <v>53</v>
      </c>
      <c r="O257" s="218">
        <v>870</v>
      </c>
      <c r="P257" s="112"/>
      <c r="Q257">
        <f t="shared" si="6"/>
        <v>2015</v>
      </c>
      <c r="R257">
        <f t="shared" si="7"/>
        <v>11</v>
      </c>
      <c r="S257" s="112"/>
      <c r="T257" s="102"/>
    </row>
    <row r="258" spans="1:20">
      <c r="A258" s="117">
        <v>7</v>
      </c>
      <c r="B258" s="102" t="s">
        <v>254</v>
      </c>
      <c r="C258" s="206">
        <v>42352</v>
      </c>
      <c r="D258" s="102">
        <v>4.4000000000000004</v>
      </c>
      <c r="E258" s="102">
        <v>12.5</v>
      </c>
      <c r="F258" s="218">
        <v>95</v>
      </c>
      <c r="G258" s="102">
        <v>8.1999999999999993</v>
      </c>
      <c r="H258" s="218">
        <v>2</v>
      </c>
      <c r="I258" s="102"/>
      <c r="J258" s="102">
        <v>2.1</v>
      </c>
      <c r="K258" s="218">
        <v>62</v>
      </c>
      <c r="L258" s="218">
        <v>68</v>
      </c>
      <c r="M258" s="218">
        <v>2500</v>
      </c>
      <c r="N258" s="218">
        <v>63</v>
      </c>
      <c r="O258" s="218">
        <v>3400</v>
      </c>
      <c r="P258" s="112"/>
      <c r="Q258">
        <f t="shared" si="6"/>
        <v>2015</v>
      </c>
      <c r="R258">
        <f t="shared" si="7"/>
        <v>12</v>
      </c>
      <c r="S258" s="112"/>
      <c r="T258" s="102"/>
    </row>
    <row r="259" spans="1:20">
      <c r="A259" s="117">
        <v>7</v>
      </c>
      <c r="B259" s="102" t="s">
        <v>254</v>
      </c>
      <c r="C259" s="206">
        <v>42389</v>
      </c>
      <c r="D259" s="102">
        <v>0.5</v>
      </c>
      <c r="E259" s="102">
        <v>14.6</v>
      </c>
      <c r="F259" s="218">
        <v>102</v>
      </c>
      <c r="G259" s="102">
        <v>8.1</v>
      </c>
      <c r="H259" s="218">
        <v>2.4</v>
      </c>
      <c r="I259" s="102"/>
      <c r="J259" s="102">
        <v>1.3</v>
      </c>
      <c r="K259" s="218">
        <v>56</v>
      </c>
      <c r="L259" s="218">
        <v>72</v>
      </c>
      <c r="M259" s="218">
        <v>3500</v>
      </c>
      <c r="N259" s="218">
        <v>70</v>
      </c>
      <c r="O259" s="218">
        <v>3700</v>
      </c>
      <c r="P259" s="112"/>
      <c r="Q259">
        <f t="shared" si="6"/>
        <v>2016</v>
      </c>
      <c r="R259">
        <f t="shared" si="7"/>
        <v>1</v>
      </c>
      <c r="S259" s="112"/>
      <c r="T259" s="102"/>
    </row>
    <row r="260" spans="1:20">
      <c r="A260" s="117">
        <v>7</v>
      </c>
      <c r="B260" s="102" t="s">
        <v>254</v>
      </c>
      <c r="C260" s="206">
        <v>42416</v>
      </c>
      <c r="D260" s="102">
        <v>2</v>
      </c>
      <c r="E260" s="102">
        <v>12.9</v>
      </c>
      <c r="F260" s="218">
        <v>92</v>
      </c>
      <c r="G260" s="102">
        <v>8.1999999999999993</v>
      </c>
      <c r="H260" s="218">
        <v>2.6</v>
      </c>
      <c r="I260" s="102"/>
      <c r="J260" s="102">
        <v>2.1</v>
      </c>
      <c r="K260" s="218">
        <v>49</v>
      </c>
      <c r="L260" s="218">
        <v>65</v>
      </c>
      <c r="M260" s="218">
        <v>4000</v>
      </c>
      <c r="N260" s="218">
        <v>60</v>
      </c>
      <c r="O260" s="218">
        <v>4200</v>
      </c>
      <c r="P260" s="112"/>
      <c r="Q260">
        <f t="shared" si="6"/>
        <v>2016</v>
      </c>
      <c r="R260">
        <f t="shared" si="7"/>
        <v>2</v>
      </c>
      <c r="S260" s="112"/>
      <c r="T260" s="102"/>
    </row>
    <row r="261" spans="1:20">
      <c r="A261" s="117">
        <v>7</v>
      </c>
      <c r="B261" s="102" t="s">
        <v>254</v>
      </c>
      <c r="C261" s="206">
        <v>42444</v>
      </c>
      <c r="D261" s="102">
        <v>4</v>
      </c>
      <c r="E261" s="102">
        <v>13.6</v>
      </c>
      <c r="F261" s="218">
        <v>102</v>
      </c>
      <c r="G261" s="102">
        <v>8.3000000000000007</v>
      </c>
      <c r="H261" s="218">
        <v>3.6</v>
      </c>
      <c r="I261" s="102"/>
      <c r="J261" s="102">
        <v>2.2000000000000002</v>
      </c>
      <c r="K261" s="218">
        <v>32</v>
      </c>
      <c r="L261" s="218">
        <v>66</v>
      </c>
      <c r="M261" s="218">
        <v>3800</v>
      </c>
      <c r="N261" s="218" t="s">
        <v>148</v>
      </c>
      <c r="O261" s="218">
        <v>4200</v>
      </c>
      <c r="P261" s="112"/>
      <c r="Q261">
        <f t="shared" si="6"/>
        <v>2016</v>
      </c>
      <c r="R261">
        <f t="shared" si="7"/>
        <v>3</v>
      </c>
      <c r="S261" s="112"/>
      <c r="T261" s="102"/>
    </row>
    <row r="262" spans="1:20">
      <c r="A262" s="117">
        <v>7</v>
      </c>
      <c r="B262" s="102" t="s">
        <v>254</v>
      </c>
      <c r="C262" s="206">
        <v>42472</v>
      </c>
      <c r="D262" s="102">
        <v>8.6999999999999993</v>
      </c>
      <c r="E262" s="102">
        <v>13.7</v>
      </c>
      <c r="F262" s="218">
        <v>118</v>
      </c>
      <c r="G262" s="102">
        <v>8.8000000000000007</v>
      </c>
      <c r="H262" s="218">
        <v>1.6</v>
      </c>
      <c r="I262" s="102"/>
      <c r="J262" s="102">
        <v>2.7</v>
      </c>
      <c r="K262" s="218" t="s">
        <v>149</v>
      </c>
      <c r="L262" s="218">
        <v>20</v>
      </c>
      <c r="M262" s="218">
        <v>3200</v>
      </c>
      <c r="N262" s="218">
        <v>10</v>
      </c>
      <c r="O262" s="218">
        <v>3600</v>
      </c>
      <c r="P262" s="112"/>
      <c r="Q262">
        <f t="shared" si="6"/>
        <v>2016</v>
      </c>
      <c r="R262">
        <f t="shared" si="7"/>
        <v>4</v>
      </c>
      <c r="S262" s="112"/>
      <c r="T262" s="102"/>
    </row>
    <row r="263" spans="1:20">
      <c r="A263" s="117">
        <v>7</v>
      </c>
      <c r="B263" s="102" t="s">
        <v>254</v>
      </c>
      <c r="C263" s="206">
        <v>42507</v>
      </c>
      <c r="D263" s="102">
        <v>13.1</v>
      </c>
      <c r="E263" s="102">
        <v>11.8</v>
      </c>
      <c r="F263" s="218">
        <v>113</v>
      </c>
      <c r="G263" s="102">
        <v>8.6</v>
      </c>
      <c r="H263" s="218">
        <v>2.4</v>
      </c>
      <c r="I263" s="102"/>
      <c r="J263" s="102">
        <v>2.1</v>
      </c>
      <c r="K263" s="218" t="s">
        <v>149</v>
      </c>
      <c r="L263" s="218">
        <v>14</v>
      </c>
      <c r="M263" s="218">
        <v>2900</v>
      </c>
      <c r="N263" s="218">
        <v>17</v>
      </c>
      <c r="O263" s="218">
        <v>3400</v>
      </c>
      <c r="P263" s="112"/>
      <c r="Q263">
        <f t="shared" ref="Q263:Q326" si="8">YEAR(C263)</f>
        <v>2016</v>
      </c>
      <c r="R263">
        <f t="shared" ref="R263:R326" si="9">MONTH(C263)</f>
        <v>5</v>
      </c>
      <c r="S263" s="112"/>
      <c r="T263" s="102"/>
    </row>
    <row r="264" spans="1:20">
      <c r="A264" s="117">
        <v>7</v>
      </c>
      <c r="B264" s="102" t="s">
        <v>254</v>
      </c>
      <c r="C264" s="206">
        <v>42536</v>
      </c>
      <c r="D264" s="102">
        <v>18.5</v>
      </c>
      <c r="E264" s="102">
        <v>10.1</v>
      </c>
      <c r="F264" s="218">
        <v>110</v>
      </c>
      <c r="G264" s="102">
        <v>8.5</v>
      </c>
      <c r="H264" s="218">
        <v>2.1</v>
      </c>
      <c r="I264" s="102"/>
      <c r="J264" s="102">
        <v>2.2000000000000002</v>
      </c>
      <c r="K264" s="218">
        <v>6.1</v>
      </c>
      <c r="L264" s="218">
        <v>15</v>
      </c>
      <c r="M264" s="218">
        <v>2000</v>
      </c>
      <c r="N264" s="218">
        <v>17</v>
      </c>
      <c r="O264" s="218">
        <v>2700</v>
      </c>
      <c r="P264" s="112"/>
      <c r="Q264">
        <f t="shared" si="8"/>
        <v>2016</v>
      </c>
      <c r="R264">
        <f t="shared" si="9"/>
        <v>6</v>
      </c>
      <c r="S264" s="112"/>
      <c r="T264" s="102"/>
    </row>
    <row r="265" spans="1:20">
      <c r="A265" s="117">
        <v>7</v>
      </c>
      <c r="B265" s="102" t="s">
        <v>254</v>
      </c>
      <c r="C265" s="206">
        <v>42563</v>
      </c>
      <c r="D265" s="102">
        <v>19.7</v>
      </c>
      <c r="E265" s="102">
        <v>11.3</v>
      </c>
      <c r="F265" s="218">
        <v>125</v>
      </c>
      <c r="G265" s="102">
        <v>8.9</v>
      </c>
      <c r="H265" s="218">
        <v>6.1</v>
      </c>
      <c r="I265" s="102"/>
      <c r="J265" s="102">
        <v>4</v>
      </c>
      <c r="K265" s="218">
        <v>2.1</v>
      </c>
      <c r="L265" s="218">
        <v>29</v>
      </c>
      <c r="M265" s="218">
        <v>920</v>
      </c>
      <c r="N265" s="218" t="s">
        <v>148</v>
      </c>
      <c r="O265" s="218">
        <v>1600</v>
      </c>
      <c r="P265" s="112"/>
      <c r="Q265">
        <f t="shared" si="8"/>
        <v>2016</v>
      </c>
      <c r="R265">
        <f t="shared" si="9"/>
        <v>7</v>
      </c>
      <c r="S265" s="112"/>
      <c r="T265" s="102"/>
    </row>
    <row r="266" spans="1:20">
      <c r="A266" s="117">
        <v>7</v>
      </c>
      <c r="B266" s="102" t="s">
        <v>254</v>
      </c>
      <c r="C266" s="206">
        <v>42592</v>
      </c>
      <c r="D266" s="102">
        <v>18.899999999999999</v>
      </c>
      <c r="E266" s="102">
        <v>8.3000000000000007</v>
      </c>
      <c r="F266" s="218">
        <v>89</v>
      </c>
      <c r="G266" s="102">
        <v>8.3000000000000007</v>
      </c>
      <c r="H266" s="218">
        <v>4.9000000000000004</v>
      </c>
      <c r="I266" s="102"/>
      <c r="J266" s="102">
        <v>3.3</v>
      </c>
      <c r="K266" s="218">
        <v>43</v>
      </c>
      <c r="L266" s="218">
        <v>94</v>
      </c>
      <c r="M266" s="218">
        <v>56</v>
      </c>
      <c r="N266" s="218">
        <v>130</v>
      </c>
      <c r="O266" s="218">
        <v>1100</v>
      </c>
      <c r="P266" s="112"/>
      <c r="Q266">
        <f t="shared" si="8"/>
        <v>2016</v>
      </c>
      <c r="R266">
        <f t="shared" si="9"/>
        <v>8</v>
      </c>
      <c r="S266" s="112"/>
      <c r="T266" s="102"/>
    </row>
    <row r="267" spans="1:20">
      <c r="A267" s="117">
        <v>7</v>
      </c>
      <c r="B267" s="102" t="s">
        <v>254</v>
      </c>
      <c r="C267" s="206">
        <v>42625</v>
      </c>
      <c r="D267" s="102">
        <v>18.2</v>
      </c>
      <c r="E267" s="102">
        <v>6.6</v>
      </c>
      <c r="F267" s="218">
        <v>70</v>
      </c>
      <c r="G267" s="102">
        <v>8.1</v>
      </c>
      <c r="H267" s="218">
        <v>14</v>
      </c>
      <c r="I267" s="102"/>
      <c r="J267" s="102">
        <v>1.9</v>
      </c>
      <c r="K267" s="218">
        <v>96</v>
      </c>
      <c r="L267" s="218">
        <v>210</v>
      </c>
      <c r="M267" s="218">
        <v>110</v>
      </c>
      <c r="N267" s="218">
        <v>120</v>
      </c>
      <c r="O267" s="218">
        <v>1100</v>
      </c>
      <c r="P267" s="112"/>
      <c r="Q267">
        <f t="shared" si="8"/>
        <v>2016</v>
      </c>
      <c r="R267">
        <f t="shared" si="9"/>
        <v>9</v>
      </c>
      <c r="S267" s="112"/>
      <c r="T267" s="102"/>
    </row>
    <row r="268" spans="1:20">
      <c r="A268" s="117">
        <v>7</v>
      </c>
      <c r="B268" s="102" t="s">
        <v>254</v>
      </c>
      <c r="C268" s="206">
        <v>42661</v>
      </c>
      <c r="D268" s="102">
        <v>8.5</v>
      </c>
      <c r="E268" s="102">
        <v>10.4</v>
      </c>
      <c r="F268" s="218">
        <v>89</v>
      </c>
      <c r="G268" s="102">
        <v>8.1999999999999993</v>
      </c>
      <c r="H268" s="218">
        <v>10</v>
      </c>
      <c r="I268" s="102"/>
      <c r="J268" s="102">
        <v>1.9</v>
      </c>
      <c r="K268" s="218">
        <v>73</v>
      </c>
      <c r="L268" s="218">
        <v>120</v>
      </c>
      <c r="M268" s="218">
        <v>250</v>
      </c>
      <c r="N268" s="218">
        <v>65</v>
      </c>
      <c r="O268" s="218">
        <v>960</v>
      </c>
      <c r="P268" s="112"/>
      <c r="Q268">
        <f t="shared" si="8"/>
        <v>2016</v>
      </c>
      <c r="R268">
        <f t="shared" si="9"/>
        <v>10</v>
      </c>
      <c r="S268" s="112"/>
      <c r="T268" s="102"/>
    </row>
    <row r="269" spans="1:20">
      <c r="A269" s="117">
        <v>7</v>
      </c>
      <c r="B269" s="102" t="s">
        <v>254</v>
      </c>
      <c r="C269" s="206">
        <v>42690</v>
      </c>
      <c r="D269" s="102">
        <v>4.2</v>
      </c>
      <c r="E269" s="102">
        <v>12.1</v>
      </c>
      <c r="F269" s="218">
        <v>93</v>
      </c>
      <c r="G269" s="102">
        <v>8.1999999999999993</v>
      </c>
      <c r="H269" s="218">
        <v>2.2000000000000002</v>
      </c>
      <c r="I269" s="102"/>
      <c r="J269" s="102">
        <v>1.9</v>
      </c>
      <c r="K269" s="218">
        <v>60</v>
      </c>
      <c r="L269" s="218">
        <v>87</v>
      </c>
      <c r="M269" s="218">
        <v>870</v>
      </c>
      <c r="N269" s="218">
        <v>18</v>
      </c>
      <c r="O269" s="218">
        <v>1400</v>
      </c>
      <c r="P269" s="112"/>
      <c r="Q269">
        <f t="shared" si="8"/>
        <v>2016</v>
      </c>
      <c r="R269">
        <f t="shared" si="9"/>
        <v>11</v>
      </c>
      <c r="S269" s="112"/>
      <c r="T269" s="102"/>
    </row>
    <row r="270" spans="1:20">
      <c r="A270" s="117">
        <v>7</v>
      </c>
      <c r="B270" s="102" t="s">
        <v>254</v>
      </c>
      <c r="C270" s="206">
        <v>42724</v>
      </c>
      <c r="D270" s="102">
        <v>3.4</v>
      </c>
      <c r="E270" s="102">
        <v>12.6</v>
      </c>
      <c r="F270" s="218">
        <v>93</v>
      </c>
      <c r="G270" s="102">
        <v>8.1999999999999993</v>
      </c>
      <c r="H270" s="218">
        <v>0.77</v>
      </c>
      <c r="I270" s="102"/>
      <c r="J270" s="102">
        <v>2.4</v>
      </c>
      <c r="K270" s="218">
        <v>55</v>
      </c>
      <c r="L270" s="218">
        <v>61</v>
      </c>
      <c r="M270" s="218">
        <v>1700</v>
      </c>
      <c r="N270" s="218">
        <v>61</v>
      </c>
      <c r="O270" s="218">
        <v>2300</v>
      </c>
      <c r="P270" s="112"/>
      <c r="Q270">
        <f t="shared" si="8"/>
        <v>2016</v>
      </c>
      <c r="R270">
        <f t="shared" si="9"/>
        <v>12</v>
      </c>
      <c r="S270" s="112"/>
      <c r="T270" s="102"/>
    </row>
    <row r="271" spans="1:20">
      <c r="A271" s="117">
        <v>7</v>
      </c>
      <c r="B271" s="102" t="s">
        <v>254</v>
      </c>
      <c r="C271" s="206">
        <v>42752</v>
      </c>
      <c r="D271" s="102">
        <v>1.5</v>
      </c>
      <c r="E271" s="102">
        <v>14.4</v>
      </c>
      <c r="F271" s="218">
        <v>96</v>
      </c>
      <c r="G271" s="102">
        <v>8.1</v>
      </c>
      <c r="H271" s="218">
        <v>0.68</v>
      </c>
      <c r="I271" s="102"/>
      <c r="J271" s="102">
        <v>1.6</v>
      </c>
      <c r="K271" s="218">
        <v>48</v>
      </c>
      <c r="L271" s="218">
        <v>65</v>
      </c>
      <c r="M271" s="218">
        <v>2400</v>
      </c>
      <c r="N271" s="218">
        <v>42</v>
      </c>
      <c r="O271" s="218">
        <v>2600</v>
      </c>
      <c r="P271" s="112"/>
      <c r="Q271">
        <f t="shared" si="8"/>
        <v>2017</v>
      </c>
      <c r="R271">
        <f t="shared" si="9"/>
        <v>1</v>
      </c>
      <c r="S271" s="112"/>
      <c r="T271" s="102"/>
    </row>
    <row r="272" spans="1:20">
      <c r="A272" s="117">
        <v>7</v>
      </c>
      <c r="B272" s="102" t="s">
        <v>254</v>
      </c>
      <c r="C272" s="206">
        <v>42773</v>
      </c>
      <c r="D272" s="102">
        <v>0.5</v>
      </c>
      <c r="E272" s="102">
        <v>14.3</v>
      </c>
      <c r="F272" s="218">
        <v>98</v>
      </c>
      <c r="G272" s="102">
        <v>8.3000000000000007</v>
      </c>
      <c r="H272" s="218">
        <v>1</v>
      </c>
      <c r="I272" s="102"/>
      <c r="J272" s="102">
        <v>1.5</v>
      </c>
      <c r="K272" s="218">
        <v>43</v>
      </c>
      <c r="L272" s="218">
        <v>60</v>
      </c>
      <c r="M272" s="218">
        <v>2500</v>
      </c>
      <c r="N272" s="218">
        <v>39</v>
      </c>
      <c r="O272" s="218">
        <v>2900</v>
      </c>
      <c r="P272" s="112"/>
      <c r="Q272">
        <f t="shared" si="8"/>
        <v>2017</v>
      </c>
      <c r="R272">
        <f t="shared" si="9"/>
        <v>2</v>
      </c>
      <c r="S272" s="112"/>
      <c r="T272" s="102"/>
    </row>
    <row r="273" spans="1:20">
      <c r="A273" s="117">
        <v>7</v>
      </c>
      <c r="B273" s="102" t="s">
        <v>254</v>
      </c>
      <c r="C273" s="206">
        <v>42808</v>
      </c>
      <c r="D273" s="102">
        <v>3.2</v>
      </c>
      <c r="E273" s="102">
        <v>14.7</v>
      </c>
      <c r="F273" s="218">
        <v>109</v>
      </c>
      <c r="G273" s="102">
        <v>8.4</v>
      </c>
      <c r="H273" s="218">
        <v>2.2999999999999998</v>
      </c>
      <c r="I273" s="102"/>
      <c r="J273" s="102">
        <v>2.5</v>
      </c>
      <c r="K273" s="218">
        <v>14</v>
      </c>
      <c r="L273" s="218">
        <v>45</v>
      </c>
      <c r="M273" s="218">
        <v>3400</v>
      </c>
      <c r="N273" s="218" t="s">
        <v>148</v>
      </c>
      <c r="O273" s="218">
        <v>4100</v>
      </c>
      <c r="P273" s="112"/>
      <c r="Q273">
        <f t="shared" si="8"/>
        <v>2017</v>
      </c>
      <c r="R273">
        <f t="shared" si="9"/>
        <v>3</v>
      </c>
      <c r="S273" s="112"/>
      <c r="T273" s="102"/>
    </row>
    <row r="274" spans="1:20">
      <c r="A274" s="117">
        <v>7</v>
      </c>
      <c r="B274" s="102" t="s">
        <v>254</v>
      </c>
      <c r="C274" s="206">
        <v>42837</v>
      </c>
      <c r="D274" s="102">
        <v>7.8</v>
      </c>
      <c r="E274" s="102">
        <v>12.1</v>
      </c>
      <c r="F274" s="218">
        <v>104</v>
      </c>
      <c r="G274" s="102">
        <v>8.5</v>
      </c>
      <c r="H274" s="218">
        <v>1.3</v>
      </c>
      <c r="I274" s="102"/>
      <c r="J274" s="102">
        <v>1.6</v>
      </c>
      <c r="K274" s="218">
        <v>2.4</v>
      </c>
      <c r="L274" s="218">
        <v>15</v>
      </c>
      <c r="M274" s="218">
        <v>3000</v>
      </c>
      <c r="N274" s="218" t="s">
        <v>148</v>
      </c>
      <c r="O274" s="218">
        <v>3600</v>
      </c>
      <c r="P274" s="112"/>
      <c r="Q274">
        <f t="shared" si="8"/>
        <v>2017</v>
      </c>
      <c r="R274">
        <f t="shared" si="9"/>
        <v>4</v>
      </c>
      <c r="S274" s="112"/>
      <c r="T274" s="102"/>
    </row>
    <row r="275" spans="1:20">
      <c r="A275" s="117">
        <v>7</v>
      </c>
      <c r="B275" s="102" t="s">
        <v>254</v>
      </c>
      <c r="C275" s="206">
        <v>42871</v>
      </c>
      <c r="D275" s="102">
        <v>11.7</v>
      </c>
      <c r="E275" s="102">
        <v>12.5</v>
      </c>
      <c r="F275" s="218">
        <v>113</v>
      </c>
      <c r="G275" s="102">
        <v>8.4</v>
      </c>
      <c r="H275" s="218">
        <v>1.6</v>
      </c>
      <c r="I275" s="102"/>
      <c r="J275" s="102">
        <v>2.5</v>
      </c>
      <c r="K275" s="218" t="s">
        <v>149</v>
      </c>
      <c r="L275" s="218">
        <v>12</v>
      </c>
      <c r="M275" s="218">
        <v>2400</v>
      </c>
      <c r="N275" s="218">
        <v>12</v>
      </c>
      <c r="O275" s="218">
        <v>2700</v>
      </c>
      <c r="P275" s="112"/>
      <c r="Q275">
        <f t="shared" si="8"/>
        <v>2017</v>
      </c>
      <c r="R275">
        <f t="shared" si="9"/>
        <v>5</v>
      </c>
      <c r="S275" s="112"/>
      <c r="T275" s="102"/>
    </row>
    <row r="276" spans="1:20">
      <c r="A276" s="117">
        <v>7</v>
      </c>
      <c r="B276" s="102" t="s">
        <v>254</v>
      </c>
      <c r="C276" s="206">
        <v>42901</v>
      </c>
      <c r="D276" s="102">
        <v>18.2</v>
      </c>
      <c r="E276" s="102">
        <v>10</v>
      </c>
      <c r="F276" s="218">
        <v>105</v>
      </c>
      <c r="G276" s="102">
        <v>8.3000000000000007</v>
      </c>
      <c r="H276" s="218">
        <v>1.3</v>
      </c>
      <c r="I276" s="102"/>
      <c r="J276" s="102">
        <v>1.22</v>
      </c>
      <c r="K276" s="218" t="s">
        <v>149</v>
      </c>
      <c r="L276" s="218">
        <v>15</v>
      </c>
      <c r="M276" s="218">
        <v>1600</v>
      </c>
      <c r="N276" s="218">
        <v>52</v>
      </c>
      <c r="O276" s="218">
        <v>2100</v>
      </c>
      <c r="P276" s="112"/>
      <c r="Q276">
        <f t="shared" si="8"/>
        <v>2017</v>
      </c>
      <c r="R276">
        <f t="shared" si="9"/>
        <v>6</v>
      </c>
      <c r="S276" s="112"/>
      <c r="T276" s="102"/>
    </row>
    <row r="277" spans="1:20">
      <c r="A277" s="117">
        <v>7</v>
      </c>
      <c r="B277" s="102" t="s">
        <v>254</v>
      </c>
      <c r="C277" s="206">
        <v>42927</v>
      </c>
      <c r="D277" s="102">
        <v>20.3</v>
      </c>
      <c r="E277" s="102">
        <v>14.5</v>
      </c>
      <c r="F277" s="218">
        <v>161</v>
      </c>
      <c r="G277" s="102">
        <v>8.8000000000000007</v>
      </c>
      <c r="H277" s="218">
        <v>6.3</v>
      </c>
      <c r="I277" s="102"/>
      <c r="J277" s="102">
        <v>4</v>
      </c>
      <c r="K277" s="218" t="s">
        <v>149</v>
      </c>
      <c r="L277" s="218">
        <v>19</v>
      </c>
      <c r="M277" s="218">
        <v>920</v>
      </c>
      <c r="N277" s="218" t="s">
        <v>148</v>
      </c>
      <c r="O277" s="218">
        <v>1600</v>
      </c>
      <c r="P277" s="112"/>
      <c r="Q277">
        <f t="shared" si="8"/>
        <v>2017</v>
      </c>
      <c r="R277">
        <f t="shared" si="9"/>
        <v>7</v>
      </c>
      <c r="S277" s="112"/>
      <c r="T277" s="102"/>
    </row>
    <row r="278" spans="1:20">
      <c r="A278" s="117">
        <v>7</v>
      </c>
      <c r="B278" s="102" t="s">
        <v>254</v>
      </c>
      <c r="C278" s="206">
        <v>42963</v>
      </c>
      <c r="D278" s="102">
        <v>19.7</v>
      </c>
      <c r="E278" s="102">
        <v>10.1</v>
      </c>
      <c r="F278" s="218">
        <v>110</v>
      </c>
      <c r="G278" s="102">
        <v>8.6999999999999993</v>
      </c>
      <c r="H278" s="218">
        <v>7.6</v>
      </c>
      <c r="I278" s="102"/>
      <c r="J278" s="102">
        <v>4.2</v>
      </c>
      <c r="K278" s="218" t="s">
        <v>149</v>
      </c>
      <c r="L278" s="218">
        <v>40</v>
      </c>
      <c r="M278" s="218" t="s">
        <v>148</v>
      </c>
      <c r="N278" s="218" t="s">
        <v>148</v>
      </c>
      <c r="O278" s="218">
        <v>810</v>
      </c>
      <c r="P278" s="112"/>
      <c r="Q278">
        <f t="shared" si="8"/>
        <v>2017</v>
      </c>
      <c r="R278">
        <f t="shared" si="9"/>
        <v>8</v>
      </c>
      <c r="S278" s="112"/>
      <c r="T278" s="102"/>
    </row>
    <row r="279" spans="1:20">
      <c r="A279" s="117">
        <v>7</v>
      </c>
      <c r="B279" s="102" t="s">
        <v>254</v>
      </c>
      <c r="C279" s="206">
        <v>42990</v>
      </c>
      <c r="D279" s="102">
        <v>16.3</v>
      </c>
      <c r="E279" s="102">
        <v>9.8000000000000007</v>
      </c>
      <c r="F279" s="218">
        <v>100</v>
      </c>
      <c r="G279" s="102">
        <v>8.4</v>
      </c>
      <c r="H279" s="218">
        <v>4.5999999999999996</v>
      </c>
      <c r="I279" s="102"/>
      <c r="J279" s="102">
        <v>2.1</v>
      </c>
      <c r="K279" s="218">
        <v>36</v>
      </c>
      <c r="L279" s="218">
        <v>65</v>
      </c>
      <c r="M279" s="218">
        <v>68</v>
      </c>
      <c r="N279" s="218" t="s">
        <v>148</v>
      </c>
      <c r="O279" s="218">
        <v>720</v>
      </c>
      <c r="P279" s="112"/>
      <c r="Q279">
        <f t="shared" si="8"/>
        <v>2017</v>
      </c>
      <c r="R279">
        <f t="shared" si="9"/>
        <v>9</v>
      </c>
      <c r="S279" s="112"/>
      <c r="T279" s="102"/>
    </row>
    <row r="280" spans="1:20">
      <c r="A280" s="117">
        <v>7</v>
      </c>
      <c r="B280" s="102" t="s">
        <v>254</v>
      </c>
      <c r="C280" s="206">
        <v>43027</v>
      </c>
      <c r="D280" s="102">
        <v>11.5</v>
      </c>
      <c r="E280" s="102">
        <v>10.9</v>
      </c>
      <c r="F280" s="218">
        <v>94</v>
      </c>
      <c r="G280" s="102">
        <v>8.4</v>
      </c>
      <c r="H280" s="218">
        <v>5.7</v>
      </c>
      <c r="I280" s="102"/>
      <c r="J280" s="102">
        <v>2.1</v>
      </c>
      <c r="K280" s="218">
        <v>36</v>
      </c>
      <c r="L280" s="218">
        <v>61</v>
      </c>
      <c r="M280" s="218">
        <v>1900</v>
      </c>
      <c r="N280" s="218">
        <v>41</v>
      </c>
      <c r="O280" s="218">
        <v>1500</v>
      </c>
      <c r="P280" s="112"/>
      <c r="Q280">
        <f t="shared" si="8"/>
        <v>2017</v>
      </c>
      <c r="R280">
        <f t="shared" si="9"/>
        <v>10</v>
      </c>
      <c r="S280" s="112"/>
      <c r="T280" s="102"/>
    </row>
    <row r="281" spans="1:20">
      <c r="A281" s="117">
        <v>7</v>
      </c>
      <c r="B281" s="102" t="s">
        <v>254</v>
      </c>
      <c r="C281" s="206">
        <v>43053</v>
      </c>
      <c r="D281" s="102">
        <v>6.7</v>
      </c>
      <c r="E281" s="102">
        <v>11.2</v>
      </c>
      <c r="F281" s="218">
        <v>92</v>
      </c>
      <c r="G281" s="102">
        <v>8.3000000000000007</v>
      </c>
      <c r="H281" s="218">
        <v>4.3</v>
      </c>
      <c r="I281" s="102"/>
      <c r="J281" s="102">
        <v>1.5</v>
      </c>
      <c r="K281" s="218">
        <v>49</v>
      </c>
      <c r="L281" s="218">
        <v>65</v>
      </c>
      <c r="M281" s="218">
        <v>1500</v>
      </c>
      <c r="N281" s="218">
        <v>58</v>
      </c>
      <c r="O281" s="218">
        <v>2300</v>
      </c>
      <c r="P281" s="112"/>
      <c r="Q281">
        <f t="shared" si="8"/>
        <v>2017</v>
      </c>
      <c r="R281">
        <f t="shared" si="9"/>
        <v>11</v>
      </c>
      <c r="S281" s="112"/>
      <c r="T281" s="102"/>
    </row>
    <row r="282" spans="1:20">
      <c r="A282" s="117">
        <v>7</v>
      </c>
      <c r="B282" s="102" t="s">
        <v>254</v>
      </c>
      <c r="C282" s="206">
        <v>43081</v>
      </c>
      <c r="D282" s="102">
        <v>3.4</v>
      </c>
      <c r="E282" s="102">
        <v>12.5</v>
      </c>
      <c r="F282" s="218">
        <v>96</v>
      </c>
      <c r="G282" s="102">
        <v>8.3000000000000007</v>
      </c>
      <c r="H282" s="218">
        <v>4.8</v>
      </c>
      <c r="I282" s="102"/>
      <c r="J282" s="102">
        <v>1.2</v>
      </c>
      <c r="K282" s="218">
        <v>49</v>
      </c>
      <c r="L282" s="218">
        <v>63</v>
      </c>
      <c r="M282" s="218">
        <v>2500</v>
      </c>
      <c r="N282" s="218">
        <v>62</v>
      </c>
      <c r="O282" s="218">
        <v>3100</v>
      </c>
      <c r="P282" s="112"/>
      <c r="Q282">
        <f t="shared" si="8"/>
        <v>2017</v>
      </c>
      <c r="R282">
        <f t="shared" si="9"/>
        <v>12</v>
      </c>
      <c r="S282" s="112"/>
      <c r="T282" s="102"/>
    </row>
    <row r="283" spans="1:20">
      <c r="A283" s="117">
        <v>7</v>
      </c>
      <c r="B283" s="102" t="s">
        <v>254</v>
      </c>
      <c r="C283" s="206">
        <v>43117</v>
      </c>
      <c r="D283" s="102">
        <v>3</v>
      </c>
      <c r="E283" s="102">
        <v>13.3</v>
      </c>
      <c r="F283" s="218">
        <v>99</v>
      </c>
      <c r="G283" s="102">
        <v>8.1300000000000008</v>
      </c>
      <c r="H283" s="218">
        <v>5.2</v>
      </c>
      <c r="I283" s="102"/>
      <c r="J283" s="102">
        <v>2.5</v>
      </c>
      <c r="K283" s="218">
        <v>48</v>
      </c>
      <c r="L283" s="218">
        <v>72</v>
      </c>
      <c r="M283" s="218">
        <v>3400</v>
      </c>
      <c r="N283" s="218">
        <v>62</v>
      </c>
      <c r="O283" s="218">
        <v>3800</v>
      </c>
      <c r="P283" s="112" t="s">
        <v>292</v>
      </c>
      <c r="Q283">
        <f t="shared" si="8"/>
        <v>2018</v>
      </c>
      <c r="R283">
        <f t="shared" si="9"/>
        <v>1</v>
      </c>
      <c r="S283" s="112"/>
      <c r="T283" s="102"/>
    </row>
    <row r="284" spans="1:20" ht="13">
      <c r="A284" s="117">
        <v>7</v>
      </c>
      <c r="B284" s="102" t="s">
        <v>254</v>
      </c>
      <c r="C284" s="206">
        <v>43151</v>
      </c>
      <c r="D284" s="102">
        <v>1.9</v>
      </c>
      <c r="E284" s="102">
        <v>12.4</v>
      </c>
      <c r="F284" s="218">
        <v>89</v>
      </c>
      <c r="G284" s="102">
        <v>8.11</v>
      </c>
      <c r="H284" s="102">
        <v>2.5</v>
      </c>
      <c r="I284" s="102"/>
      <c r="J284" s="102">
        <v>2.8</v>
      </c>
      <c r="K284" s="218">
        <v>39</v>
      </c>
      <c r="L284" s="218">
        <v>52</v>
      </c>
      <c r="M284" s="218">
        <v>4000</v>
      </c>
      <c r="N284" s="218">
        <v>38</v>
      </c>
      <c r="O284" s="218">
        <v>4100</v>
      </c>
      <c r="P284" s="112"/>
      <c r="Q284">
        <f t="shared" si="8"/>
        <v>2018</v>
      </c>
      <c r="R284">
        <f t="shared" si="9"/>
        <v>2</v>
      </c>
      <c r="S284" s="103"/>
      <c r="T284" s="102"/>
    </row>
    <row r="285" spans="1:20">
      <c r="A285" s="117">
        <v>7</v>
      </c>
      <c r="B285" s="102" t="s">
        <v>254</v>
      </c>
      <c r="C285" s="206">
        <v>43172</v>
      </c>
      <c r="D285" s="102">
        <v>1.7</v>
      </c>
      <c r="E285" s="102">
        <v>14.1</v>
      </c>
      <c r="F285" s="218">
        <v>101</v>
      </c>
      <c r="G285" s="102">
        <v>8.14</v>
      </c>
      <c r="H285" s="102">
        <v>1.6</v>
      </c>
      <c r="I285" s="102"/>
      <c r="J285" s="102">
        <v>3</v>
      </c>
      <c r="K285" s="218">
        <v>34</v>
      </c>
      <c r="L285" s="218">
        <v>53</v>
      </c>
      <c r="M285" s="218">
        <v>3900</v>
      </c>
      <c r="N285" s="218">
        <v>30</v>
      </c>
      <c r="O285" s="218">
        <v>4100</v>
      </c>
      <c r="P285" s="112" t="s">
        <v>222</v>
      </c>
      <c r="Q285">
        <f t="shared" si="8"/>
        <v>2018</v>
      </c>
      <c r="R285">
        <f t="shared" si="9"/>
        <v>3</v>
      </c>
      <c r="S285" s="119"/>
      <c r="T285" s="102"/>
    </row>
    <row r="286" spans="1:20">
      <c r="A286" s="117">
        <v>7</v>
      </c>
      <c r="B286" s="102" t="s">
        <v>254</v>
      </c>
      <c r="C286" s="206">
        <v>43200</v>
      </c>
      <c r="D286" s="102">
        <v>5.6</v>
      </c>
      <c r="E286" s="102">
        <v>17.399999999999999</v>
      </c>
      <c r="F286" s="218">
        <v>139</v>
      </c>
      <c r="G286" s="102">
        <v>8.7799999999999994</v>
      </c>
      <c r="H286" s="102">
        <v>6.2</v>
      </c>
      <c r="I286" s="102"/>
      <c r="J286" s="102">
        <v>5.3</v>
      </c>
      <c r="K286" s="218">
        <v>5.0999999999999996</v>
      </c>
      <c r="L286" s="218">
        <v>33</v>
      </c>
      <c r="M286" s="218">
        <v>3200</v>
      </c>
      <c r="N286" s="218" t="s">
        <v>148</v>
      </c>
      <c r="O286" s="218">
        <v>3800</v>
      </c>
      <c r="P286" s="112" t="s">
        <v>293</v>
      </c>
      <c r="Q286">
        <f t="shared" si="8"/>
        <v>2018</v>
      </c>
      <c r="R286">
        <f t="shared" si="9"/>
        <v>4</v>
      </c>
      <c r="S286" s="112"/>
      <c r="T286" s="102"/>
    </row>
    <row r="287" spans="1:20">
      <c r="A287" s="117">
        <v>7</v>
      </c>
      <c r="B287" s="102" t="s">
        <v>254</v>
      </c>
      <c r="C287" s="206">
        <v>43229</v>
      </c>
      <c r="D287" s="102">
        <v>15.6</v>
      </c>
      <c r="E287" s="102">
        <v>10.7</v>
      </c>
      <c r="F287" s="218">
        <v>108</v>
      </c>
      <c r="G287" s="102">
        <v>8.74</v>
      </c>
      <c r="H287" s="102">
        <v>2.8</v>
      </c>
      <c r="I287" s="102"/>
      <c r="J287" s="102">
        <v>3.7</v>
      </c>
      <c r="K287" s="218">
        <v>2.2999999999999998</v>
      </c>
      <c r="L287" s="218">
        <v>14</v>
      </c>
      <c r="M287" s="218">
        <v>2700</v>
      </c>
      <c r="N287" s="218">
        <v>10</v>
      </c>
      <c r="O287" s="218">
        <v>3300</v>
      </c>
      <c r="P287" s="112"/>
      <c r="Q287">
        <f t="shared" si="8"/>
        <v>2018</v>
      </c>
      <c r="R287">
        <f t="shared" si="9"/>
        <v>5</v>
      </c>
      <c r="S287" s="112"/>
      <c r="T287" s="102"/>
    </row>
    <row r="288" spans="1:20">
      <c r="A288" s="117">
        <v>7</v>
      </c>
      <c r="B288" s="102" t="s">
        <v>254</v>
      </c>
      <c r="C288" s="206">
        <v>43270</v>
      </c>
      <c r="D288" s="102">
        <v>19.2</v>
      </c>
      <c r="E288" s="102">
        <v>9.6</v>
      </c>
      <c r="F288" s="218">
        <v>104</v>
      </c>
      <c r="G288" s="102">
        <v>8.39</v>
      </c>
      <c r="H288" s="102">
        <v>2.7</v>
      </c>
      <c r="I288" s="102"/>
      <c r="J288" s="102">
        <v>3.6</v>
      </c>
      <c r="K288" s="218" t="s">
        <v>149</v>
      </c>
      <c r="L288" s="218">
        <v>29</v>
      </c>
      <c r="M288" s="218">
        <v>1200</v>
      </c>
      <c r="N288" s="218">
        <v>21</v>
      </c>
      <c r="O288" s="218">
        <v>2100</v>
      </c>
      <c r="P288" s="112"/>
      <c r="Q288">
        <f t="shared" si="8"/>
        <v>2018</v>
      </c>
      <c r="R288">
        <f t="shared" si="9"/>
        <v>6</v>
      </c>
      <c r="S288" s="112"/>
      <c r="T288" s="102"/>
    </row>
    <row r="289" spans="1:20">
      <c r="A289" s="117">
        <v>7</v>
      </c>
      <c r="B289" s="102" t="s">
        <v>254</v>
      </c>
      <c r="C289" s="206">
        <v>43297</v>
      </c>
      <c r="D289" s="102">
        <v>23</v>
      </c>
      <c r="E289" s="102">
        <v>11.5</v>
      </c>
      <c r="F289" s="218">
        <v>133</v>
      </c>
      <c r="G289" s="102">
        <v>8.42</v>
      </c>
      <c r="H289" s="102">
        <v>4</v>
      </c>
      <c r="I289" s="102"/>
      <c r="J289" s="102">
        <v>5.9</v>
      </c>
      <c r="K289" s="218">
        <v>4.5</v>
      </c>
      <c r="L289" s="218">
        <v>43</v>
      </c>
      <c r="M289" s="218">
        <v>630</v>
      </c>
      <c r="N289" s="218">
        <v>96</v>
      </c>
      <c r="O289" s="218">
        <v>1400</v>
      </c>
      <c r="P289" s="112"/>
      <c r="Q289">
        <f t="shared" si="8"/>
        <v>2018</v>
      </c>
      <c r="R289">
        <f t="shared" si="9"/>
        <v>7</v>
      </c>
      <c r="S289" s="112"/>
      <c r="T289" s="102"/>
    </row>
    <row r="290" spans="1:20">
      <c r="A290" s="117">
        <v>7</v>
      </c>
      <c r="B290" s="102" t="s">
        <v>254</v>
      </c>
      <c r="C290" s="124">
        <v>43333</v>
      </c>
      <c r="D290" s="193">
        <v>20</v>
      </c>
      <c r="E290" s="193">
        <v>9.1</v>
      </c>
      <c r="F290" s="204">
        <v>100</v>
      </c>
      <c r="G290" s="193">
        <v>8.44</v>
      </c>
      <c r="H290" s="193">
        <v>7.6</v>
      </c>
      <c r="I290" s="193"/>
      <c r="J290" s="193">
        <v>5.0999999999999996</v>
      </c>
      <c r="K290" s="189">
        <v>21</v>
      </c>
      <c r="L290" s="189">
        <v>76</v>
      </c>
      <c r="M290" s="189" t="s">
        <v>148</v>
      </c>
      <c r="N290" s="189" t="s">
        <v>148</v>
      </c>
      <c r="O290" s="189">
        <v>920</v>
      </c>
      <c r="P290" s="200"/>
      <c r="Q290">
        <f t="shared" si="8"/>
        <v>2018</v>
      </c>
      <c r="R290">
        <f t="shared" si="9"/>
        <v>8</v>
      </c>
      <c r="T290" s="102"/>
    </row>
    <row r="291" spans="1:20">
      <c r="A291" s="117">
        <v>7</v>
      </c>
      <c r="B291" s="102" t="s">
        <v>254</v>
      </c>
      <c r="C291" s="206">
        <v>43361</v>
      </c>
      <c r="D291" s="193">
        <v>16.100000000000001</v>
      </c>
      <c r="E291" s="193">
        <v>8.6</v>
      </c>
      <c r="F291" s="188">
        <v>88</v>
      </c>
      <c r="G291" s="193">
        <v>8.2899999999999991</v>
      </c>
      <c r="H291" s="193">
        <v>7.3</v>
      </c>
      <c r="I291" s="193"/>
      <c r="J291" s="193">
        <v>3.5</v>
      </c>
      <c r="K291" s="189">
        <v>48</v>
      </c>
      <c r="L291" s="189">
        <v>98</v>
      </c>
      <c r="M291" s="189" t="s">
        <v>148</v>
      </c>
      <c r="N291" s="189" t="s">
        <v>148</v>
      </c>
      <c r="O291" s="189">
        <v>780</v>
      </c>
      <c r="P291" s="200"/>
      <c r="Q291">
        <f t="shared" si="8"/>
        <v>2018</v>
      </c>
      <c r="R291">
        <f t="shared" si="9"/>
        <v>9</v>
      </c>
      <c r="T291" s="102"/>
    </row>
    <row r="292" spans="1:20">
      <c r="A292" s="117">
        <v>7</v>
      </c>
      <c r="B292" s="102" t="s">
        <v>254</v>
      </c>
      <c r="C292" s="125">
        <v>43389</v>
      </c>
      <c r="D292" s="193">
        <v>12.3</v>
      </c>
      <c r="E292" s="193">
        <v>10.8</v>
      </c>
      <c r="F292" s="204">
        <v>101</v>
      </c>
      <c r="G292" s="193">
        <v>8.08</v>
      </c>
      <c r="H292" s="193">
        <v>19</v>
      </c>
      <c r="I292" s="193"/>
      <c r="J292" s="193">
        <v>3.8</v>
      </c>
      <c r="K292" s="189">
        <v>19</v>
      </c>
      <c r="L292" s="189">
        <v>110</v>
      </c>
      <c r="M292" s="189">
        <v>69</v>
      </c>
      <c r="N292" s="189">
        <v>62</v>
      </c>
      <c r="O292" s="189">
        <v>970</v>
      </c>
      <c r="P292" s="200"/>
      <c r="Q292">
        <f t="shared" si="8"/>
        <v>2018</v>
      </c>
      <c r="R292">
        <f t="shared" si="9"/>
        <v>10</v>
      </c>
      <c r="T292" s="102"/>
    </row>
    <row r="293" spans="1:20">
      <c r="A293" s="117">
        <v>7</v>
      </c>
      <c r="B293" s="102" t="s">
        <v>254</v>
      </c>
      <c r="C293" s="125">
        <v>43424</v>
      </c>
      <c r="D293" s="193">
        <v>5.7</v>
      </c>
      <c r="E293" s="193">
        <v>11.3</v>
      </c>
      <c r="F293" s="204">
        <v>90</v>
      </c>
      <c r="G293" s="193">
        <v>7.9</v>
      </c>
      <c r="H293" s="193">
        <v>3.7</v>
      </c>
      <c r="I293" s="193"/>
      <c r="J293" s="193">
        <v>3.5</v>
      </c>
      <c r="K293" s="189">
        <v>76</v>
      </c>
      <c r="L293" s="189">
        <v>110</v>
      </c>
      <c r="M293" s="189">
        <v>270</v>
      </c>
      <c r="N293" s="189">
        <v>340</v>
      </c>
      <c r="O293" s="189">
        <v>1000</v>
      </c>
      <c r="P293" s="200"/>
      <c r="Q293">
        <f t="shared" si="8"/>
        <v>2018</v>
      </c>
      <c r="R293">
        <f t="shared" si="9"/>
        <v>11</v>
      </c>
      <c r="T293" s="102"/>
    </row>
    <row r="294" spans="1:20">
      <c r="A294" s="117">
        <v>7</v>
      </c>
      <c r="B294" s="102" t="s">
        <v>254</v>
      </c>
      <c r="C294" s="125">
        <v>43447</v>
      </c>
      <c r="D294" s="193">
        <v>2.5</v>
      </c>
      <c r="E294" s="193">
        <v>12.7</v>
      </c>
      <c r="F294" s="204">
        <v>93</v>
      </c>
      <c r="G294" s="193">
        <v>7.84</v>
      </c>
      <c r="H294" s="193">
        <v>3</v>
      </c>
      <c r="I294" s="193"/>
      <c r="J294" s="193">
        <v>3.1</v>
      </c>
      <c r="K294" s="189">
        <v>51</v>
      </c>
      <c r="L294" s="189">
        <v>86</v>
      </c>
      <c r="M294" s="189">
        <v>1600</v>
      </c>
      <c r="N294" s="189">
        <v>300</v>
      </c>
      <c r="O294" s="189">
        <v>2200</v>
      </c>
      <c r="P294" s="200"/>
      <c r="Q294">
        <f t="shared" si="8"/>
        <v>2018</v>
      </c>
      <c r="R294">
        <f t="shared" si="9"/>
        <v>12</v>
      </c>
      <c r="T294" s="102"/>
    </row>
    <row r="295" spans="1:20">
      <c r="A295" s="117">
        <v>7</v>
      </c>
      <c r="B295" s="102" t="s">
        <v>254</v>
      </c>
      <c r="C295" s="213">
        <v>43475</v>
      </c>
      <c r="D295" s="193">
        <v>1.7</v>
      </c>
      <c r="E295" s="193">
        <v>13.4</v>
      </c>
      <c r="F295" s="204">
        <v>96</v>
      </c>
      <c r="G295" s="193">
        <v>8.15</v>
      </c>
      <c r="H295" s="193">
        <v>1.4</v>
      </c>
      <c r="I295" s="193"/>
      <c r="J295" s="193">
        <v>4.8</v>
      </c>
      <c r="K295" s="189">
        <v>51</v>
      </c>
      <c r="L295" s="189">
        <v>69</v>
      </c>
      <c r="M295" s="189">
        <v>1900</v>
      </c>
      <c r="N295" s="189">
        <v>170</v>
      </c>
      <c r="O295" s="189">
        <v>2500</v>
      </c>
      <c r="P295" s="200"/>
      <c r="Q295">
        <f t="shared" si="8"/>
        <v>2019</v>
      </c>
      <c r="R295">
        <f t="shared" si="9"/>
        <v>1</v>
      </c>
      <c r="T295" s="102"/>
    </row>
    <row r="296" spans="1:20" ht="13">
      <c r="A296" s="118">
        <v>7</v>
      </c>
      <c r="B296" s="102" t="s">
        <v>254</v>
      </c>
      <c r="C296" s="124">
        <v>43515</v>
      </c>
      <c r="D296" s="192">
        <v>4</v>
      </c>
      <c r="E296" s="192">
        <v>16.100000000000001</v>
      </c>
      <c r="F296" s="204">
        <v>123</v>
      </c>
      <c r="G296" s="192">
        <v>8.67</v>
      </c>
      <c r="H296" s="192">
        <v>4.0999999999999996</v>
      </c>
      <c r="I296" s="193"/>
      <c r="J296" s="194">
        <v>2.9</v>
      </c>
      <c r="K296" s="189">
        <v>2.5</v>
      </c>
      <c r="L296" s="195">
        <v>58</v>
      </c>
      <c r="M296" s="195">
        <v>3600</v>
      </c>
      <c r="N296" s="195" t="s">
        <v>148</v>
      </c>
      <c r="O296" s="195">
        <v>4100</v>
      </c>
      <c r="P296" s="201"/>
      <c r="Q296">
        <f t="shared" si="8"/>
        <v>2019</v>
      </c>
      <c r="R296">
        <f t="shared" si="9"/>
        <v>2</v>
      </c>
      <c r="T296" s="102"/>
    </row>
    <row r="297" spans="1:20">
      <c r="A297" s="117">
        <v>7</v>
      </c>
      <c r="B297" s="102" t="s">
        <v>254</v>
      </c>
      <c r="C297" s="124">
        <v>43536</v>
      </c>
      <c r="D297" s="193">
        <v>4.8</v>
      </c>
      <c r="E297" s="193">
        <v>13.5</v>
      </c>
      <c r="F297" s="204">
        <v>105</v>
      </c>
      <c r="G297" s="193">
        <v>8.83</v>
      </c>
      <c r="H297" s="193">
        <v>3.3</v>
      </c>
      <c r="I297" s="193"/>
      <c r="J297" s="193">
        <v>4.1500000000000004</v>
      </c>
      <c r="K297" s="189">
        <v>3.5</v>
      </c>
      <c r="L297" s="189">
        <v>28</v>
      </c>
      <c r="M297" s="189">
        <v>3700</v>
      </c>
      <c r="N297" s="189">
        <v>10</v>
      </c>
      <c r="O297" s="189">
        <v>4400</v>
      </c>
      <c r="P297" s="202"/>
      <c r="Q297">
        <f t="shared" si="8"/>
        <v>2019</v>
      </c>
      <c r="R297">
        <f t="shared" si="9"/>
        <v>3</v>
      </c>
      <c r="T297" s="102"/>
    </row>
    <row r="298" spans="1:20">
      <c r="A298" s="117">
        <v>7</v>
      </c>
      <c r="B298" s="102" t="s">
        <v>254</v>
      </c>
      <c r="C298" s="206">
        <v>43571</v>
      </c>
      <c r="D298" s="194">
        <v>7</v>
      </c>
      <c r="E298" s="193">
        <v>12.2</v>
      </c>
      <c r="F298" s="204">
        <v>101</v>
      </c>
      <c r="G298" s="193">
        <v>8.4499999999999993</v>
      </c>
      <c r="H298" s="193">
        <v>1.4</v>
      </c>
      <c r="I298" s="192"/>
      <c r="J298" s="223">
        <v>3.1999999999999993</v>
      </c>
      <c r="K298" s="195" t="s">
        <v>149</v>
      </c>
      <c r="L298" s="195">
        <v>8</v>
      </c>
      <c r="M298" s="195">
        <v>3400</v>
      </c>
      <c r="N298" s="195">
        <v>11</v>
      </c>
      <c r="O298" s="195">
        <v>4300</v>
      </c>
      <c r="P298" s="199"/>
      <c r="Q298">
        <f t="shared" si="8"/>
        <v>2019</v>
      </c>
      <c r="R298">
        <f t="shared" si="9"/>
        <v>4</v>
      </c>
      <c r="T298" s="102"/>
    </row>
    <row r="299" spans="1:20">
      <c r="A299" s="117">
        <v>7</v>
      </c>
      <c r="B299" s="102" t="s">
        <v>254</v>
      </c>
      <c r="C299" s="124">
        <v>43600</v>
      </c>
      <c r="D299" s="192">
        <v>13.8</v>
      </c>
      <c r="E299" s="198">
        <v>12.3</v>
      </c>
      <c r="F299" s="204">
        <v>119</v>
      </c>
      <c r="G299" s="192">
        <v>8.43</v>
      </c>
      <c r="H299" s="198">
        <v>1.6</v>
      </c>
      <c r="I299" s="192"/>
      <c r="J299" s="192">
        <v>2.6999999999999993</v>
      </c>
      <c r="K299" s="195">
        <v>9.5</v>
      </c>
      <c r="L299" s="195">
        <v>16</v>
      </c>
      <c r="M299" s="197">
        <v>2700</v>
      </c>
      <c r="N299" s="197">
        <v>21</v>
      </c>
      <c r="O299" s="197">
        <v>3200</v>
      </c>
      <c r="P299" s="200"/>
      <c r="Q299">
        <f t="shared" si="8"/>
        <v>2019</v>
      </c>
      <c r="R299">
        <f t="shared" si="9"/>
        <v>5</v>
      </c>
      <c r="T299" s="102"/>
    </row>
    <row r="300" spans="1:20">
      <c r="A300" s="117">
        <v>7</v>
      </c>
      <c r="B300" s="102" t="s">
        <v>254</v>
      </c>
      <c r="C300" s="206">
        <v>43635</v>
      </c>
      <c r="D300" s="192">
        <v>21.2</v>
      </c>
      <c r="E300" s="192">
        <v>10.199999999999999</v>
      </c>
      <c r="F300" s="204">
        <v>115</v>
      </c>
      <c r="G300" s="192">
        <v>8.5</v>
      </c>
      <c r="H300" s="192">
        <v>3.2</v>
      </c>
      <c r="I300" s="193"/>
      <c r="J300" s="193">
        <v>2.7</v>
      </c>
      <c r="K300" s="189" t="s">
        <v>149</v>
      </c>
      <c r="L300" s="195">
        <v>20</v>
      </c>
      <c r="M300" s="195">
        <v>1800</v>
      </c>
      <c r="N300" s="195">
        <v>19</v>
      </c>
      <c r="O300" s="195">
        <v>2200</v>
      </c>
      <c r="P300" s="200"/>
      <c r="Q300">
        <f t="shared" si="8"/>
        <v>2019</v>
      </c>
      <c r="R300">
        <f t="shared" si="9"/>
        <v>6</v>
      </c>
      <c r="T300" s="102"/>
    </row>
    <row r="301" spans="1:20">
      <c r="A301" s="117">
        <v>7</v>
      </c>
      <c r="B301" s="102" t="s">
        <v>254</v>
      </c>
      <c r="C301" s="125">
        <v>43662</v>
      </c>
      <c r="D301" s="193">
        <v>18.8</v>
      </c>
      <c r="E301" s="193">
        <v>7.8</v>
      </c>
      <c r="F301" s="204">
        <v>84</v>
      </c>
      <c r="G301" s="193">
        <v>8.2899999999999991</v>
      </c>
      <c r="H301" s="193">
        <v>2.2999999999999998</v>
      </c>
      <c r="I301" s="193"/>
      <c r="J301" s="193">
        <v>2.7</v>
      </c>
      <c r="K301" s="189" t="s">
        <v>149</v>
      </c>
      <c r="L301" s="189">
        <v>23</v>
      </c>
      <c r="M301" s="189">
        <v>750</v>
      </c>
      <c r="N301" s="189">
        <v>52</v>
      </c>
      <c r="O301" s="189">
        <v>1100</v>
      </c>
      <c r="P301" s="200"/>
      <c r="Q301">
        <f t="shared" si="8"/>
        <v>2019</v>
      </c>
      <c r="R301">
        <f t="shared" si="9"/>
        <v>7</v>
      </c>
      <c r="T301" s="102"/>
    </row>
    <row r="302" spans="1:20">
      <c r="A302" s="117">
        <v>7</v>
      </c>
      <c r="B302" s="102" t="s">
        <v>254</v>
      </c>
      <c r="C302" s="124">
        <v>43698</v>
      </c>
      <c r="D302" s="192">
        <v>19.399999999999999</v>
      </c>
      <c r="E302" s="192">
        <v>10</v>
      </c>
      <c r="F302" s="204">
        <v>109</v>
      </c>
      <c r="G302" s="192">
        <v>8.66</v>
      </c>
      <c r="H302" s="192">
        <v>7.8</v>
      </c>
      <c r="I302" s="192"/>
      <c r="J302" s="192">
        <v>6.4</v>
      </c>
      <c r="K302" s="195" t="s">
        <v>149</v>
      </c>
      <c r="L302" s="195">
        <v>43</v>
      </c>
      <c r="M302" s="195" t="s">
        <v>148</v>
      </c>
      <c r="N302" s="195" t="s">
        <v>148</v>
      </c>
      <c r="O302" s="195">
        <v>640</v>
      </c>
      <c r="P302" s="200"/>
      <c r="Q302">
        <f t="shared" si="8"/>
        <v>2019</v>
      </c>
      <c r="R302">
        <f t="shared" si="9"/>
        <v>8</v>
      </c>
      <c r="T302" s="102"/>
    </row>
    <row r="303" spans="1:20">
      <c r="A303" s="117">
        <v>7</v>
      </c>
      <c r="B303" s="102" t="s">
        <v>254</v>
      </c>
      <c r="C303" s="206">
        <v>43725</v>
      </c>
      <c r="D303" s="193">
        <v>14.1</v>
      </c>
      <c r="E303" s="193">
        <v>9.6</v>
      </c>
      <c r="F303" s="188">
        <v>94</v>
      </c>
      <c r="G303" s="193">
        <v>8.3000000000000007</v>
      </c>
      <c r="H303" s="193">
        <v>6.2</v>
      </c>
      <c r="I303" s="193"/>
      <c r="J303" s="193">
        <v>2.62</v>
      </c>
      <c r="K303" s="189">
        <v>33</v>
      </c>
      <c r="L303" s="189">
        <v>78</v>
      </c>
      <c r="M303" s="189">
        <v>28</v>
      </c>
      <c r="N303" s="189">
        <v>20</v>
      </c>
      <c r="O303" s="189">
        <v>670</v>
      </c>
      <c r="P303" s="200"/>
      <c r="Q303">
        <f t="shared" si="8"/>
        <v>2019</v>
      </c>
      <c r="R303">
        <f t="shared" si="9"/>
        <v>9</v>
      </c>
      <c r="T303" s="102"/>
    </row>
    <row r="304" spans="1:20">
      <c r="A304" s="117">
        <v>7</v>
      </c>
      <c r="B304" s="102" t="s">
        <v>254</v>
      </c>
      <c r="C304" s="125">
        <v>43748</v>
      </c>
      <c r="D304" s="193">
        <v>11.4</v>
      </c>
      <c r="E304" s="193">
        <v>9.6</v>
      </c>
      <c r="F304" s="204">
        <v>88</v>
      </c>
      <c r="G304" s="193">
        <v>8.26</v>
      </c>
      <c r="H304" s="193">
        <v>5.9</v>
      </c>
      <c r="I304" s="193"/>
      <c r="J304" s="193">
        <v>2.6</v>
      </c>
      <c r="K304" s="189">
        <v>20</v>
      </c>
      <c r="L304" s="189">
        <v>39</v>
      </c>
      <c r="M304" s="189" t="s">
        <v>148</v>
      </c>
      <c r="N304" s="189">
        <v>30</v>
      </c>
      <c r="O304" s="189">
        <v>660</v>
      </c>
      <c r="P304" s="200"/>
      <c r="Q304">
        <f t="shared" si="8"/>
        <v>2019</v>
      </c>
      <c r="R304">
        <f t="shared" si="9"/>
        <v>10</v>
      </c>
      <c r="T304" s="102"/>
    </row>
    <row r="305" spans="1:20">
      <c r="A305" s="117">
        <v>7</v>
      </c>
      <c r="B305" s="102" t="s">
        <v>254</v>
      </c>
      <c r="C305" s="125">
        <v>43782</v>
      </c>
      <c r="D305" s="193">
        <v>6.3</v>
      </c>
      <c r="E305" s="193">
        <v>11.6</v>
      </c>
      <c r="F305" s="204">
        <v>94</v>
      </c>
      <c r="G305" s="193">
        <v>8.15</v>
      </c>
      <c r="H305" s="189">
        <v>2.8</v>
      </c>
      <c r="I305" s="193"/>
      <c r="J305" s="193">
        <v>2.9</v>
      </c>
      <c r="K305" s="189">
        <v>10</v>
      </c>
      <c r="L305" s="189">
        <v>44</v>
      </c>
      <c r="M305" s="189">
        <v>370</v>
      </c>
      <c r="N305" s="189">
        <v>29</v>
      </c>
      <c r="O305" s="189">
        <v>950</v>
      </c>
      <c r="P305" s="200"/>
      <c r="Q305">
        <f t="shared" si="8"/>
        <v>2019</v>
      </c>
      <c r="R305">
        <f t="shared" si="9"/>
        <v>11</v>
      </c>
      <c r="T305" s="102"/>
    </row>
    <row r="306" spans="1:20">
      <c r="A306" s="117">
        <v>7</v>
      </c>
      <c r="B306" s="102" t="s">
        <v>254</v>
      </c>
      <c r="C306" s="125">
        <v>43812</v>
      </c>
      <c r="D306" s="193">
        <v>4.3</v>
      </c>
      <c r="E306" s="193">
        <v>12.8</v>
      </c>
      <c r="F306" s="204">
        <v>99</v>
      </c>
      <c r="G306" s="193">
        <v>8.24</v>
      </c>
      <c r="H306" s="193">
        <v>5.85</v>
      </c>
      <c r="I306" s="193"/>
      <c r="J306" s="193">
        <v>2.2999999999999998</v>
      </c>
      <c r="K306" s="189">
        <v>24</v>
      </c>
      <c r="L306" s="189">
        <v>56</v>
      </c>
      <c r="M306" s="189">
        <v>1200</v>
      </c>
      <c r="N306" s="189">
        <v>66</v>
      </c>
      <c r="O306" s="189">
        <v>1900</v>
      </c>
      <c r="P306" s="200"/>
      <c r="Q306">
        <f t="shared" si="8"/>
        <v>2019</v>
      </c>
      <c r="R306">
        <f t="shared" si="9"/>
        <v>12</v>
      </c>
      <c r="T306" s="102"/>
    </row>
    <row r="307" spans="1:20">
      <c r="A307" s="117">
        <v>9</v>
      </c>
      <c r="B307" s="102" t="s">
        <v>255</v>
      </c>
      <c r="C307" s="213">
        <v>40225</v>
      </c>
      <c r="D307" s="193">
        <v>1.6</v>
      </c>
      <c r="E307" s="193">
        <v>10</v>
      </c>
      <c r="F307" s="204">
        <v>71</v>
      </c>
      <c r="G307" s="193">
        <v>8.15</v>
      </c>
      <c r="H307" s="193">
        <v>2.2999999999999998</v>
      </c>
      <c r="I307" s="192"/>
      <c r="J307" s="192">
        <v>1.8</v>
      </c>
      <c r="K307" s="189">
        <v>60</v>
      </c>
      <c r="L307" s="189">
        <v>64</v>
      </c>
      <c r="M307" s="189">
        <v>4900</v>
      </c>
      <c r="N307" s="189">
        <v>59</v>
      </c>
      <c r="O307" s="189">
        <v>5600</v>
      </c>
      <c r="P307" s="200"/>
      <c r="Q307">
        <f t="shared" si="8"/>
        <v>2010</v>
      </c>
      <c r="R307">
        <f t="shared" si="9"/>
        <v>2</v>
      </c>
      <c r="T307" s="102"/>
    </row>
    <row r="308" spans="1:20">
      <c r="A308" s="117">
        <v>9</v>
      </c>
      <c r="B308" s="102" t="s">
        <v>255</v>
      </c>
      <c r="C308" s="206">
        <v>40290</v>
      </c>
      <c r="D308" s="102">
        <v>7.3</v>
      </c>
      <c r="E308" s="102">
        <v>8.6999999999999993</v>
      </c>
      <c r="F308" s="218">
        <v>72</v>
      </c>
      <c r="G308" s="102">
        <v>8.27</v>
      </c>
      <c r="H308" s="218">
        <v>2.2000000000000002</v>
      </c>
      <c r="I308" s="102"/>
      <c r="J308" s="102">
        <v>5.7</v>
      </c>
      <c r="K308" s="218">
        <v>2</v>
      </c>
      <c r="L308" s="218">
        <v>15</v>
      </c>
      <c r="M308" s="218">
        <v>3100</v>
      </c>
      <c r="N308" s="218">
        <v>16</v>
      </c>
      <c r="O308" s="218">
        <v>7800</v>
      </c>
      <c r="P308" s="112"/>
      <c r="Q308">
        <f t="shared" si="8"/>
        <v>2010</v>
      </c>
      <c r="R308">
        <f t="shared" si="9"/>
        <v>4</v>
      </c>
      <c r="S308" s="112"/>
      <c r="T308" s="102"/>
    </row>
    <row r="309" spans="1:20">
      <c r="A309" s="117">
        <v>9</v>
      </c>
      <c r="B309" s="102" t="s">
        <v>255</v>
      </c>
      <c r="C309" s="206">
        <v>40346</v>
      </c>
      <c r="D309" s="102">
        <v>17.100000000000001</v>
      </c>
      <c r="E309" s="102">
        <v>8.3000000000000007</v>
      </c>
      <c r="F309" s="218">
        <v>86</v>
      </c>
      <c r="G309" s="102">
        <v>7.95</v>
      </c>
      <c r="H309" s="218">
        <v>4</v>
      </c>
      <c r="I309" s="102"/>
      <c r="J309" s="102">
        <v>3.5</v>
      </c>
      <c r="K309" s="218">
        <v>25</v>
      </c>
      <c r="L309" s="218">
        <v>76</v>
      </c>
      <c r="M309" s="218">
        <v>750</v>
      </c>
      <c r="N309" s="218">
        <v>38</v>
      </c>
      <c r="O309" s="218">
        <v>1600</v>
      </c>
      <c r="P309" s="112"/>
      <c r="Q309">
        <f t="shared" si="8"/>
        <v>2010</v>
      </c>
      <c r="R309">
        <f t="shared" si="9"/>
        <v>6</v>
      </c>
      <c r="S309" s="112"/>
      <c r="T309" s="102"/>
    </row>
    <row r="310" spans="1:20">
      <c r="A310" s="117">
        <v>9</v>
      </c>
      <c r="B310" s="102" t="s">
        <v>255</v>
      </c>
      <c r="C310" s="206">
        <v>40416</v>
      </c>
      <c r="D310" s="102">
        <v>15.4</v>
      </c>
      <c r="E310" s="102">
        <v>7.61</v>
      </c>
      <c r="F310" s="218">
        <v>76</v>
      </c>
      <c r="G310" s="102">
        <v>7.89</v>
      </c>
      <c r="H310" s="218">
        <v>4.0999999999999996</v>
      </c>
      <c r="I310" s="102"/>
      <c r="J310" s="102">
        <v>2.1</v>
      </c>
      <c r="K310" s="218">
        <v>160</v>
      </c>
      <c r="L310" s="218">
        <v>190</v>
      </c>
      <c r="M310" s="218">
        <v>640</v>
      </c>
      <c r="N310" s="218">
        <v>45</v>
      </c>
      <c r="O310" s="218">
        <v>1200</v>
      </c>
      <c r="P310" s="112"/>
      <c r="Q310">
        <f t="shared" si="8"/>
        <v>2010</v>
      </c>
      <c r="R310">
        <f t="shared" si="9"/>
        <v>8</v>
      </c>
      <c r="S310" s="112"/>
      <c r="T310" s="102"/>
    </row>
    <row r="311" spans="1:20">
      <c r="A311" s="117">
        <v>9</v>
      </c>
      <c r="B311" s="102" t="s">
        <v>255</v>
      </c>
      <c r="C311" s="206">
        <v>40471</v>
      </c>
      <c r="D311" s="102">
        <v>7.4</v>
      </c>
      <c r="E311" s="102">
        <v>10.7</v>
      </c>
      <c r="F311" s="218">
        <v>89</v>
      </c>
      <c r="G311" s="102">
        <v>7.91</v>
      </c>
      <c r="H311" s="218">
        <v>1.7</v>
      </c>
      <c r="I311" s="102"/>
      <c r="J311" s="102">
        <v>3.8</v>
      </c>
      <c r="K311" s="218">
        <v>76</v>
      </c>
      <c r="L311" s="218">
        <v>120</v>
      </c>
      <c r="M311" s="218">
        <v>620</v>
      </c>
      <c r="N311" s="218" t="s">
        <v>148</v>
      </c>
      <c r="O311" s="218">
        <v>1300</v>
      </c>
      <c r="P311" s="112"/>
      <c r="Q311">
        <f t="shared" si="8"/>
        <v>2010</v>
      </c>
      <c r="R311">
        <f t="shared" si="9"/>
        <v>10</v>
      </c>
      <c r="S311" s="112"/>
      <c r="T311" s="102"/>
    </row>
    <row r="312" spans="1:20">
      <c r="A312" s="117">
        <v>9</v>
      </c>
      <c r="B312" s="102" t="s">
        <v>255</v>
      </c>
      <c r="C312" s="206">
        <v>40526</v>
      </c>
      <c r="D312" s="102">
        <v>0.5</v>
      </c>
      <c r="E312" s="102">
        <v>12.6</v>
      </c>
      <c r="F312" s="218">
        <v>87</v>
      </c>
      <c r="G312" s="102">
        <v>7.84</v>
      </c>
      <c r="H312" s="218">
        <v>6.5</v>
      </c>
      <c r="I312" s="102"/>
      <c r="J312" s="102">
        <v>5</v>
      </c>
      <c r="K312" s="218">
        <v>63</v>
      </c>
      <c r="L312" s="218">
        <v>92</v>
      </c>
      <c r="M312" s="218">
        <v>9000</v>
      </c>
      <c r="N312" s="218">
        <v>130</v>
      </c>
      <c r="O312" s="218">
        <v>10000</v>
      </c>
      <c r="P312" s="112"/>
      <c r="Q312">
        <f t="shared" si="8"/>
        <v>2010</v>
      </c>
      <c r="R312">
        <f t="shared" si="9"/>
        <v>12</v>
      </c>
      <c r="S312" s="112"/>
      <c r="T312" s="102"/>
    </row>
    <row r="313" spans="1:20">
      <c r="A313" s="117">
        <v>9</v>
      </c>
      <c r="B313" s="102" t="s">
        <v>255</v>
      </c>
      <c r="C313" s="206">
        <v>40589</v>
      </c>
      <c r="D313" s="102">
        <v>0.3</v>
      </c>
      <c r="E313" s="102">
        <v>13.6</v>
      </c>
      <c r="F313" s="218">
        <v>94</v>
      </c>
      <c r="G313" s="102">
        <v>8.02</v>
      </c>
      <c r="H313" s="218">
        <v>15</v>
      </c>
      <c r="I313" s="102"/>
      <c r="J313" s="102">
        <v>3.5</v>
      </c>
      <c r="K313" s="218">
        <v>61</v>
      </c>
      <c r="L313" s="218">
        <v>80</v>
      </c>
      <c r="M313" s="218">
        <v>8800</v>
      </c>
      <c r="N313" s="218">
        <v>51</v>
      </c>
      <c r="O313" s="218">
        <v>9900</v>
      </c>
      <c r="P313" s="112"/>
      <c r="Q313">
        <f t="shared" si="8"/>
        <v>2011</v>
      </c>
      <c r="R313">
        <f t="shared" si="9"/>
        <v>2</v>
      </c>
      <c r="S313" s="112"/>
      <c r="T313" s="102"/>
    </row>
    <row r="314" spans="1:20">
      <c r="A314" s="117">
        <v>9</v>
      </c>
      <c r="B314" s="102" t="s">
        <v>255</v>
      </c>
      <c r="C314" s="206">
        <v>40646</v>
      </c>
      <c r="D314" s="102">
        <v>8.3000000000000007</v>
      </c>
      <c r="E314" s="102">
        <v>10.7</v>
      </c>
      <c r="F314" s="218">
        <v>91</v>
      </c>
      <c r="G314" s="102">
        <v>8.1999999999999993</v>
      </c>
      <c r="H314" s="218">
        <v>3.6</v>
      </c>
      <c r="I314" s="102"/>
      <c r="J314" s="102">
        <v>4.3</v>
      </c>
      <c r="K314" s="218" t="s">
        <v>148</v>
      </c>
      <c r="L314" s="218">
        <v>41</v>
      </c>
      <c r="M314" s="218">
        <v>4400</v>
      </c>
      <c r="N314" s="218">
        <v>46</v>
      </c>
      <c r="O314" s="218">
        <v>5200</v>
      </c>
      <c r="P314" s="112"/>
      <c r="Q314">
        <f t="shared" si="8"/>
        <v>2011</v>
      </c>
      <c r="R314">
        <f t="shared" si="9"/>
        <v>4</v>
      </c>
      <c r="S314" s="112"/>
      <c r="T314" s="102"/>
    </row>
    <row r="315" spans="1:20">
      <c r="A315" s="117">
        <v>9</v>
      </c>
      <c r="B315" s="102" t="s">
        <v>255</v>
      </c>
      <c r="C315" s="206">
        <v>40710</v>
      </c>
      <c r="D315" s="102">
        <v>18.399999999999999</v>
      </c>
      <c r="E315" s="102">
        <v>8.4</v>
      </c>
      <c r="F315" s="218">
        <v>90</v>
      </c>
      <c r="G315" s="102">
        <v>7.81</v>
      </c>
      <c r="H315" s="218">
        <v>1.8</v>
      </c>
      <c r="I315" s="102"/>
      <c r="J315" s="102">
        <v>2.2999999999999998</v>
      </c>
      <c r="K315" s="218">
        <v>49</v>
      </c>
      <c r="L315" s="218">
        <v>69</v>
      </c>
      <c r="M315" s="218">
        <v>120</v>
      </c>
      <c r="N315" s="218">
        <v>29</v>
      </c>
      <c r="O315" s="218">
        <v>640</v>
      </c>
      <c r="P315" s="112"/>
      <c r="Q315">
        <f t="shared" si="8"/>
        <v>2011</v>
      </c>
      <c r="R315">
        <f t="shared" si="9"/>
        <v>6</v>
      </c>
      <c r="S315" s="112"/>
      <c r="T315" s="102"/>
    </row>
    <row r="316" spans="1:20">
      <c r="A316" s="117">
        <v>9</v>
      </c>
      <c r="B316" s="102" t="s">
        <v>255</v>
      </c>
      <c r="C316" s="206">
        <v>40778</v>
      </c>
      <c r="D316" s="102">
        <v>16.600000000000001</v>
      </c>
      <c r="E316" s="102">
        <v>8.8000000000000007</v>
      </c>
      <c r="F316" s="218">
        <v>90</v>
      </c>
      <c r="G316" s="102">
        <v>7.84</v>
      </c>
      <c r="H316" s="218">
        <v>2.4</v>
      </c>
      <c r="I316" s="102"/>
      <c r="J316" s="102">
        <v>2.8</v>
      </c>
      <c r="K316" s="218">
        <v>7</v>
      </c>
      <c r="L316" s="218">
        <v>36</v>
      </c>
      <c r="M316" s="218">
        <v>2200</v>
      </c>
      <c r="N316" s="218">
        <v>22</v>
      </c>
      <c r="O316" s="218">
        <v>3000</v>
      </c>
      <c r="P316" s="112"/>
      <c r="Q316">
        <f t="shared" si="8"/>
        <v>2011</v>
      </c>
      <c r="R316">
        <f t="shared" si="9"/>
        <v>8</v>
      </c>
      <c r="S316" s="112"/>
      <c r="T316" s="102"/>
    </row>
    <row r="317" spans="1:20">
      <c r="A317" s="117">
        <v>9</v>
      </c>
      <c r="B317" s="102" t="s">
        <v>255</v>
      </c>
      <c r="C317" s="206">
        <v>40834</v>
      </c>
      <c r="D317" s="102">
        <v>8</v>
      </c>
      <c r="E317" s="102">
        <v>11.2</v>
      </c>
      <c r="F317" s="218">
        <v>95</v>
      </c>
      <c r="G317" s="102">
        <v>8.34</v>
      </c>
      <c r="H317" s="218">
        <v>11</v>
      </c>
      <c r="I317" s="102"/>
      <c r="J317" s="102">
        <v>9.1</v>
      </c>
      <c r="K317" s="218">
        <v>4</v>
      </c>
      <c r="L317" s="218">
        <v>81</v>
      </c>
      <c r="M317" s="218">
        <v>3100</v>
      </c>
      <c r="N317" s="218" t="s">
        <v>148</v>
      </c>
      <c r="O317" s="218">
        <v>4500</v>
      </c>
      <c r="P317" s="112"/>
      <c r="Q317">
        <f t="shared" si="8"/>
        <v>2011</v>
      </c>
      <c r="R317">
        <f t="shared" si="9"/>
        <v>10</v>
      </c>
      <c r="S317" s="112"/>
      <c r="T317" s="102"/>
    </row>
    <row r="318" spans="1:20">
      <c r="A318" s="117">
        <v>9</v>
      </c>
      <c r="B318" s="102" t="s">
        <v>255</v>
      </c>
      <c r="C318" s="206">
        <v>40896</v>
      </c>
      <c r="D318" s="102">
        <v>3.6</v>
      </c>
      <c r="E318" s="102">
        <v>12.6</v>
      </c>
      <c r="F318" s="218">
        <v>95</v>
      </c>
      <c r="G318" s="102">
        <v>7.91</v>
      </c>
      <c r="H318" s="218">
        <v>27</v>
      </c>
      <c r="I318" s="102"/>
      <c r="J318" s="102">
        <v>2.2999999999999998</v>
      </c>
      <c r="K318" s="218">
        <v>65</v>
      </c>
      <c r="L318" s="218">
        <v>120</v>
      </c>
      <c r="M318" s="218">
        <v>9100</v>
      </c>
      <c r="N318" s="218">
        <v>30</v>
      </c>
      <c r="O318" s="218">
        <v>10000</v>
      </c>
      <c r="P318" s="112"/>
      <c r="Q318">
        <f t="shared" si="8"/>
        <v>2011</v>
      </c>
      <c r="R318">
        <f t="shared" si="9"/>
        <v>12</v>
      </c>
      <c r="S318" s="112"/>
      <c r="T318" s="102"/>
    </row>
    <row r="319" spans="1:20">
      <c r="A319" s="117">
        <v>9</v>
      </c>
      <c r="B319" s="102" t="s">
        <v>255</v>
      </c>
      <c r="C319" s="216">
        <v>40949</v>
      </c>
      <c r="D319">
        <v>0.9</v>
      </c>
      <c r="E319" s="116">
        <v>10.5</v>
      </c>
      <c r="F319" s="101">
        <v>74</v>
      </c>
      <c r="G319">
        <v>8.1</v>
      </c>
      <c r="H319" s="116">
        <v>5.0999999999999996</v>
      </c>
      <c r="J319">
        <v>0.56999999999999995</v>
      </c>
      <c r="K319">
        <v>46</v>
      </c>
      <c r="L319">
        <v>76</v>
      </c>
      <c r="M319">
        <v>6600</v>
      </c>
      <c r="N319">
        <v>130</v>
      </c>
      <c r="O319">
        <v>7300</v>
      </c>
      <c r="Q319">
        <f t="shared" si="8"/>
        <v>2012</v>
      </c>
      <c r="R319">
        <f t="shared" si="9"/>
        <v>2</v>
      </c>
    </row>
    <row r="320" spans="1:20">
      <c r="A320" s="117">
        <v>9</v>
      </c>
      <c r="B320" s="102" t="s">
        <v>255</v>
      </c>
      <c r="C320" s="216">
        <v>41012</v>
      </c>
      <c r="D320">
        <v>8.1</v>
      </c>
      <c r="E320" s="116">
        <v>11.9</v>
      </c>
      <c r="F320" s="101">
        <v>97</v>
      </c>
      <c r="G320">
        <v>8.6</v>
      </c>
      <c r="H320" s="116">
        <v>4.0999999999999996</v>
      </c>
      <c r="J320">
        <v>5.3</v>
      </c>
      <c r="K320">
        <v>6</v>
      </c>
      <c r="L320">
        <v>30</v>
      </c>
      <c r="M320">
        <v>3500</v>
      </c>
      <c r="N320">
        <v>30</v>
      </c>
      <c r="O320">
        <v>4100</v>
      </c>
      <c r="Q320">
        <f t="shared" si="8"/>
        <v>2012</v>
      </c>
      <c r="R320">
        <f t="shared" si="9"/>
        <v>4</v>
      </c>
    </row>
    <row r="321" spans="1:18">
      <c r="A321" s="117">
        <v>9</v>
      </c>
      <c r="B321" s="102" t="s">
        <v>255</v>
      </c>
      <c r="C321" s="216">
        <v>41078</v>
      </c>
      <c r="D321">
        <v>16.7</v>
      </c>
      <c r="E321" s="116">
        <v>6.3</v>
      </c>
      <c r="F321" s="101">
        <v>70</v>
      </c>
      <c r="G321">
        <v>7.7</v>
      </c>
      <c r="H321" s="116">
        <v>3.6</v>
      </c>
      <c r="J321">
        <v>4.4000000000000004</v>
      </c>
      <c r="K321">
        <v>66</v>
      </c>
      <c r="L321">
        <v>120</v>
      </c>
      <c r="M321">
        <v>590</v>
      </c>
      <c r="N321">
        <v>36</v>
      </c>
      <c r="O321">
        <v>1700</v>
      </c>
      <c r="Q321">
        <f t="shared" si="8"/>
        <v>2012</v>
      </c>
      <c r="R321">
        <f t="shared" si="9"/>
        <v>6</v>
      </c>
    </row>
    <row r="322" spans="1:18">
      <c r="A322" s="117">
        <v>9</v>
      </c>
      <c r="B322" s="102" t="s">
        <v>255</v>
      </c>
      <c r="C322" s="216">
        <v>41136</v>
      </c>
      <c r="D322">
        <v>17.399999999999999</v>
      </c>
      <c r="E322" s="116">
        <v>7.2</v>
      </c>
      <c r="F322" s="101">
        <v>76</v>
      </c>
      <c r="G322">
        <v>7.9</v>
      </c>
      <c r="H322" s="116">
        <v>5.6</v>
      </c>
      <c r="J322" t="s">
        <v>288</v>
      </c>
      <c r="K322">
        <v>70</v>
      </c>
      <c r="L322">
        <v>160</v>
      </c>
      <c r="M322">
        <v>240</v>
      </c>
      <c r="N322" t="s">
        <v>148</v>
      </c>
      <c r="O322">
        <v>1300</v>
      </c>
      <c r="Q322">
        <f t="shared" si="8"/>
        <v>2012</v>
      </c>
      <c r="R322">
        <f t="shared" si="9"/>
        <v>8</v>
      </c>
    </row>
    <row r="323" spans="1:18">
      <c r="A323" s="117">
        <v>9</v>
      </c>
      <c r="B323" s="102" t="s">
        <v>255</v>
      </c>
      <c r="C323" s="216">
        <v>41193</v>
      </c>
      <c r="D323">
        <v>8.6</v>
      </c>
      <c r="E323" s="116">
        <v>9.4</v>
      </c>
      <c r="F323" s="101">
        <v>80</v>
      </c>
      <c r="G323">
        <v>8</v>
      </c>
      <c r="H323" s="116">
        <v>3.4</v>
      </c>
      <c r="J323">
        <v>2.4</v>
      </c>
      <c r="K323">
        <v>130</v>
      </c>
      <c r="L323">
        <v>160</v>
      </c>
      <c r="M323">
        <v>740</v>
      </c>
      <c r="N323">
        <v>74</v>
      </c>
      <c r="O323">
        <v>1300</v>
      </c>
      <c r="Q323">
        <f t="shared" si="8"/>
        <v>2012</v>
      </c>
      <c r="R323">
        <f t="shared" si="9"/>
        <v>10</v>
      </c>
    </row>
    <row r="324" spans="1:18">
      <c r="A324" s="117">
        <v>9</v>
      </c>
      <c r="B324" s="102" t="s">
        <v>255</v>
      </c>
      <c r="C324" s="216">
        <v>41263</v>
      </c>
      <c r="D324">
        <v>2.5</v>
      </c>
      <c r="E324" s="116">
        <v>12.8</v>
      </c>
      <c r="F324" s="101">
        <v>92</v>
      </c>
      <c r="G324">
        <v>8</v>
      </c>
      <c r="H324" s="116">
        <v>7.5</v>
      </c>
      <c r="J324">
        <v>2.7</v>
      </c>
      <c r="K324">
        <v>45</v>
      </c>
      <c r="L324">
        <v>79</v>
      </c>
      <c r="M324">
        <v>8900</v>
      </c>
      <c r="N324">
        <v>23</v>
      </c>
      <c r="O324">
        <v>7900</v>
      </c>
      <c r="Q324">
        <f t="shared" si="8"/>
        <v>2012</v>
      </c>
      <c r="R324">
        <f t="shared" si="9"/>
        <v>12</v>
      </c>
    </row>
    <row r="325" spans="1:18">
      <c r="A325" s="117">
        <v>9</v>
      </c>
      <c r="B325" s="102" t="s">
        <v>255</v>
      </c>
      <c r="C325" s="216">
        <v>41323</v>
      </c>
      <c r="D325">
        <v>1.9</v>
      </c>
      <c r="E325" s="116">
        <v>13.2</v>
      </c>
      <c r="F325" s="101">
        <v>96</v>
      </c>
      <c r="G325">
        <v>8.1999999999999993</v>
      </c>
      <c r="H325" s="116">
        <v>1.2</v>
      </c>
      <c r="J325">
        <v>1.8</v>
      </c>
      <c r="K325">
        <v>29</v>
      </c>
      <c r="L325">
        <v>40</v>
      </c>
      <c r="M325">
        <v>6900</v>
      </c>
      <c r="N325">
        <v>40</v>
      </c>
      <c r="O325">
        <v>7400</v>
      </c>
      <c r="Q325">
        <f t="shared" si="8"/>
        <v>2013</v>
      </c>
      <c r="R325">
        <f t="shared" si="9"/>
        <v>2</v>
      </c>
    </row>
    <row r="326" spans="1:18">
      <c r="A326" s="117">
        <v>9</v>
      </c>
      <c r="B326" s="102" t="s">
        <v>255</v>
      </c>
      <c r="C326" s="216">
        <v>41379</v>
      </c>
      <c r="D326">
        <v>8.4</v>
      </c>
      <c r="E326" s="116">
        <v>15.9</v>
      </c>
      <c r="F326" s="101">
        <v>136</v>
      </c>
      <c r="G326">
        <v>8.6999999999999993</v>
      </c>
      <c r="H326" s="116">
        <v>2.6</v>
      </c>
      <c r="J326">
        <v>3.8</v>
      </c>
      <c r="K326">
        <v>4</v>
      </c>
      <c r="L326">
        <v>22</v>
      </c>
      <c r="M326">
        <v>4000</v>
      </c>
      <c r="N326">
        <v>18</v>
      </c>
      <c r="O326">
        <v>4800</v>
      </c>
      <c r="Q326">
        <f t="shared" si="8"/>
        <v>2013</v>
      </c>
      <c r="R326">
        <f t="shared" si="9"/>
        <v>4</v>
      </c>
    </row>
    <row r="327" spans="1:18">
      <c r="A327" s="117">
        <v>9</v>
      </c>
      <c r="B327" s="102" t="s">
        <v>255</v>
      </c>
      <c r="C327" s="216">
        <v>41443</v>
      </c>
      <c r="D327">
        <v>15.8</v>
      </c>
      <c r="E327" s="116">
        <v>6.8</v>
      </c>
      <c r="F327" s="101">
        <v>69</v>
      </c>
      <c r="G327">
        <v>7.8</v>
      </c>
      <c r="H327" s="116">
        <v>2.5</v>
      </c>
      <c r="J327">
        <v>2.7</v>
      </c>
      <c r="K327">
        <v>210</v>
      </c>
      <c r="L327">
        <v>280</v>
      </c>
      <c r="M327">
        <v>790</v>
      </c>
      <c r="N327">
        <v>94</v>
      </c>
      <c r="O327">
        <v>1700</v>
      </c>
      <c r="Q327">
        <f t="shared" ref="Q327:Q390" si="10">YEAR(C327)</f>
        <v>2013</v>
      </c>
      <c r="R327">
        <f t="shared" ref="R327:R390" si="11">MONTH(C327)</f>
        <v>6</v>
      </c>
    </row>
    <row r="328" spans="1:18">
      <c r="A328" s="117">
        <v>9</v>
      </c>
      <c r="B328" s="102" t="s">
        <v>255</v>
      </c>
      <c r="C328" s="216">
        <v>41500</v>
      </c>
      <c r="D328">
        <v>15.4</v>
      </c>
      <c r="E328" s="116">
        <v>7.7</v>
      </c>
      <c r="F328" s="101">
        <v>77</v>
      </c>
      <c r="G328">
        <v>8</v>
      </c>
      <c r="H328" s="116">
        <v>1.6</v>
      </c>
      <c r="J328">
        <v>3.7</v>
      </c>
      <c r="K328">
        <v>210</v>
      </c>
      <c r="L328">
        <v>270</v>
      </c>
      <c r="M328">
        <v>650</v>
      </c>
      <c r="N328">
        <v>26</v>
      </c>
      <c r="O328">
        <v>1600</v>
      </c>
      <c r="Q328">
        <f t="shared" si="10"/>
        <v>2013</v>
      </c>
      <c r="R328">
        <f t="shared" si="11"/>
        <v>8</v>
      </c>
    </row>
    <row r="329" spans="1:18">
      <c r="A329" s="117">
        <v>9</v>
      </c>
      <c r="B329" s="102" t="s">
        <v>255</v>
      </c>
      <c r="C329" s="216">
        <v>41572</v>
      </c>
      <c r="D329">
        <v>10.5</v>
      </c>
      <c r="E329" s="116">
        <v>10.1</v>
      </c>
      <c r="F329" s="101">
        <v>95</v>
      </c>
      <c r="G329">
        <v>8</v>
      </c>
      <c r="H329" s="116">
        <v>3.2</v>
      </c>
      <c r="J329">
        <v>3</v>
      </c>
      <c r="K329">
        <v>48</v>
      </c>
      <c r="L329">
        <v>99</v>
      </c>
      <c r="M329">
        <v>1700</v>
      </c>
      <c r="N329">
        <v>47</v>
      </c>
      <c r="O329">
        <v>2800</v>
      </c>
      <c r="Q329">
        <f t="shared" si="10"/>
        <v>2013</v>
      </c>
      <c r="R329">
        <f t="shared" si="11"/>
        <v>10</v>
      </c>
    </row>
    <row r="330" spans="1:18">
      <c r="A330" s="117">
        <v>9</v>
      </c>
      <c r="B330" s="102" t="s">
        <v>255</v>
      </c>
      <c r="C330" s="216">
        <v>41619</v>
      </c>
      <c r="D330">
        <v>4.8</v>
      </c>
      <c r="E330" s="116">
        <v>12.2</v>
      </c>
      <c r="F330" s="101">
        <v>95</v>
      </c>
      <c r="G330">
        <v>8.1999999999999993</v>
      </c>
      <c r="H330" s="116">
        <v>7.1</v>
      </c>
      <c r="J330">
        <v>1.9</v>
      </c>
      <c r="K330">
        <v>40</v>
      </c>
      <c r="L330">
        <v>67</v>
      </c>
      <c r="M330">
        <v>9600</v>
      </c>
      <c r="N330">
        <v>51</v>
      </c>
      <c r="O330">
        <v>10000</v>
      </c>
      <c r="Q330">
        <f t="shared" si="10"/>
        <v>2013</v>
      </c>
      <c r="R330">
        <f t="shared" si="11"/>
        <v>12</v>
      </c>
    </row>
    <row r="331" spans="1:18">
      <c r="A331" s="117">
        <v>9</v>
      </c>
      <c r="B331" s="102" t="s">
        <v>255</v>
      </c>
      <c r="C331" s="216">
        <v>41681</v>
      </c>
      <c r="D331">
        <v>3</v>
      </c>
      <c r="E331" s="116">
        <v>12.7</v>
      </c>
      <c r="F331" s="101">
        <v>93</v>
      </c>
      <c r="G331">
        <v>8</v>
      </c>
      <c r="H331" s="116">
        <v>10</v>
      </c>
      <c r="J331">
        <v>2</v>
      </c>
      <c r="K331">
        <v>52</v>
      </c>
      <c r="L331">
        <v>86</v>
      </c>
      <c r="M331">
        <v>7700</v>
      </c>
      <c r="N331">
        <v>30</v>
      </c>
      <c r="O331">
        <v>8200</v>
      </c>
      <c r="Q331">
        <f t="shared" si="10"/>
        <v>2014</v>
      </c>
      <c r="R331">
        <f t="shared" si="11"/>
        <v>2</v>
      </c>
    </row>
    <row r="332" spans="1:18">
      <c r="A332" s="117">
        <v>9</v>
      </c>
      <c r="B332" s="102" t="s">
        <v>255</v>
      </c>
      <c r="C332" s="216">
        <v>41743</v>
      </c>
      <c r="D332">
        <v>8.8000000000000007</v>
      </c>
      <c r="E332" s="116">
        <v>11.6</v>
      </c>
      <c r="F332" s="101">
        <v>100</v>
      </c>
      <c r="G332">
        <v>8.1999999999999993</v>
      </c>
      <c r="H332" s="116">
        <v>2.2000000000000002</v>
      </c>
      <c r="J332">
        <v>3.2</v>
      </c>
      <c r="K332">
        <v>3</v>
      </c>
      <c r="L332">
        <v>28</v>
      </c>
      <c r="M332">
        <v>3000</v>
      </c>
      <c r="N332">
        <v>22</v>
      </c>
      <c r="O332">
        <v>3900</v>
      </c>
      <c r="Q332">
        <f t="shared" si="10"/>
        <v>2014</v>
      </c>
      <c r="R332">
        <f t="shared" si="11"/>
        <v>4</v>
      </c>
    </row>
    <row r="333" spans="1:18">
      <c r="A333" s="117">
        <v>9</v>
      </c>
      <c r="B333" s="102" t="s">
        <v>255</v>
      </c>
      <c r="C333" s="216">
        <v>41807</v>
      </c>
      <c r="D333">
        <v>16</v>
      </c>
      <c r="E333" s="116">
        <v>4</v>
      </c>
      <c r="F333" s="101">
        <v>39</v>
      </c>
      <c r="G333">
        <v>8</v>
      </c>
      <c r="H333" s="116">
        <v>1.5</v>
      </c>
      <c r="J333">
        <v>2.1</v>
      </c>
      <c r="K333">
        <v>62</v>
      </c>
      <c r="L333">
        <v>120</v>
      </c>
      <c r="M333">
        <v>210</v>
      </c>
      <c r="N333">
        <v>92</v>
      </c>
      <c r="O333">
        <v>1100</v>
      </c>
      <c r="Q333">
        <f t="shared" si="10"/>
        <v>2014</v>
      </c>
      <c r="R333">
        <f t="shared" si="11"/>
        <v>6</v>
      </c>
    </row>
    <row r="334" spans="1:18">
      <c r="A334" s="117">
        <v>9</v>
      </c>
      <c r="B334" s="102" t="s">
        <v>255</v>
      </c>
      <c r="C334" s="216">
        <v>41863</v>
      </c>
      <c r="D334">
        <v>15.5</v>
      </c>
      <c r="E334" s="116">
        <v>5.0999999999999996</v>
      </c>
      <c r="F334" s="101">
        <v>52</v>
      </c>
      <c r="G334">
        <v>7.5</v>
      </c>
      <c r="H334" s="116">
        <v>2.6</v>
      </c>
      <c r="J334">
        <v>1.8</v>
      </c>
      <c r="K334">
        <v>290</v>
      </c>
      <c r="L334">
        <v>320</v>
      </c>
      <c r="M334">
        <v>530</v>
      </c>
      <c r="N334">
        <v>220</v>
      </c>
      <c r="O334">
        <v>1400</v>
      </c>
      <c r="Q334">
        <f t="shared" si="10"/>
        <v>2014</v>
      </c>
      <c r="R334">
        <f t="shared" si="11"/>
        <v>8</v>
      </c>
    </row>
    <row r="335" spans="1:18">
      <c r="A335" s="117">
        <v>9</v>
      </c>
      <c r="B335" s="102" t="s">
        <v>255</v>
      </c>
      <c r="C335" s="216">
        <v>41929</v>
      </c>
      <c r="D335">
        <v>12</v>
      </c>
      <c r="E335" s="116">
        <v>9</v>
      </c>
      <c r="F335" s="101">
        <v>89</v>
      </c>
      <c r="G335">
        <v>8.1</v>
      </c>
      <c r="H335" s="116">
        <v>46</v>
      </c>
      <c r="J335">
        <v>3.6</v>
      </c>
      <c r="K335">
        <v>64</v>
      </c>
      <c r="L335">
        <v>340</v>
      </c>
      <c r="M335">
        <v>1900</v>
      </c>
      <c r="N335">
        <v>19</v>
      </c>
      <c r="O335">
        <v>2800</v>
      </c>
      <c r="Q335">
        <f t="shared" si="10"/>
        <v>2014</v>
      </c>
      <c r="R335">
        <f t="shared" si="11"/>
        <v>10</v>
      </c>
    </row>
    <row r="336" spans="1:18">
      <c r="A336" s="117">
        <v>9</v>
      </c>
      <c r="B336" s="102" t="s">
        <v>255</v>
      </c>
      <c r="C336" s="216">
        <v>41985</v>
      </c>
      <c r="D336">
        <v>4.5999999999999996</v>
      </c>
      <c r="E336" s="116">
        <v>12</v>
      </c>
      <c r="F336" s="101">
        <v>93</v>
      </c>
      <c r="G336">
        <v>8.1999999999999993</v>
      </c>
      <c r="H336" s="116">
        <v>8.4</v>
      </c>
      <c r="J336">
        <v>0.76</v>
      </c>
      <c r="K336">
        <v>49</v>
      </c>
      <c r="L336">
        <v>74</v>
      </c>
      <c r="M336">
        <v>6800</v>
      </c>
      <c r="N336">
        <v>72</v>
      </c>
      <c r="O336">
        <v>7400</v>
      </c>
      <c r="Q336">
        <f t="shared" si="10"/>
        <v>2014</v>
      </c>
      <c r="R336">
        <f t="shared" si="11"/>
        <v>12</v>
      </c>
    </row>
    <row r="337" spans="1:20">
      <c r="A337" s="117">
        <v>9</v>
      </c>
      <c r="B337" s="102" t="s">
        <v>255</v>
      </c>
      <c r="C337" s="216">
        <v>42045</v>
      </c>
      <c r="D337">
        <v>2.5</v>
      </c>
      <c r="E337" s="116">
        <v>13.5</v>
      </c>
      <c r="F337" s="101">
        <v>99</v>
      </c>
      <c r="G337">
        <v>8.1</v>
      </c>
      <c r="H337" s="116">
        <v>4</v>
      </c>
      <c r="J337">
        <v>1.6</v>
      </c>
      <c r="K337">
        <v>23</v>
      </c>
      <c r="L337">
        <v>50</v>
      </c>
      <c r="M337">
        <v>7700</v>
      </c>
      <c r="N337">
        <v>40</v>
      </c>
      <c r="O337">
        <v>8500</v>
      </c>
      <c r="Q337">
        <f t="shared" si="10"/>
        <v>2015</v>
      </c>
      <c r="R337">
        <f t="shared" si="11"/>
        <v>2</v>
      </c>
    </row>
    <row r="338" spans="1:20">
      <c r="A338" s="117">
        <v>9</v>
      </c>
      <c r="B338" s="102" t="s">
        <v>255</v>
      </c>
      <c r="C338" s="216">
        <v>42107</v>
      </c>
      <c r="D338">
        <v>7.6</v>
      </c>
      <c r="E338" s="116">
        <v>12.4</v>
      </c>
      <c r="F338" s="101">
        <v>99</v>
      </c>
      <c r="G338">
        <v>8.5</v>
      </c>
      <c r="H338" s="116">
        <v>2.8</v>
      </c>
      <c r="J338">
        <v>2.9</v>
      </c>
      <c r="K338">
        <v>4</v>
      </c>
      <c r="L338">
        <v>26</v>
      </c>
      <c r="M338">
        <v>5400</v>
      </c>
      <c r="N338" t="s">
        <v>148</v>
      </c>
      <c r="O338">
        <v>5900</v>
      </c>
      <c r="Q338">
        <f t="shared" si="10"/>
        <v>2015</v>
      </c>
      <c r="R338">
        <f t="shared" si="11"/>
        <v>4</v>
      </c>
    </row>
    <row r="339" spans="1:20">
      <c r="A339" s="117">
        <v>9</v>
      </c>
      <c r="B339" s="102" t="s">
        <v>255</v>
      </c>
      <c r="C339" s="216">
        <v>42172</v>
      </c>
      <c r="D339">
        <v>14.9</v>
      </c>
      <c r="E339" s="116">
        <v>6.6</v>
      </c>
      <c r="F339" s="101">
        <v>64</v>
      </c>
      <c r="G339">
        <v>7.8</v>
      </c>
      <c r="H339" s="116">
        <v>1.9</v>
      </c>
      <c r="J339">
        <v>3.3</v>
      </c>
      <c r="K339">
        <v>56</v>
      </c>
      <c r="L339">
        <v>98</v>
      </c>
      <c r="M339">
        <v>490</v>
      </c>
      <c r="N339" t="s">
        <v>148</v>
      </c>
      <c r="O339">
        <v>1600</v>
      </c>
      <c r="Q339">
        <f t="shared" si="10"/>
        <v>2015</v>
      </c>
      <c r="R339">
        <f t="shared" si="11"/>
        <v>6</v>
      </c>
    </row>
    <row r="340" spans="1:20">
      <c r="A340" s="117">
        <v>9</v>
      </c>
      <c r="B340" s="102" t="s">
        <v>255</v>
      </c>
      <c r="C340" s="216">
        <v>42234</v>
      </c>
      <c r="D340">
        <v>17.7</v>
      </c>
      <c r="E340" s="116">
        <v>6.4</v>
      </c>
      <c r="F340" s="101">
        <v>66</v>
      </c>
      <c r="G340">
        <v>7.8</v>
      </c>
      <c r="H340" s="116">
        <v>1.3</v>
      </c>
      <c r="J340">
        <v>1.4</v>
      </c>
      <c r="K340">
        <v>75</v>
      </c>
      <c r="L340">
        <v>110</v>
      </c>
      <c r="M340">
        <v>340</v>
      </c>
      <c r="N340">
        <v>80</v>
      </c>
      <c r="O340">
        <v>1000</v>
      </c>
      <c r="Q340">
        <f t="shared" si="10"/>
        <v>2015</v>
      </c>
      <c r="R340">
        <f t="shared" si="11"/>
        <v>8</v>
      </c>
    </row>
    <row r="341" spans="1:20">
      <c r="A341" s="117">
        <v>9</v>
      </c>
      <c r="B341" s="102" t="s">
        <v>255</v>
      </c>
      <c r="C341" s="216">
        <v>42290</v>
      </c>
      <c r="D341">
        <v>8.5</v>
      </c>
      <c r="E341" s="116">
        <v>10.1</v>
      </c>
      <c r="F341" s="101">
        <v>86</v>
      </c>
      <c r="G341">
        <v>7.8</v>
      </c>
      <c r="H341" s="116">
        <v>1.6</v>
      </c>
      <c r="J341">
        <v>1.8</v>
      </c>
      <c r="K341">
        <v>34</v>
      </c>
      <c r="L341">
        <v>88</v>
      </c>
      <c r="M341">
        <v>770</v>
      </c>
      <c r="N341">
        <v>70</v>
      </c>
      <c r="O341">
        <v>1400</v>
      </c>
      <c r="Q341">
        <f t="shared" si="10"/>
        <v>2015</v>
      </c>
      <c r="R341">
        <f t="shared" si="11"/>
        <v>10</v>
      </c>
    </row>
    <row r="342" spans="1:20">
      <c r="A342" s="117">
        <v>9</v>
      </c>
      <c r="B342" s="102" t="s">
        <v>255</v>
      </c>
      <c r="C342" s="216">
        <v>42352</v>
      </c>
      <c r="D342">
        <v>3.8</v>
      </c>
      <c r="E342" s="116">
        <v>13.1</v>
      </c>
      <c r="F342" s="101">
        <v>98</v>
      </c>
      <c r="G342">
        <v>8.1</v>
      </c>
      <c r="H342" s="116">
        <v>11</v>
      </c>
      <c r="J342">
        <v>2</v>
      </c>
      <c r="K342">
        <v>33</v>
      </c>
      <c r="L342">
        <v>56</v>
      </c>
      <c r="M342">
        <v>6000</v>
      </c>
      <c r="N342">
        <v>38</v>
      </c>
      <c r="O342">
        <v>7600</v>
      </c>
      <c r="Q342">
        <f t="shared" si="10"/>
        <v>2015</v>
      </c>
      <c r="R342">
        <f t="shared" si="11"/>
        <v>12</v>
      </c>
    </row>
    <row r="343" spans="1:20" ht="13">
      <c r="A343" s="118">
        <v>9</v>
      </c>
      <c r="B343" s="102" t="s">
        <v>255</v>
      </c>
      <c r="C343" s="206">
        <v>42416</v>
      </c>
      <c r="D343" s="102">
        <v>2</v>
      </c>
      <c r="E343" s="102">
        <v>13.3</v>
      </c>
      <c r="F343" s="218">
        <v>95</v>
      </c>
      <c r="G343" s="102">
        <v>8.1</v>
      </c>
      <c r="H343" s="102">
        <v>7.4</v>
      </c>
      <c r="I343" s="102"/>
      <c r="J343" s="102">
        <v>2.2999999999999998</v>
      </c>
      <c r="K343" s="218">
        <v>41</v>
      </c>
      <c r="L343" s="218">
        <v>53</v>
      </c>
      <c r="M343" s="218">
        <v>6900</v>
      </c>
      <c r="N343" s="218">
        <v>31</v>
      </c>
      <c r="O343" s="218">
        <v>7000</v>
      </c>
      <c r="P343" s="112"/>
      <c r="Q343">
        <f t="shared" si="10"/>
        <v>2016</v>
      </c>
      <c r="R343">
        <f t="shared" si="11"/>
        <v>2</v>
      </c>
      <c r="S343" s="103"/>
      <c r="T343" s="102"/>
    </row>
    <row r="344" spans="1:20" ht="13">
      <c r="A344" s="118">
        <v>9</v>
      </c>
      <c r="B344" s="102" t="s">
        <v>255</v>
      </c>
      <c r="C344" s="206">
        <v>42472</v>
      </c>
      <c r="D344" s="102">
        <v>8.6</v>
      </c>
      <c r="E344" s="102">
        <v>13.8</v>
      </c>
      <c r="F344" s="218">
        <v>119</v>
      </c>
      <c r="G344" s="102">
        <v>8.4</v>
      </c>
      <c r="H344" s="102">
        <v>2</v>
      </c>
      <c r="I344" s="102"/>
      <c r="J344" s="102">
        <v>3.7</v>
      </c>
      <c r="K344" s="218">
        <v>4.0999999999999996</v>
      </c>
      <c r="L344" s="218">
        <v>10</v>
      </c>
      <c r="M344" s="218">
        <v>3900</v>
      </c>
      <c r="N344" s="218" t="s">
        <v>148</v>
      </c>
      <c r="O344" s="218">
        <v>4100</v>
      </c>
      <c r="P344" s="121"/>
      <c r="Q344">
        <f t="shared" si="10"/>
        <v>2016</v>
      </c>
      <c r="R344">
        <f t="shared" si="11"/>
        <v>4</v>
      </c>
      <c r="S344" s="103"/>
      <c r="T344" s="102"/>
    </row>
    <row r="345" spans="1:20" ht="13">
      <c r="A345" s="118">
        <v>9</v>
      </c>
      <c r="B345" s="102" t="s">
        <v>255</v>
      </c>
      <c r="C345" s="206">
        <v>42536</v>
      </c>
      <c r="D345" s="102">
        <v>15.9</v>
      </c>
      <c r="E345" s="102">
        <v>6.3</v>
      </c>
      <c r="F345" s="218">
        <v>63</v>
      </c>
      <c r="G345" s="102">
        <v>7.9</v>
      </c>
      <c r="H345" s="102">
        <v>1.5</v>
      </c>
      <c r="I345" s="102"/>
      <c r="J345" s="102">
        <v>2.2000000000000002</v>
      </c>
      <c r="K345" s="218">
        <v>72</v>
      </c>
      <c r="L345" s="218">
        <v>110</v>
      </c>
      <c r="M345" s="218">
        <v>640</v>
      </c>
      <c r="N345" s="218">
        <v>74</v>
      </c>
      <c r="O345" s="218">
        <v>1400</v>
      </c>
      <c r="P345" s="102"/>
      <c r="Q345">
        <f t="shared" si="10"/>
        <v>2016</v>
      </c>
      <c r="R345">
        <f t="shared" si="11"/>
        <v>6</v>
      </c>
      <c r="S345" s="102"/>
      <c r="T345" s="102"/>
    </row>
    <row r="346" spans="1:20" ht="13">
      <c r="A346" s="118">
        <v>9</v>
      </c>
      <c r="B346" s="102" t="s">
        <v>255</v>
      </c>
      <c r="C346" s="206">
        <v>42592</v>
      </c>
      <c r="D346" s="102">
        <v>17.8</v>
      </c>
      <c r="E346" s="102">
        <v>7.8</v>
      </c>
      <c r="F346" s="218">
        <v>76</v>
      </c>
      <c r="G346" s="102">
        <v>7.8</v>
      </c>
      <c r="H346" s="102">
        <v>2.8</v>
      </c>
      <c r="I346" s="102"/>
      <c r="J346" s="102">
        <v>1</v>
      </c>
      <c r="K346" s="218">
        <v>91</v>
      </c>
      <c r="L346" s="218">
        <v>150</v>
      </c>
      <c r="M346" s="218">
        <v>830</v>
      </c>
      <c r="N346" s="218">
        <v>130</v>
      </c>
      <c r="O346" s="218">
        <v>1400</v>
      </c>
      <c r="P346" s="111"/>
      <c r="Q346">
        <f t="shared" si="10"/>
        <v>2016</v>
      </c>
      <c r="R346">
        <f t="shared" si="11"/>
        <v>8</v>
      </c>
      <c r="S346" s="119"/>
      <c r="T346" s="102"/>
    </row>
    <row r="347" spans="1:20" ht="13">
      <c r="A347" s="118">
        <v>9</v>
      </c>
      <c r="B347" s="102" t="s">
        <v>255</v>
      </c>
      <c r="C347" s="206">
        <v>42661</v>
      </c>
      <c r="D347" s="102">
        <v>8.4</v>
      </c>
      <c r="E347" s="102">
        <v>6.3</v>
      </c>
      <c r="F347" s="218">
        <v>53</v>
      </c>
      <c r="G347" s="102">
        <v>7.6</v>
      </c>
      <c r="H347" s="102">
        <v>1.8</v>
      </c>
      <c r="I347" s="102"/>
      <c r="J347" s="102">
        <v>1.7</v>
      </c>
      <c r="K347" s="218">
        <v>80</v>
      </c>
      <c r="L347" s="218">
        <v>160</v>
      </c>
      <c r="M347" s="218">
        <v>1100</v>
      </c>
      <c r="N347" s="218">
        <v>79</v>
      </c>
      <c r="O347" s="218">
        <v>1700</v>
      </c>
      <c r="P347" s="112"/>
      <c r="Q347">
        <f t="shared" si="10"/>
        <v>2016</v>
      </c>
      <c r="R347">
        <f t="shared" si="11"/>
        <v>10</v>
      </c>
      <c r="S347" s="112"/>
      <c r="T347" s="102"/>
    </row>
    <row r="348" spans="1:20" ht="13">
      <c r="A348" s="118">
        <v>9</v>
      </c>
      <c r="B348" s="102" t="s">
        <v>255</v>
      </c>
      <c r="C348" s="206">
        <v>42724</v>
      </c>
      <c r="D348" s="102">
        <v>3.2</v>
      </c>
      <c r="E348" s="102">
        <v>12.9</v>
      </c>
      <c r="F348" s="218">
        <v>95</v>
      </c>
      <c r="G348" s="102">
        <v>8.1999999999999993</v>
      </c>
      <c r="H348" s="102">
        <v>7</v>
      </c>
      <c r="I348" s="102"/>
      <c r="J348" s="102">
        <v>1.7</v>
      </c>
      <c r="K348" s="218">
        <v>40</v>
      </c>
      <c r="L348" s="218">
        <v>63</v>
      </c>
      <c r="M348" s="218">
        <v>8700</v>
      </c>
      <c r="N348" s="218">
        <v>79</v>
      </c>
      <c r="O348" s="218">
        <v>8800</v>
      </c>
      <c r="P348" s="112"/>
      <c r="Q348">
        <f t="shared" si="10"/>
        <v>2016</v>
      </c>
      <c r="R348">
        <f t="shared" si="11"/>
        <v>12</v>
      </c>
      <c r="S348" s="112"/>
      <c r="T348" s="102"/>
    </row>
    <row r="349" spans="1:20" ht="13">
      <c r="A349" s="118">
        <v>9</v>
      </c>
      <c r="B349" s="102" t="s">
        <v>255</v>
      </c>
      <c r="C349" s="206">
        <v>42773</v>
      </c>
      <c r="D349" s="102">
        <v>1.2</v>
      </c>
      <c r="E349" s="102">
        <v>14</v>
      </c>
      <c r="F349" s="218">
        <v>98</v>
      </c>
      <c r="G349" s="102">
        <v>8.1999999999999993</v>
      </c>
      <c r="H349" s="218">
        <v>1.6</v>
      </c>
      <c r="I349" s="102"/>
      <c r="J349" s="102">
        <v>1.8</v>
      </c>
      <c r="K349" s="218">
        <v>24</v>
      </c>
      <c r="L349" s="218">
        <v>38</v>
      </c>
      <c r="M349" s="218">
        <v>7400</v>
      </c>
      <c r="N349" s="218">
        <v>35</v>
      </c>
      <c r="O349" s="218">
        <v>7400</v>
      </c>
      <c r="P349" s="102"/>
      <c r="Q349">
        <f t="shared" si="10"/>
        <v>2017</v>
      </c>
      <c r="R349">
        <f t="shared" si="11"/>
        <v>2</v>
      </c>
      <c r="S349" s="103"/>
      <c r="T349" s="102"/>
    </row>
    <row r="350" spans="1:20" ht="13">
      <c r="A350" s="118">
        <v>9</v>
      </c>
      <c r="B350" s="102" t="s">
        <v>255</v>
      </c>
      <c r="C350" s="206">
        <v>42837</v>
      </c>
      <c r="D350" s="102">
        <v>8.5</v>
      </c>
      <c r="E350" s="102">
        <v>10.9</v>
      </c>
      <c r="F350" s="218">
        <v>94</v>
      </c>
      <c r="G350" s="102">
        <v>8.3000000000000007</v>
      </c>
      <c r="H350" s="218">
        <v>2.7</v>
      </c>
      <c r="I350" s="102"/>
      <c r="J350" s="102">
        <v>3.1</v>
      </c>
      <c r="K350" s="218">
        <v>3.9</v>
      </c>
      <c r="L350" s="218">
        <v>29</v>
      </c>
      <c r="M350" s="218">
        <v>4500</v>
      </c>
      <c r="N350" s="218" t="s">
        <v>148</v>
      </c>
      <c r="O350" s="218">
        <v>4900</v>
      </c>
      <c r="P350" s="102"/>
      <c r="Q350">
        <f t="shared" si="10"/>
        <v>2017</v>
      </c>
      <c r="R350">
        <f t="shared" si="11"/>
        <v>4</v>
      </c>
      <c r="S350" s="103"/>
      <c r="T350" s="102"/>
    </row>
    <row r="351" spans="1:20" ht="13">
      <c r="A351" s="118">
        <v>9</v>
      </c>
      <c r="B351" s="102" t="s">
        <v>255</v>
      </c>
      <c r="C351" s="206">
        <v>42901</v>
      </c>
      <c r="D351" s="102">
        <v>17.7</v>
      </c>
      <c r="E351" s="102">
        <v>7.4</v>
      </c>
      <c r="F351" s="218">
        <v>78</v>
      </c>
      <c r="G351" s="102">
        <v>7.9</v>
      </c>
      <c r="H351" s="218">
        <v>4.3</v>
      </c>
      <c r="I351" s="102"/>
      <c r="J351" s="102">
        <v>3.98</v>
      </c>
      <c r="K351" s="218">
        <v>34</v>
      </c>
      <c r="L351" s="218">
        <v>110</v>
      </c>
      <c r="M351" s="218">
        <v>370</v>
      </c>
      <c r="N351" s="218">
        <v>55</v>
      </c>
      <c r="O351" s="218">
        <v>1200</v>
      </c>
      <c r="P351" s="111"/>
      <c r="Q351">
        <f t="shared" si="10"/>
        <v>2017</v>
      </c>
      <c r="R351">
        <f t="shared" si="11"/>
        <v>6</v>
      </c>
      <c r="S351" s="119"/>
      <c r="T351" s="102"/>
    </row>
    <row r="352" spans="1:20" ht="13">
      <c r="A352" s="118">
        <v>9</v>
      </c>
      <c r="B352" s="102" t="s">
        <v>255</v>
      </c>
      <c r="C352" s="206">
        <v>42963</v>
      </c>
      <c r="D352" s="102">
        <v>17.600000000000001</v>
      </c>
      <c r="E352" s="102">
        <v>7.1</v>
      </c>
      <c r="F352" s="218">
        <v>74</v>
      </c>
      <c r="G352" s="102">
        <v>7.9</v>
      </c>
      <c r="H352" s="218">
        <v>3.1</v>
      </c>
      <c r="I352" s="102"/>
      <c r="J352" s="102">
        <v>2.5</v>
      </c>
      <c r="K352" s="218">
        <v>150</v>
      </c>
      <c r="L352" s="218">
        <v>250</v>
      </c>
      <c r="M352" s="218">
        <v>690</v>
      </c>
      <c r="N352" s="218">
        <v>77</v>
      </c>
      <c r="O352" s="218">
        <v>1500</v>
      </c>
      <c r="P352" s="112"/>
      <c r="Q352">
        <f t="shared" si="10"/>
        <v>2017</v>
      </c>
      <c r="R352">
        <f t="shared" si="11"/>
        <v>8</v>
      </c>
      <c r="S352" s="112"/>
      <c r="T352" s="102"/>
    </row>
    <row r="353" spans="1:20" ht="13">
      <c r="A353" s="118">
        <v>9</v>
      </c>
      <c r="B353" s="102" t="s">
        <v>255</v>
      </c>
      <c r="C353" s="206">
        <v>43027</v>
      </c>
      <c r="D353" s="102">
        <v>11.5</v>
      </c>
      <c r="E353" s="102">
        <v>9.9</v>
      </c>
      <c r="F353" s="218">
        <v>91</v>
      </c>
      <c r="G353" s="102">
        <v>8.1999999999999993</v>
      </c>
      <c r="H353" s="218">
        <v>3.1</v>
      </c>
      <c r="I353" s="102"/>
      <c r="J353" s="102">
        <v>1.5</v>
      </c>
      <c r="K353" s="218">
        <v>40</v>
      </c>
      <c r="L353" s="218">
        <v>68</v>
      </c>
      <c r="M353" s="218">
        <v>4500</v>
      </c>
      <c r="N353" s="218">
        <v>24</v>
      </c>
      <c r="O353" s="218">
        <v>4800</v>
      </c>
      <c r="P353" s="112"/>
      <c r="Q353">
        <f t="shared" si="10"/>
        <v>2017</v>
      </c>
      <c r="R353">
        <f t="shared" si="11"/>
        <v>10</v>
      </c>
      <c r="S353" s="112"/>
      <c r="T353" s="102"/>
    </row>
    <row r="354" spans="1:20">
      <c r="A354" s="117">
        <v>9</v>
      </c>
      <c r="B354" s="102" t="s">
        <v>255</v>
      </c>
      <c r="C354" s="206">
        <v>43081</v>
      </c>
      <c r="D354" s="102">
        <v>3.1</v>
      </c>
      <c r="E354" s="102">
        <v>12.8</v>
      </c>
      <c r="F354" s="218">
        <v>98</v>
      </c>
      <c r="G354" s="102">
        <v>8.1</v>
      </c>
      <c r="H354" s="102">
        <v>12</v>
      </c>
      <c r="I354" s="102"/>
      <c r="J354" s="102">
        <v>1.5</v>
      </c>
      <c r="K354" s="218">
        <v>56</v>
      </c>
      <c r="L354" s="218">
        <v>79</v>
      </c>
      <c r="M354" s="218">
        <v>7200</v>
      </c>
      <c r="N354" s="218">
        <v>67</v>
      </c>
      <c r="O354" s="218">
        <v>7800</v>
      </c>
      <c r="P354" s="112"/>
      <c r="Q354">
        <f t="shared" si="10"/>
        <v>2017</v>
      </c>
      <c r="R354">
        <f t="shared" si="11"/>
        <v>12</v>
      </c>
      <c r="S354" s="112"/>
      <c r="T354" s="102"/>
    </row>
    <row r="355" spans="1:20">
      <c r="A355" s="117">
        <v>9</v>
      </c>
      <c r="B355" s="102" t="s">
        <v>255</v>
      </c>
      <c r="C355" s="206">
        <v>43151</v>
      </c>
      <c r="D355" s="102">
        <v>2.6</v>
      </c>
      <c r="E355" s="102">
        <v>12.3</v>
      </c>
      <c r="F355" s="218">
        <v>90</v>
      </c>
      <c r="G355" s="102">
        <v>8.02</v>
      </c>
      <c r="H355" s="102">
        <v>9.1999999999999993</v>
      </c>
      <c r="I355" s="102"/>
      <c r="J355" s="102">
        <v>2.5</v>
      </c>
      <c r="K355" s="218">
        <v>33</v>
      </c>
      <c r="L355" s="218">
        <v>51</v>
      </c>
      <c r="M355" s="218">
        <v>4700</v>
      </c>
      <c r="N355" s="218">
        <v>48</v>
      </c>
      <c r="O355" s="218">
        <v>4700</v>
      </c>
      <c r="P355" s="112"/>
      <c r="Q355">
        <f t="shared" si="10"/>
        <v>2018</v>
      </c>
      <c r="R355">
        <f t="shared" si="11"/>
        <v>2</v>
      </c>
      <c r="S355" s="112"/>
      <c r="T355" s="102"/>
    </row>
    <row r="356" spans="1:20">
      <c r="A356" s="117">
        <v>9</v>
      </c>
      <c r="B356" s="102" t="s">
        <v>255</v>
      </c>
      <c r="C356" s="206">
        <v>43200</v>
      </c>
      <c r="D356" s="102">
        <v>8.6999999999999993</v>
      </c>
      <c r="E356" s="102">
        <v>12.1</v>
      </c>
      <c r="F356" s="218">
        <v>104</v>
      </c>
      <c r="G356" s="102">
        <v>8.1999999999999993</v>
      </c>
      <c r="H356" s="102">
        <v>6</v>
      </c>
      <c r="I356" s="102"/>
      <c r="J356" s="102">
        <v>5.0999999999999996</v>
      </c>
      <c r="K356" s="218">
        <v>21</v>
      </c>
      <c r="L356" s="218">
        <v>49</v>
      </c>
      <c r="M356" s="218">
        <v>4600</v>
      </c>
      <c r="N356" s="218" t="s">
        <v>148</v>
      </c>
      <c r="O356" s="218">
        <v>4800</v>
      </c>
      <c r="P356" s="112"/>
      <c r="Q356">
        <f t="shared" si="10"/>
        <v>2018</v>
      </c>
      <c r="R356">
        <f t="shared" si="11"/>
        <v>4</v>
      </c>
      <c r="S356" s="112"/>
      <c r="T356" s="102"/>
    </row>
    <row r="357" spans="1:20">
      <c r="A357" s="117">
        <v>9</v>
      </c>
      <c r="B357" s="102" t="s">
        <v>255</v>
      </c>
      <c r="C357" s="206">
        <v>43270</v>
      </c>
      <c r="D357" s="102">
        <v>16.899999999999999</v>
      </c>
      <c r="E357" s="102">
        <v>7.1</v>
      </c>
      <c r="F357" s="218">
        <v>73</v>
      </c>
      <c r="G357" s="102">
        <v>7.79</v>
      </c>
      <c r="H357" s="102">
        <v>2.9</v>
      </c>
      <c r="I357" s="102"/>
      <c r="J357" s="102">
        <v>3.3</v>
      </c>
      <c r="K357" s="218">
        <v>110</v>
      </c>
      <c r="L357" s="218">
        <v>190</v>
      </c>
      <c r="M357" s="218">
        <v>790</v>
      </c>
      <c r="N357" s="218">
        <v>80</v>
      </c>
      <c r="O357" s="218">
        <v>1300</v>
      </c>
      <c r="P357" s="112"/>
      <c r="Q357">
        <f t="shared" si="10"/>
        <v>2018</v>
      </c>
      <c r="R357">
        <f t="shared" si="11"/>
        <v>6</v>
      </c>
      <c r="S357" s="112"/>
      <c r="T357" s="102"/>
    </row>
    <row r="358" spans="1:20">
      <c r="A358" s="117">
        <v>9</v>
      </c>
      <c r="B358" s="122" t="s">
        <v>255</v>
      </c>
      <c r="C358" s="124">
        <v>43333</v>
      </c>
      <c r="D358" s="193">
        <v>17.399999999999999</v>
      </c>
      <c r="E358" s="193">
        <v>6.2</v>
      </c>
      <c r="F358" s="204">
        <v>65</v>
      </c>
      <c r="G358" s="193">
        <v>7.63</v>
      </c>
      <c r="H358" s="193">
        <v>2.6</v>
      </c>
      <c r="I358" s="193"/>
      <c r="J358" s="193">
        <v>2.7</v>
      </c>
      <c r="K358" s="189">
        <v>69</v>
      </c>
      <c r="L358" s="189">
        <v>100</v>
      </c>
      <c r="M358" s="189">
        <v>490</v>
      </c>
      <c r="N358" s="189">
        <v>150</v>
      </c>
      <c r="O358" s="189">
        <v>990</v>
      </c>
      <c r="P358" s="202"/>
      <c r="Q358">
        <f t="shared" si="10"/>
        <v>2018</v>
      </c>
      <c r="R358">
        <f t="shared" si="11"/>
        <v>8</v>
      </c>
      <c r="T358" s="102"/>
    </row>
    <row r="359" spans="1:20">
      <c r="A359" s="117">
        <v>9</v>
      </c>
      <c r="B359" s="122" t="s">
        <v>255</v>
      </c>
      <c r="C359" s="124">
        <v>43389</v>
      </c>
      <c r="D359" s="192">
        <v>11.4</v>
      </c>
      <c r="E359" s="192">
        <v>10.9</v>
      </c>
      <c r="F359" s="204">
        <v>100</v>
      </c>
      <c r="G359" s="192">
        <v>7.7</v>
      </c>
      <c r="H359" s="192">
        <v>1.9</v>
      </c>
      <c r="I359" s="193"/>
      <c r="J359" s="193">
        <v>4.5</v>
      </c>
      <c r="K359" s="189">
        <v>17</v>
      </c>
      <c r="L359" s="195">
        <v>58</v>
      </c>
      <c r="M359" s="195" t="s">
        <v>148</v>
      </c>
      <c r="N359" s="195" t="s">
        <v>148</v>
      </c>
      <c r="O359" s="195">
        <v>480</v>
      </c>
      <c r="P359" s="200"/>
      <c r="Q359">
        <f t="shared" si="10"/>
        <v>2018</v>
      </c>
      <c r="R359">
        <f t="shared" si="11"/>
        <v>10</v>
      </c>
      <c r="T359" s="102"/>
    </row>
    <row r="360" spans="1:20">
      <c r="A360" s="117">
        <v>9</v>
      </c>
      <c r="B360" s="122" t="s">
        <v>255</v>
      </c>
      <c r="C360" s="125">
        <v>43447</v>
      </c>
      <c r="D360" s="193">
        <v>2.9</v>
      </c>
      <c r="E360" s="193">
        <v>12.5</v>
      </c>
      <c r="F360" s="204">
        <v>93</v>
      </c>
      <c r="G360" s="193">
        <v>7.83</v>
      </c>
      <c r="H360" s="193">
        <v>2.6</v>
      </c>
      <c r="I360" s="193"/>
      <c r="J360" s="193">
        <v>3.7</v>
      </c>
      <c r="K360" s="189">
        <v>25</v>
      </c>
      <c r="L360" s="189">
        <v>64</v>
      </c>
      <c r="M360" s="189">
        <v>4400</v>
      </c>
      <c r="N360" s="189">
        <v>530</v>
      </c>
      <c r="O360" s="189">
        <v>4800</v>
      </c>
      <c r="P360" s="200"/>
      <c r="Q360">
        <f t="shared" si="10"/>
        <v>2018</v>
      </c>
      <c r="R360">
        <f t="shared" si="11"/>
        <v>12</v>
      </c>
      <c r="T360" s="102"/>
    </row>
    <row r="361" spans="1:20">
      <c r="A361" s="117">
        <v>9</v>
      </c>
      <c r="B361" s="122" t="s">
        <v>255</v>
      </c>
      <c r="C361" s="206">
        <v>43515</v>
      </c>
      <c r="D361" s="193">
        <v>4.5</v>
      </c>
      <c r="E361" s="193">
        <v>12.8</v>
      </c>
      <c r="F361" s="188">
        <v>99</v>
      </c>
      <c r="G361" s="193">
        <v>8.07</v>
      </c>
      <c r="H361" s="193">
        <v>5.5</v>
      </c>
      <c r="I361" s="193"/>
      <c r="J361" s="193">
        <v>1.7</v>
      </c>
      <c r="K361" s="189">
        <v>21</v>
      </c>
      <c r="L361" s="189">
        <v>48</v>
      </c>
      <c r="M361" s="189">
        <v>11000</v>
      </c>
      <c r="N361" s="189">
        <v>28</v>
      </c>
      <c r="O361" s="189">
        <v>11000</v>
      </c>
      <c r="P361" s="200"/>
      <c r="Q361">
        <f t="shared" si="10"/>
        <v>2019</v>
      </c>
      <c r="R361">
        <f t="shared" si="11"/>
        <v>2</v>
      </c>
      <c r="T361" s="102"/>
    </row>
    <row r="362" spans="1:20" ht="13">
      <c r="A362" s="118">
        <v>9</v>
      </c>
      <c r="B362" s="102" t="s">
        <v>255</v>
      </c>
      <c r="C362" s="206">
        <v>43571</v>
      </c>
      <c r="D362" s="102">
        <v>6</v>
      </c>
      <c r="E362" s="102">
        <v>11.8</v>
      </c>
      <c r="F362" s="218">
        <v>95</v>
      </c>
      <c r="G362" s="102">
        <v>8.11</v>
      </c>
      <c r="H362" s="218">
        <v>2.5</v>
      </c>
      <c r="I362" s="102"/>
      <c r="J362" s="102">
        <v>3.3999999999999995</v>
      </c>
      <c r="K362" s="218">
        <v>3.2</v>
      </c>
      <c r="L362" s="218">
        <v>19</v>
      </c>
      <c r="M362" s="218">
        <v>4700</v>
      </c>
      <c r="N362" s="218">
        <v>36</v>
      </c>
      <c r="O362" s="218">
        <v>4900</v>
      </c>
      <c r="P362" s="102"/>
      <c r="Q362">
        <f t="shared" si="10"/>
        <v>2019</v>
      </c>
      <c r="R362">
        <f t="shared" si="11"/>
        <v>4</v>
      </c>
      <c r="S362" s="102"/>
      <c r="T362" s="102"/>
    </row>
    <row r="363" spans="1:20">
      <c r="A363" s="117">
        <v>9</v>
      </c>
      <c r="B363" s="122" t="s">
        <v>255</v>
      </c>
      <c r="C363" s="125">
        <v>43635</v>
      </c>
      <c r="D363" s="193">
        <v>19.100000000000001</v>
      </c>
      <c r="E363" s="193">
        <v>6.3</v>
      </c>
      <c r="F363" s="204">
        <v>68</v>
      </c>
      <c r="G363" s="193">
        <v>7.77</v>
      </c>
      <c r="H363" s="193">
        <v>2.4</v>
      </c>
      <c r="I363" s="193"/>
      <c r="J363" s="193">
        <v>3.3</v>
      </c>
      <c r="K363" s="189">
        <v>160</v>
      </c>
      <c r="L363" s="189">
        <v>230</v>
      </c>
      <c r="M363" s="189">
        <v>910</v>
      </c>
      <c r="N363" s="189">
        <v>93</v>
      </c>
      <c r="O363" s="189">
        <v>1800</v>
      </c>
      <c r="P363" s="200"/>
      <c r="Q363">
        <f t="shared" si="10"/>
        <v>2019</v>
      </c>
      <c r="R363">
        <f t="shared" si="11"/>
        <v>6</v>
      </c>
      <c r="T363" s="102"/>
    </row>
    <row r="364" spans="1:20">
      <c r="A364" s="117">
        <v>9</v>
      </c>
      <c r="B364" s="122" t="s">
        <v>255</v>
      </c>
      <c r="C364" s="213">
        <v>43698</v>
      </c>
      <c r="D364" s="193">
        <v>17.2</v>
      </c>
      <c r="E364" s="193">
        <v>8.3000000000000007</v>
      </c>
      <c r="F364" s="204">
        <v>86</v>
      </c>
      <c r="G364" s="193">
        <v>7.78</v>
      </c>
      <c r="H364" s="193">
        <v>1.6</v>
      </c>
      <c r="I364" s="193"/>
      <c r="J364" s="193">
        <v>4.9000000000000004</v>
      </c>
      <c r="K364" s="189">
        <v>28</v>
      </c>
      <c r="L364" s="189">
        <v>52</v>
      </c>
      <c r="M364" s="189">
        <v>150</v>
      </c>
      <c r="N364" s="189">
        <v>65</v>
      </c>
      <c r="O364" s="189">
        <v>620</v>
      </c>
      <c r="P364" s="200"/>
      <c r="Q364">
        <f t="shared" si="10"/>
        <v>2019</v>
      </c>
      <c r="R364">
        <f t="shared" si="11"/>
        <v>8</v>
      </c>
      <c r="T364" s="102"/>
    </row>
    <row r="365" spans="1:20">
      <c r="A365" s="117">
        <v>9</v>
      </c>
      <c r="B365" s="102" t="s">
        <v>255</v>
      </c>
      <c r="C365" s="206">
        <v>43748</v>
      </c>
      <c r="D365" s="102">
        <v>8.8000000000000007</v>
      </c>
      <c r="E365" s="102">
        <v>7.6</v>
      </c>
      <c r="F365" s="218">
        <v>66</v>
      </c>
      <c r="G365" s="102">
        <v>7.67</v>
      </c>
      <c r="H365" s="218">
        <v>1.9</v>
      </c>
      <c r="I365" s="102"/>
      <c r="J365" s="102">
        <v>2.9</v>
      </c>
      <c r="K365" s="218">
        <v>58</v>
      </c>
      <c r="L365" s="218">
        <v>120</v>
      </c>
      <c r="M365" s="218">
        <v>770</v>
      </c>
      <c r="N365" s="218" t="s">
        <v>148</v>
      </c>
      <c r="O365" s="218">
        <v>1400</v>
      </c>
      <c r="P365" s="112"/>
      <c r="Q365">
        <f t="shared" si="10"/>
        <v>2019</v>
      </c>
      <c r="R365">
        <f t="shared" si="11"/>
        <v>10</v>
      </c>
      <c r="S365" s="112"/>
      <c r="T365" s="102"/>
    </row>
    <row r="366" spans="1:20">
      <c r="A366" s="117">
        <v>9</v>
      </c>
      <c r="B366" s="102" t="s">
        <v>255</v>
      </c>
      <c r="C366" s="206">
        <v>43812</v>
      </c>
      <c r="D366" s="102">
        <v>4.8</v>
      </c>
      <c r="E366" s="102">
        <v>12.5</v>
      </c>
      <c r="F366" s="218">
        <v>98</v>
      </c>
      <c r="G366" s="102">
        <v>8.02</v>
      </c>
      <c r="H366" s="218">
        <v>16.600000000000001</v>
      </c>
      <c r="I366" s="102"/>
      <c r="J366" s="102">
        <v>2.5</v>
      </c>
      <c r="K366" s="218">
        <v>39</v>
      </c>
      <c r="L366" s="218">
        <v>88</v>
      </c>
      <c r="M366" s="218">
        <v>10000</v>
      </c>
      <c r="N366" s="218">
        <v>27</v>
      </c>
      <c r="O366" s="218">
        <v>11000</v>
      </c>
      <c r="P366" s="112"/>
      <c r="Q366">
        <f t="shared" si="10"/>
        <v>2019</v>
      </c>
      <c r="R366">
        <f t="shared" si="11"/>
        <v>12</v>
      </c>
      <c r="S366" s="112"/>
      <c r="T366" s="102"/>
    </row>
    <row r="367" spans="1:20">
      <c r="A367" s="117">
        <v>11</v>
      </c>
      <c r="B367" s="102" t="s">
        <v>256</v>
      </c>
      <c r="C367" s="206">
        <v>40192</v>
      </c>
      <c r="D367" s="102">
        <v>0.1</v>
      </c>
      <c r="E367" s="102">
        <v>13.4</v>
      </c>
      <c r="F367" s="218">
        <v>92</v>
      </c>
      <c r="G367" s="102">
        <v>8.0500000000000007</v>
      </c>
      <c r="H367" s="218">
        <v>3.7</v>
      </c>
      <c r="I367" s="102"/>
      <c r="J367" s="102">
        <v>3.05</v>
      </c>
      <c r="K367" s="218">
        <v>30</v>
      </c>
      <c r="L367" s="218">
        <v>47</v>
      </c>
      <c r="M367" s="218">
        <v>4500</v>
      </c>
      <c r="N367" s="218">
        <v>96</v>
      </c>
      <c r="O367" s="218">
        <v>4700</v>
      </c>
      <c r="P367" s="112"/>
      <c r="Q367">
        <f t="shared" si="10"/>
        <v>2010</v>
      </c>
      <c r="R367">
        <f t="shared" si="11"/>
        <v>1</v>
      </c>
      <c r="S367" s="112"/>
      <c r="T367" s="102"/>
    </row>
    <row r="368" spans="1:20">
      <c r="A368" s="117">
        <v>11</v>
      </c>
      <c r="B368" s="102" t="s">
        <v>256</v>
      </c>
      <c r="C368" s="206">
        <v>40225</v>
      </c>
      <c r="D368" s="102">
        <v>0.5</v>
      </c>
      <c r="E368" s="102">
        <v>9.4</v>
      </c>
      <c r="F368" s="218">
        <v>65</v>
      </c>
      <c r="G368" s="102">
        <v>8.01</v>
      </c>
      <c r="H368" s="218">
        <v>4.5999999999999996</v>
      </c>
      <c r="I368" s="102"/>
      <c r="J368" s="102">
        <v>6.9</v>
      </c>
      <c r="K368" s="218">
        <v>34</v>
      </c>
      <c r="L368" s="218">
        <v>45</v>
      </c>
      <c r="M368" s="218">
        <v>3200</v>
      </c>
      <c r="N368" s="218">
        <v>110</v>
      </c>
      <c r="O368" s="218">
        <v>4000</v>
      </c>
      <c r="P368" s="112"/>
      <c r="Q368">
        <f t="shared" si="10"/>
        <v>2010</v>
      </c>
      <c r="R368">
        <f t="shared" si="11"/>
        <v>2</v>
      </c>
      <c r="S368" s="112"/>
      <c r="T368" s="102"/>
    </row>
    <row r="369" spans="1:20">
      <c r="A369" s="117">
        <v>11</v>
      </c>
      <c r="B369" s="102" t="s">
        <v>256</v>
      </c>
      <c r="C369" s="206">
        <v>40247</v>
      </c>
      <c r="D369" s="102">
        <v>0.6</v>
      </c>
      <c r="E369" s="102">
        <v>14</v>
      </c>
      <c r="F369" s="218">
        <v>97</v>
      </c>
      <c r="G369" s="102">
        <v>8.0299999999999994</v>
      </c>
      <c r="H369" s="218">
        <v>2.2999999999999998</v>
      </c>
      <c r="I369" s="102"/>
      <c r="J369" s="102">
        <v>4.2</v>
      </c>
      <c r="K369" s="218">
        <v>33</v>
      </c>
      <c r="L369" s="218">
        <v>45</v>
      </c>
      <c r="M369" s="218">
        <v>4400</v>
      </c>
      <c r="N369" s="218">
        <v>73</v>
      </c>
      <c r="O369" s="218">
        <v>5000</v>
      </c>
      <c r="P369" s="112"/>
      <c r="Q369">
        <f t="shared" si="10"/>
        <v>2010</v>
      </c>
      <c r="R369">
        <f t="shared" si="11"/>
        <v>3</v>
      </c>
      <c r="S369" s="112"/>
      <c r="T369" s="102"/>
    </row>
    <row r="370" spans="1:20">
      <c r="A370" s="117">
        <v>11</v>
      </c>
      <c r="B370" s="102" t="s">
        <v>256</v>
      </c>
      <c r="C370" s="206">
        <v>40290</v>
      </c>
      <c r="D370" s="102">
        <v>7.1</v>
      </c>
      <c r="E370" s="102">
        <v>8.1999999999999993</v>
      </c>
      <c r="F370" s="218">
        <v>68</v>
      </c>
      <c r="G370" s="102">
        <v>8.15</v>
      </c>
      <c r="H370" s="218">
        <v>1.7</v>
      </c>
      <c r="I370" s="102"/>
      <c r="J370" s="102">
        <v>4.7</v>
      </c>
      <c r="K370" s="218">
        <v>5</v>
      </c>
      <c r="L370" s="218">
        <v>10</v>
      </c>
      <c r="M370" s="218">
        <v>3100</v>
      </c>
      <c r="N370" s="218">
        <v>24</v>
      </c>
      <c r="O370" s="218">
        <v>3900</v>
      </c>
      <c r="P370" s="112"/>
      <c r="Q370">
        <f t="shared" si="10"/>
        <v>2010</v>
      </c>
      <c r="R370">
        <f t="shared" si="11"/>
        <v>4</v>
      </c>
      <c r="S370" s="112"/>
      <c r="T370" s="102"/>
    </row>
    <row r="371" spans="1:20">
      <c r="A371" s="117">
        <v>11</v>
      </c>
      <c r="B371" s="102" t="s">
        <v>256</v>
      </c>
      <c r="C371" s="206">
        <v>40317</v>
      </c>
      <c r="D371" s="102">
        <v>14.4</v>
      </c>
      <c r="E371" s="102">
        <v>10</v>
      </c>
      <c r="F371" s="218">
        <v>98</v>
      </c>
      <c r="G371" s="102">
        <v>8.15</v>
      </c>
      <c r="H371" s="218">
        <v>3.1</v>
      </c>
      <c r="I371" s="102"/>
      <c r="J371" s="102">
        <v>1.9</v>
      </c>
      <c r="K371" s="218">
        <v>11</v>
      </c>
      <c r="L371" s="218">
        <v>30</v>
      </c>
      <c r="M371" s="218">
        <v>2200</v>
      </c>
      <c r="N371" s="218">
        <v>34</v>
      </c>
      <c r="O371" s="218">
        <v>2800</v>
      </c>
      <c r="P371" s="112"/>
      <c r="Q371">
        <f t="shared" si="10"/>
        <v>2010</v>
      </c>
      <c r="R371">
        <f t="shared" si="11"/>
        <v>5</v>
      </c>
      <c r="S371" s="112"/>
      <c r="T371" s="102"/>
    </row>
    <row r="372" spans="1:20">
      <c r="A372" s="117">
        <v>11</v>
      </c>
      <c r="B372" s="102" t="s">
        <v>256</v>
      </c>
      <c r="C372" s="206">
        <v>40346</v>
      </c>
      <c r="D372" s="102">
        <v>16</v>
      </c>
      <c r="E372" s="102">
        <v>10.5</v>
      </c>
      <c r="F372" s="218">
        <v>107</v>
      </c>
      <c r="G372" s="102">
        <v>8.27</v>
      </c>
      <c r="H372" s="218">
        <v>2.5</v>
      </c>
      <c r="I372" s="102"/>
      <c r="J372" s="102">
        <v>1.5</v>
      </c>
      <c r="K372" s="218">
        <v>33</v>
      </c>
      <c r="L372" s="218">
        <v>50</v>
      </c>
      <c r="M372" s="218">
        <v>1900</v>
      </c>
      <c r="N372" s="218">
        <v>25</v>
      </c>
      <c r="O372" s="218">
        <v>2500</v>
      </c>
      <c r="P372" s="112"/>
      <c r="Q372">
        <f t="shared" si="10"/>
        <v>2010</v>
      </c>
      <c r="R372">
        <f t="shared" si="11"/>
        <v>6</v>
      </c>
      <c r="S372" s="112"/>
      <c r="T372" s="102"/>
    </row>
    <row r="373" spans="1:20">
      <c r="A373" s="117">
        <v>11</v>
      </c>
      <c r="B373" s="102" t="s">
        <v>256</v>
      </c>
      <c r="C373" s="206">
        <v>40379</v>
      </c>
      <c r="D373" s="102">
        <v>17.7</v>
      </c>
      <c r="E373" s="102">
        <v>9.26</v>
      </c>
      <c r="F373" s="218">
        <v>97</v>
      </c>
      <c r="G373" s="102">
        <v>8.0500000000000007</v>
      </c>
      <c r="H373" s="218">
        <v>2.1</v>
      </c>
      <c r="I373" s="102"/>
      <c r="J373" s="102">
        <v>2.7</v>
      </c>
      <c r="K373" s="218">
        <v>39</v>
      </c>
      <c r="L373" s="218">
        <v>58</v>
      </c>
      <c r="M373" s="218">
        <v>2000</v>
      </c>
      <c r="N373" s="218">
        <v>26</v>
      </c>
      <c r="O373" s="218">
        <v>2500</v>
      </c>
      <c r="P373" s="112"/>
      <c r="Q373">
        <f t="shared" si="10"/>
        <v>2010</v>
      </c>
      <c r="R373">
        <f t="shared" si="11"/>
        <v>7</v>
      </c>
      <c r="S373" s="112"/>
      <c r="T373" s="102"/>
    </row>
    <row r="374" spans="1:20">
      <c r="A374" s="117">
        <v>11</v>
      </c>
      <c r="B374" s="102" t="s">
        <v>256</v>
      </c>
      <c r="C374" s="206">
        <v>40416</v>
      </c>
      <c r="D374" s="102">
        <v>14.6</v>
      </c>
      <c r="E374" s="102">
        <v>9.81</v>
      </c>
      <c r="F374" s="218">
        <v>97</v>
      </c>
      <c r="G374" s="102">
        <v>8.15</v>
      </c>
      <c r="H374" s="218">
        <v>1.7</v>
      </c>
      <c r="I374" s="102"/>
      <c r="J374" s="102">
        <v>1.5</v>
      </c>
      <c r="K374" s="218">
        <v>45</v>
      </c>
      <c r="L374" s="218">
        <v>63</v>
      </c>
      <c r="M374" s="218">
        <v>1600</v>
      </c>
      <c r="N374" s="218">
        <v>19</v>
      </c>
      <c r="O374" s="218">
        <v>1800</v>
      </c>
      <c r="P374" s="112"/>
      <c r="Q374">
        <f t="shared" si="10"/>
        <v>2010</v>
      </c>
      <c r="R374">
        <f t="shared" si="11"/>
        <v>8</v>
      </c>
      <c r="S374" s="112"/>
      <c r="T374" s="102"/>
    </row>
    <row r="375" spans="1:20">
      <c r="A375" s="117">
        <v>11</v>
      </c>
      <c r="B375" s="102" t="s">
        <v>256</v>
      </c>
      <c r="C375" s="206">
        <v>40444</v>
      </c>
      <c r="D375" s="102">
        <v>13.1</v>
      </c>
      <c r="E375" s="102">
        <v>11.15</v>
      </c>
      <c r="F375" s="218">
        <v>106</v>
      </c>
      <c r="G375" s="102">
        <v>8.1</v>
      </c>
      <c r="H375" s="218">
        <v>1.4</v>
      </c>
      <c r="I375" s="102"/>
      <c r="J375" s="102">
        <v>2.2000000000000002</v>
      </c>
      <c r="K375" s="218">
        <v>27</v>
      </c>
      <c r="L375" s="218">
        <v>34</v>
      </c>
      <c r="M375" s="218">
        <v>1600</v>
      </c>
      <c r="N375" s="218">
        <v>16</v>
      </c>
      <c r="O375" s="218">
        <v>2000</v>
      </c>
      <c r="P375" s="112"/>
      <c r="Q375">
        <f t="shared" si="10"/>
        <v>2010</v>
      </c>
      <c r="R375">
        <f t="shared" si="11"/>
        <v>9</v>
      </c>
      <c r="S375" s="112"/>
      <c r="T375" s="102"/>
    </row>
    <row r="376" spans="1:20">
      <c r="A376" s="117">
        <v>11</v>
      </c>
      <c r="B376" s="102" t="s">
        <v>256</v>
      </c>
      <c r="C376" s="206">
        <v>40471</v>
      </c>
      <c r="D376" s="102">
        <v>7.3</v>
      </c>
      <c r="E376" s="102">
        <v>10.5</v>
      </c>
      <c r="F376" s="218">
        <v>87</v>
      </c>
      <c r="G376" s="102">
        <v>7.98</v>
      </c>
      <c r="H376" s="218">
        <v>3</v>
      </c>
      <c r="I376" s="102"/>
      <c r="J376" s="102">
        <v>2.1</v>
      </c>
      <c r="K376" s="218">
        <v>12</v>
      </c>
      <c r="L376" s="218">
        <v>24</v>
      </c>
      <c r="M376" s="218">
        <v>2000</v>
      </c>
      <c r="N376" s="218">
        <v>29</v>
      </c>
      <c r="O376" s="218">
        <v>2400</v>
      </c>
      <c r="P376" s="112"/>
      <c r="Q376">
        <f t="shared" si="10"/>
        <v>2010</v>
      </c>
      <c r="R376">
        <f t="shared" si="11"/>
        <v>10</v>
      </c>
      <c r="S376" s="112"/>
      <c r="T376" s="102"/>
    </row>
    <row r="377" spans="1:20">
      <c r="A377" s="117">
        <v>11</v>
      </c>
      <c r="B377" s="102" t="s">
        <v>256</v>
      </c>
      <c r="C377" s="206">
        <v>40498</v>
      </c>
      <c r="D377" s="102">
        <v>5.6</v>
      </c>
      <c r="E377" s="102">
        <v>11.5</v>
      </c>
      <c r="F377" s="218">
        <v>92</v>
      </c>
      <c r="G377" s="102">
        <v>7.98</v>
      </c>
      <c r="H377" s="218">
        <v>8.8000000000000007</v>
      </c>
      <c r="I377" s="102"/>
      <c r="J377" s="102">
        <v>1.7</v>
      </c>
      <c r="K377" s="218">
        <v>45</v>
      </c>
      <c r="L377" s="218">
        <v>98</v>
      </c>
      <c r="M377" s="218">
        <v>8700</v>
      </c>
      <c r="N377" s="218">
        <v>35</v>
      </c>
      <c r="O377" s="218">
        <v>7800</v>
      </c>
      <c r="P377" s="112"/>
      <c r="Q377">
        <f t="shared" si="10"/>
        <v>2010</v>
      </c>
      <c r="R377">
        <f t="shared" si="11"/>
        <v>11</v>
      </c>
      <c r="S377" s="112"/>
      <c r="T377" s="102"/>
    </row>
    <row r="378" spans="1:20">
      <c r="A378" s="117">
        <v>11</v>
      </c>
      <c r="B378" s="102" t="s">
        <v>256</v>
      </c>
      <c r="C378" s="206">
        <v>40526</v>
      </c>
      <c r="D378" s="102">
        <v>0.1</v>
      </c>
      <c r="E378" s="102">
        <v>14</v>
      </c>
      <c r="F378" s="218">
        <v>96</v>
      </c>
      <c r="G378" s="102">
        <v>7.93</v>
      </c>
      <c r="H378" s="218">
        <v>3.6</v>
      </c>
      <c r="I378" s="102"/>
      <c r="J378" s="102">
        <v>3.5</v>
      </c>
      <c r="K378" s="218">
        <v>40</v>
      </c>
      <c r="L378" s="218">
        <v>55</v>
      </c>
      <c r="M378" s="218">
        <v>6900</v>
      </c>
      <c r="N378" s="218">
        <v>66</v>
      </c>
      <c r="O378" s="218">
        <v>7800</v>
      </c>
      <c r="P378" s="112"/>
      <c r="Q378">
        <f t="shared" si="10"/>
        <v>2010</v>
      </c>
      <c r="R378">
        <f t="shared" si="11"/>
        <v>12</v>
      </c>
      <c r="S378" s="112"/>
      <c r="T378" s="102"/>
    </row>
    <row r="379" spans="1:20">
      <c r="A379" s="117">
        <v>11</v>
      </c>
      <c r="B379" s="102" t="s">
        <v>256</v>
      </c>
      <c r="C379" s="206">
        <v>40554</v>
      </c>
      <c r="D379" s="102">
        <v>0.4</v>
      </c>
      <c r="E379" s="102">
        <v>13.5</v>
      </c>
      <c r="F379" s="218">
        <v>93</v>
      </c>
      <c r="G379" s="102">
        <v>7.86</v>
      </c>
      <c r="H379" s="218">
        <v>8.5</v>
      </c>
      <c r="I379" s="102"/>
      <c r="J379" s="102">
        <v>2.7</v>
      </c>
      <c r="K379" s="218">
        <v>38</v>
      </c>
      <c r="L379" s="218">
        <v>61</v>
      </c>
      <c r="M379" s="218">
        <v>5800</v>
      </c>
      <c r="N379" s="218">
        <v>140</v>
      </c>
      <c r="O379" s="218">
        <v>6600</v>
      </c>
      <c r="P379" s="112"/>
      <c r="Q379">
        <f t="shared" si="10"/>
        <v>2011</v>
      </c>
      <c r="R379">
        <f t="shared" si="11"/>
        <v>1</v>
      </c>
      <c r="S379" s="112"/>
      <c r="T379" s="102"/>
    </row>
    <row r="380" spans="1:20">
      <c r="A380" s="117">
        <v>11</v>
      </c>
      <c r="B380" s="102" t="s">
        <v>256</v>
      </c>
      <c r="C380" s="206">
        <v>40589</v>
      </c>
      <c r="D380" s="102">
        <v>0</v>
      </c>
      <c r="E380" s="102">
        <v>13.8</v>
      </c>
      <c r="F380" s="218">
        <v>94</v>
      </c>
      <c r="G380" s="102">
        <v>7.98</v>
      </c>
      <c r="H380" s="218">
        <v>9.6999999999999993</v>
      </c>
      <c r="I380" s="102"/>
      <c r="J380" s="102">
        <v>4.3</v>
      </c>
      <c r="K380" s="218">
        <v>39</v>
      </c>
      <c r="L380" s="218">
        <v>60</v>
      </c>
      <c r="M380" s="218">
        <v>5200</v>
      </c>
      <c r="N380" s="218">
        <v>78</v>
      </c>
      <c r="O380" s="218">
        <v>6300</v>
      </c>
      <c r="P380" s="112"/>
      <c r="Q380">
        <f t="shared" si="10"/>
        <v>2011</v>
      </c>
      <c r="R380">
        <f t="shared" si="11"/>
        <v>2</v>
      </c>
      <c r="S380" s="112"/>
      <c r="T380" s="102"/>
    </row>
    <row r="381" spans="1:20">
      <c r="A381" s="117">
        <v>11</v>
      </c>
      <c r="B381" s="102" t="s">
        <v>256</v>
      </c>
      <c r="C381" s="206">
        <v>40612</v>
      </c>
      <c r="D381" s="102">
        <v>2</v>
      </c>
      <c r="E381" s="102">
        <v>13.3</v>
      </c>
      <c r="F381" s="218">
        <v>113</v>
      </c>
      <c r="G381" s="102">
        <v>8.07</v>
      </c>
      <c r="H381" s="218">
        <v>5.8</v>
      </c>
      <c r="I381" s="102"/>
      <c r="J381" s="102">
        <v>3.2</v>
      </c>
      <c r="K381" s="218">
        <v>25</v>
      </c>
      <c r="L381" s="218">
        <v>39</v>
      </c>
      <c r="M381" s="218">
        <v>3700</v>
      </c>
      <c r="N381" s="218">
        <v>95</v>
      </c>
      <c r="O381" s="218">
        <v>4400</v>
      </c>
      <c r="P381" s="112"/>
      <c r="Q381">
        <f t="shared" si="10"/>
        <v>2011</v>
      </c>
      <c r="R381">
        <f t="shared" si="11"/>
        <v>3</v>
      </c>
      <c r="S381" s="112"/>
      <c r="T381" s="102"/>
    </row>
    <row r="382" spans="1:20">
      <c r="A382" s="117">
        <v>11</v>
      </c>
      <c r="B382" s="102" t="s">
        <v>256</v>
      </c>
      <c r="C382" s="206">
        <v>40646</v>
      </c>
      <c r="D382" s="102">
        <v>7.6</v>
      </c>
      <c r="E382" s="102">
        <v>11.2</v>
      </c>
      <c r="F382" s="218">
        <v>94</v>
      </c>
      <c r="G382" s="102">
        <v>8.0500000000000007</v>
      </c>
      <c r="H382" s="218">
        <v>2.7</v>
      </c>
      <c r="I382" s="102"/>
      <c r="J382" s="102">
        <v>2.7</v>
      </c>
      <c r="K382" s="218">
        <v>12</v>
      </c>
      <c r="L382" s="218">
        <v>28</v>
      </c>
      <c r="M382" s="218">
        <v>4200</v>
      </c>
      <c r="N382" s="218">
        <v>41</v>
      </c>
      <c r="O382" s="218">
        <v>4300</v>
      </c>
      <c r="P382" s="112"/>
      <c r="Q382">
        <f t="shared" si="10"/>
        <v>2011</v>
      </c>
      <c r="R382">
        <f t="shared" si="11"/>
        <v>4</v>
      </c>
      <c r="S382" s="112"/>
      <c r="T382" s="102"/>
    </row>
    <row r="383" spans="1:20">
      <c r="A383" s="117">
        <v>11</v>
      </c>
      <c r="B383" s="102" t="s">
        <v>256</v>
      </c>
      <c r="C383" s="206">
        <v>40673</v>
      </c>
      <c r="D383" s="102">
        <v>13.9</v>
      </c>
      <c r="E383" s="102">
        <v>11.5</v>
      </c>
      <c r="F383" s="218">
        <v>112</v>
      </c>
      <c r="G383" s="102">
        <v>8.27</v>
      </c>
      <c r="H383" s="218">
        <v>2.4</v>
      </c>
      <c r="I383" s="102"/>
      <c r="J383" s="102">
        <v>3.4</v>
      </c>
      <c r="K383" s="218">
        <v>10</v>
      </c>
      <c r="L383" s="218">
        <v>26</v>
      </c>
      <c r="M383" s="218">
        <v>2200</v>
      </c>
      <c r="N383" s="218">
        <v>27</v>
      </c>
      <c r="O383" s="218">
        <v>2800</v>
      </c>
      <c r="P383" s="112"/>
      <c r="Q383">
        <f t="shared" si="10"/>
        <v>2011</v>
      </c>
      <c r="R383">
        <f t="shared" si="11"/>
        <v>5</v>
      </c>
      <c r="S383" s="112"/>
      <c r="T383" s="102"/>
    </row>
    <row r="384" spans="1:20">
      <c r="A384" s="117">
        <v>11</v>
      </c>
      <c r="B384" s="102" t="s">
        <v>256</v>
      </c>
      <c r="C384" s="206">
        <v>40710</v>
      </c>
      <c r="D384" s="102">
        <v>16.7</v>
      </c>
      <c r="E384" s="102">
        <v>10.199999999999999</v>
      </c>
      <c r="F384" s="218">
        <v>105</v>
      </c>
      <c r="G384" s="102">
        <v>8.1</v>
      </c>
      <c r="H384" s="218">
        <v>2.2000000000000002</v>
      </c>
      <c r="I384" s="102"/>
      <c r="J384" s="102">
        <v>1.6</v>
      </c>
      <c r="K384" s="218">
        <v>39</v>
      </c>
      <c r="L384" s="218">
        <v>49</v>
      </c>
      <c r="M384" s="218">
        <v>1800</v>
      </c>
      <c r="N384" s="218">
        <v>26</v>
      </c>
      <c r="O384" s="218">
        <v>2300</v>
      </c>
      <c r="P384" s="112"/>
      <c r="Q384">
        <f t="shared" si="10"/>
        <v>2011</v>
      </c>
      <c r="R384">
        <f t="shared" si="11"/>
        <v>6</v>
      </c>
      <c r="S384" s="112"/>
      <c r="T384" s="102"/>
    </row>
    <row r="385" spans="1:20">
      <c r="A385" s="117">
        <v>11</v>
      </c>
      <c r="B385" s="102" t="s">
        <v>256</v>
      </c>
      <c r="C385" s="206">
        <v>40738</v>
      </c>
      <c r="D385" s="102">
        <v>15.6</v>
      </c>
      <c r="E385" s="102">
        <v>8.1999999999999993</v>
      </c>
      <c r="F385" s="218">
        <v>83</v>
      </c>
      <c r="G385" s="102">
        <v>8.01</v>
      </c>
      <c r="H385" s="218">
        <v>1.6</v>
      </c>
      <c r="I385" s="102"/>
      <c r="J385" s="102">
        <v>1.9</v>
      </c>
      <c r="K385" s="218">
        <v>38</v>
      </c>
      <c r="L385" s="218">
        <v>61</v>
      </c>
      <c r="M385" s="218">
        <v>1700</v>
      </c>
      <c r="N385" s="218">
        <v>30</v>
      </c>
      <c r="O385" s="218">
        <v>2100</v>
      </c>
      <c r="P385" s="112"/>
      <c r="Q385">
        <f t="shared" si="10"/>
        <v>2011</v>
      </c>
      <c r="R385">
        <f t="shared" si="11"/>
        <v>7</v>
      </c>
      <c r="S385" s="112"/>
      <c r="T385" s="102"/>
    </row>
    <row r="386" spans="1:20">
      <c r="A386" s="117">
        <v>11</v>
      </c>
      <c r="B386" s="102" t="s">
        <v>256</v>
      </c>
      <c r="C386" s="206">
        <v>40778</v>
      </c>
      <c r="D386" s="102">
        <v>16.100000000000001</v>
      </c>
      <c r="E386" s="102">
        <v>9.6999999999999993</v>
      </c>
      <c r="F386" s="218">
        <v>99</v>
      </c>
      <c r="G386" s="102">
        <v>8.07</v>
      </c>
      <c r="H386" s="218">
        <v>1.4</v>
      </c>
      <c r="I386" s="102"/>
      <c r="J386" s="102">
        <v>1.7</v>
      </c>
      <c r="K386" s="218">
        <v>61</v>
      </c>
      <c r="L386" s="218">
        <v>68</v>
      </c>
      <c r="M386" s="218">
        <v>2300</v>
      </c>
      <c r="N386" s="218">
        <v>27</v>
      </c>
      <c r="O386" s="218">
        <v>3300</v>
      </c>
      <c r="P386" s="112"/>
      <c r="Q386">
        <f t="shared" si="10"/>
        <v>2011</v>
      </c>
      <c r="R386">
        <f t="shared" si="11"/>
        <v>8</v>
      </c>
      <c r="S386" s="112"/>
      <c r="T386" s="102"/>
    </row>
    <row r="387" spans="1:20">
      <c r="A387" s="117">
        <v>11</v>
      </c>
      <c r="B387" s="102" t="s">
        <v>256</v>
      </c>
      <c r="C387" s="206">
        <v>40807</v>
      </c>
      <c r="D387" s="102">
        <v>14.2</v>
      </c>
      <c r="E387" s="102">
        <v>9.4</v>
      </c>
      <c r="F387" s="218">
        <v>92</v>
      </c>
      <c r="G387" s="102">
        <v>8.1</v>
      </c>
      <c r="H387" s="218">
        <v>2.4</v>
      </c>
      <c r="I387" s="102"/>
      <c r="J387" s="102">
        <v>1.8</v>
      </c>
      <c r="K387" s="218">
        <v>38</v>
      </c>
      <c r="L387" s="218">
        <v>54</v>
      </c>
      <c r="M387" s="218">
        <v>3000</v>
      </c>
      <c r="N387" s="218">
        <v>20</v>
      </c>
      <c r="O387" s="218">
        <v>3800</v>
      </c>
      <c r="P387" s="112"/>
      <c r="Q387">
        <f t="shared" si="10"/>
        <v>2011</v>
      </c>
      <c r="R387">
        <f t="shared" si="11"/>
        <v>9</v>
      </c>
      <c r="S387" s="112"/>
      <c r="T387" s="102"/>
    </row>
    <row r="388" spans="1:20">
      <c r="A388" s="117">
        <v>11</v>
      </c>
      <c r="B388" s="102" t="s">
        <v>256</v>
      </c>
      <c r="C388" s="206">
        <v>40834</v>
      </c>
      <c r="D388" s="102">
        <v>7.8</v>
      </c>
      <c r="E388" s="102">
        <v>11.1</v>
      </c>
      <c r="F388" s="218">
        <v>94</v>
      </c>
      <c r="G388" s="102">
        <v>8.09</v>
      </c>
      <c r="H388" s="218">
        <v>1.2</v>
      </c>
      <c r="I388" s="102"/>
      <c r="J388" s="102">
        <v>1.2</v>
      </c>
      <c r="K388" s="218">
        <v>24</v>
      </c>
      <c r="L388" s="218">
        <v>37</v>
      </c>
      <c r="M388" s="218">
        <v>3000</v>
      </c>
      <c r="N388" s="218">
        <v>23</v>
      </c>
      <c r="O388" s="218">
        <v>3500</v>
      </c>
      <c r="P388" s="112"/>
      <c r="Q388">
        <f t="shared" si="10"/>
        <v>2011</v>
      </c>
      <c r="R388">
        <f t="shared" si="11"/>
        <v>10</v>
      </c>
      <c r="S388" s="112"/>
      <c r="T388" s="102"/>
    </row>
    <row r="389" spans="1:20">
      <c r="A389" s="117">
        <v>11</v>
      </c>
      <c r="B389" s="102" t="s">
        <v>256</v>
      </c>
      <c r="C389" s="206">
        <v>40863</v>
      </c>
      <c r="D389" s="102">
        <v>3.9</v>
      </c>
      <c r="E389" s="102">
        <v>13.6</v>
      </c>
      <c r="F389" s="218">
        <v>104</v>
      </c>
      <c r="G389" s="102">
        <v>8.09</v>
      </c>
      <c r="H389" s="218">
        <v>2.2999999999999998</v>
      </c>
      <c r="I389" s="102"/>
      <c r="J389" s="102">
        <v>2.2000000000000002</v>
      </c>
      <c r="K389" s="218">
        <v>32</v>
      </c>
      <c r="L389" s="218">
        <v>41</v>
      </c>
      <c r="M389" s="218">
        <v>2800</v>
      </c>
      <c r="N389" s="218">
        <v>34</v>
      </c>
      <c r="O389" s="218">
        <v>3400</v>
      </c>
      <c r="P389" s="112"/>
      <c r="Q389">
        <f t="shared" si="10"/>
        <v>2011</v>
      </c>
      <c r="R389">
        <f t="shared" si="11"/>
        <v>11</v>
      </c>
      <c r="S389" s="112"/>
      <c r="T389" s="102"/>
    </row>
    <row r="390" spans="1:20">
      <c r="A390" s="117">
        <v>11</v>
      </c>
      <c r="B390" s="102" t="s">
        <v>256</v>
      </c>
      <c r="C390" s="206">
        <v>40896</v>
      </c>
      <c r="D390" s="102">
        <v>2.5</v>
      </c>
      <c r="E390" s="102">
        <v>12.8</v>
      </c>
      <c r="F390" s="218">
        <v>94</v>
      </c>
      <c r="G390" s="102">
        <v>7.81</v>
      </c>
      <c r="H390" s="218">
        <v>22</v>
      </c>
      <c r="I390" s="102"/>
      <c r="J390" s="102">
        <v>1.6</v>
      </c>
      <c r="K390" s="218">
        <v>60</v>
      </c>
      <c r="L390" s="218">
        <v>97</v>
      </c>
      <c r="M390" s="218">
        <v>5500</v>
      </c>
      <c r="N390" s="218">
        <v>38</v>
      </c>
      <c r="O390" s="218">
        <v>6300</v>
      </c>
      <c r="P390" s="112"/>
      <c r="Q390">
        <f t="shared" si="10"/>
        <v>2011</v>
      </c>
      <c r="R390">
        <f t="shared" si="11"/>
        <v>12</v>
      </c>
      <c r="S390" s="112"/>
      <c r="T390" s="102"/>
    </row>
    <row r="391" spans="1:20">
      <c r="A391" s="117">
        <v>11</v>
      </c>
      <c r="B391" s="102" t="s">
        <v>256</v>
      </c>
      <c r="C391" s="206">
        <v>40926</v>
      </c>
      <c r="D391" s="102">
        <v>3.3</v>
      </c>
      <c r="E391" s="102">
        <v>12.6</v>
      </c>
      <c r="F391" s="218">
        <v>95</v>
      </c>
      <c r="G391" s="102">
        <v>8.1</v>
      </c>
      <c r="H391" s="218">
        <v>6.5</v>
      </c>
      <c r="I391" s="102"/>
      <c r="J391" s="102">
        <v>1.3</v>
      </c>
      <c r="K391" s="218">
        <v>34</v>
      </c>
      <c r="L391" s="218">
        <v>46</v>
      </c>
      <c r="M391" s="218">
        <v>4700</v>
      </c>
      <c r="N391" s="218">
        <v>71</v>
      </c>
      <c r="O391" s="218">
        <v>5500</v>
      </c>
      <c r="P391" s="112"/>
      <c r="Q391">
        <f t="shared" ref="Q391:Q454" si="12">YEAR(C391)</f>
        <v>2012</v>
      </c>
      <c r="R391">
        <f t="shared" ref="R391:R454" si="13">MONTH(C391)</f>
        <v>1</v>
      </c>
      <c r="S391" s="112"/>
      <c r="T391" s="102"/>
    </row>
    <row r="392" spans="1:20">
      <c r="A392" s="117">
        <v>11</v>
      </c>
      <c r="B392" s="102" t="s">
        <v>256</v>
      </c>
      <c r="C392" s="206">
        <v>40949</v>
      </c>
      <c r="D392" s="102">
        <v>0</v>
      </c>
      <c r="E392" s="102">
        <v>14</v>
      </c>
      <c r="F392" s="218">
        <v>94</v>
      </c>
      <c r="G392" s="102">
        <v>8.1</v>
      </c>
      <c r="H392" s="218">
        <v>3.6</v>
      </c>
      <c r="I392" s="102"/>
      <c r="J392" s="102" t="s">
        <v>287</v>
      </c>
      <c r="K392" s="218">
        <v>25</v>
      </c>
      <c r="L392" s="218">
        <v>40</v>
      </c>
      <c r="M392" s="218">
        <v>4300</v>
      </c>
      <c r="N392" s="218">
        <v>130</v>
      </c>
      <c r="O392" s="218">
        <v>4800</v>
      </c>
      <c r="P392" s="112"/>
      <c r="Q392">
        <f t="shared" si="12"/>
        <v>2012</v>
      </c>
      <c r="R392">
        <f t="shared" si="13"/>
        <v>2</v>
      </c>
      <c r="S392" s="112"/>
      <c r="T392" s="102"/>
    </row>
    <row r="393" spans="1:20">
      <c r="A393" s="117">
        <v>11</v>
      </c>
      <c r="B393" s="102" t="s">
        <v>256</v>
      </c>
      <c r="C393" s="206">
        <v>40983</v>
      </c>
      <c r="D393" s="102">
        <v>5.9</v>
      </c>
      <c r="E393" s="102">
        <v>11.7</v>
      </c>
      <c r="F393" s="218">
        <v>95</v>
      </c>
      <c r="G393" s="102">
        <v>8.1999999999999993</v>
      </c>
      <c r="H393" s="218">
        <v>3.8</v>
      </c>
      <c r="I393" s="102"/>
      <c r="J393" s="102">
        <v>1.6</v>
      </c>
      <c r="K393" s="218">
        <v>24</v>
      </c>
      <c r="L393" s="218">
        <v>39</v>
      </c>
      <c r="M393" s="218">
        <v>3700</v>
      </c>
      <c r="N393" s="218">
        <v>38</v>
      </c>
      <c r="O393" s="218">
        <v>4300</v>
      </c>
      <c r="P393" s="112"/>
      <c r="Q393">
        <f t="shared" si="12"/>
        <v>2012</v>
      </c>
      <c r="R393">
        <f t="shared" si="13"/>
        <v>3</v>
      </c>
      <c r="S393" s="112"/>
      <c r="T393" s="102"/>
    </row>
    <row r="394" spans="1:20">
      <c r="A394" s="117">
        <v>11</v>
      </c>
      <c r="B394" s="102" t="s">
        <v>256</v>
      </c>
      <c r="C394" s="206">
        <v>41012</v>
      </c>
      <c r="D394" s="102">
        <v>8.4</v>
      </c>
      <c r="E394" s="102">
        <v>11.6</v>
      </c>
      <c r="F394" s="218">
        <v>103</v>
      </c>
      <c r="G394" s="102">
        <v>8.3000000000000007</v>
      </c>
      <c r="H394" s="218">
        <v>3.9</v>
      </c>
      <c r="I394" s="102"/>
      <c r="J394" s="102">
        <v>2.4</v>
      </c>
      <c r="K394" s="218">
        <v>10</v>
      </c>
      <c r="L394" s="218">
        <v>33</v>
      </c>
      <c r="M394" s="218">
        <v>2300</v>
      </c>
      <c r="N394" s="218">
        <v>15</v>
      </c>
      <c r="O394" s="218">
        <v>2900</v>
      </c>
      <c r="P394" s="112"/>
      <c r="Q394">
        <f t="shared" si="12"/>
        <v>2012</v>
      </c>
      <c r="R394">
        <f t="shared" si="13"/>
        <v>4</v>
      </c>
      <c r="S394" s="112"/>
      <c r="T394" s="102"/>
    </row>
    <row r="395" spans="1:20">
      <c r="A395" s="117">
        <v>11</v>
      </c>
      <c r="B395" s="102" t="s">
        <v>256</v>
      </c>
      <c r="C395" s="206">
        <v>41044</v>
      </c>
      <c r="D395" s="102">
        <v>14.2</v>
      </c>
      <c r="E395" s="102">
        <v>11.4</v>
      </c>
      <c r="F395" s="218">
        <v>112</v>
      </c>
      <c r="G395" s="102">
        <v>8.3000000000000007</v>
      </c>
      <c r="H395" s="218">
        <v>2.1</v>
      </c>
      <c r="I395" s="102"/>
      <c r="J395" s="102">
        <v>2.4</v>
      </c>
      <c r="K395" s="218">
        <v>8</v>
      </c>
      <c r="L395" s="218">
        <v>30</v>
      </c>
      <c r="M395" s="218">
        <v>1800</v>
      </c>
      <c r="N395" s="218">
        <v>11</v>
      </c>
      <c r="O395" s="218">
        <v>2500</v>
      </c>
      <c r="P395" s="112"/>
      <c r="Q395">
        <f t="shared" si="12"/>
        <v>2012</v>
      </c>
      <c r="R395">
        <f t="shared" si="13"/>
        <v>5</v>
      </c>
      <c r="S395" s="112"/>
      <c r="T395" s="102"/>
    </row>
    <row r="396" spans="1:20">
      <c r="A396" s="117">
        <v>11</v>
      </c>
      <c r="B396" s="102" t="s">
        <v>256</v>
      </c>
      <c r="C396" s="206">
        <v>41078</v>
      </c>
      <c r="D396" s="102">
        <v>17.7</v>
      </c>
      <c r="E396" s="102">
        <v>10.3</v>
      </c>
      <c r="F396" s="218">
        <v>114</v>
      </c>
      <c r="G396" s="102">
        <v>8.1999999999999993</v>
      </c>
      <c r="H396" s="218">
        <v>2.9</v>
      </c>
      <c r="I396" s="102"/>
      <c r="J396" s="102">
        <v>2.5</v>
      </c>
      <c r="K396" s="218">
        <v>27</v>
      </c>
      <c r="L396" s="218">
        <v>57</v>
      </c>
      <c r="M396" s="218">
        <v>1600</v>
      </c>
      <c r="N396" s="218">
        <v>40</v>
      </c>
      <c r="O396" s="218">
        <v>2400</v>
      </c>
      <c r="P396" s="112"/>
      <c r="Q396">
        <f t="shared" si="12"/>
        <v>2012</v>
      </c>
      <c r="R396">
        <f t="shared" si="13"/>
        <v>6</v>
      </c>
      <c r="S396" s="112"/>
      <c r="T396" s="102"/>
    </row>
    <row r="397" spans="1:20">
      <c r="A397" s="117">
        <v>11</v>
      </c>
      <c r="B397" s="102" t="s">
        <v>256</v>
      </c>
      <c r="C397" s="206">
        <v>41101</v>
      </c>
      <c r="D397" s="102">
        <v>16.600000000000001</v>
      </c>
      <c r="E397" s="102">
        <v>9.1999999999999993</v>
      </c>
      <c r="F397" s="218">
        <v>96</v>
      </c>
      <c r="G397" s="102">
        <v>8.1</v>
      </c>
      <c r="H397" s="218">
        <v>2</v>
      </c>
      <c r="I397" s="102"/>
      <c r="J397" s="102">
        <v>1.1000000000000001</v>
      </c>
      <c r="K397" s="218">
        <v>45</v>
      </c>
      <c r="L397" s="218">
        <v>71</v>
      </c>
      <c r="M397" s="218">
        <v>1800</v>
      </c>
      <c r="N397" s="218">
        <v>24</v>
      </c>
      <c r="O397" s="218">
        <v>2300</v>
      </c>
      <c r="P397" s="112"/>
      <c r="Q397">
        <f t="shared" si="12"/>
        <v>2012</v>
      </c>
      <c r="R397">
        <f t="shared" si="13"/>
        <v>7</v>
      </c>
      <c r="S397" s="112"/>
      <c r="T397" s="102"/>
    </row>
    <row r="398" spans="1:20">
      <c r="A398" s="117">
        <v>11</v>
      </c>
      <c r="B398" s="102" t="s">
        <v>256</v>
      </c>
      <c r="C398" s="206">
        <v>41136</v>
      </c>
      <c r="D398" s="102">
        <v>16.7</v>
      </c>
      <c r="E398" s="102">
        <v>10.8</v>
      </c>
      <c r="F398" s="218">
        <v>112</v>
      </c>
      <c r="G398" s="102">
        <v>8.3000000000000007</v>
      </c>
      <c r="H398" s="218">
        <v>1.4</v>
      </c>
      <c r="I398" s="102"/>
      <c r="J398" s="102">
        <v>1.3</v>
      </c>
      <c r="K398" s="218">
        <v>18</v>
      </c>
      <c r="L398" s="218">
        <v>37</v>
      </c>
      <c r="M398" s="218">
        <v>1600</v>
      </c>
      <c r="N398" s="218">
        <v>13</v>
      </c>
      <c r="O398" s="218">
        <v>2200</v>
      </c>
      <c r="P398" s="112"/>
      <c r="Q398">
        <f t="shared" si="12"/>
        <v>2012</v>
      </c>
      <c r="R398">
        <f t="shared" si="13"/>
        <v>8</v>
      </c>
      <c r="S398" s="112"/>
      <c r="T398" s="102"/>
    </row>
    <row r="399" spans="1:20">
      <c r="A399" s="117">
        <v>11</v>
      </c>
      <c r="B399" s="102" t="s">
        <v>256</v>
      </c>
      <c r="C399" s="206">
        <v>41169</v>
      </c>
      <c r="D399" s="102">
        <v>14.6</v>
      </c>
      <c r="E399" s="102">
        <v>5.9</v>
      </c>
      <c r="F399" s="218">
        <v>60</v>
      </c>
      <c r="G399" s="102">
        <v>7.9</v>
      </c>
      <c r="H399" s="218">
        <v>3.2</v>
      </c>
      <c r="I399" s="102"/>
      <c r="J399" s="102">
        <v>2.4</v>
      </c>
      <c r="K399" s="218">
        <v>150</v>
      </c>
      <c r="L399" s="218">
        <v>210</v>
      </c>
      <c r="M399" s="218">
        <v>640</v>
      </c>
      <c r="N399" s="218">
        <v>120</v>
      </c>
      <c r="O399" s="218">
        <v>1400</v>
      </c>
      <c r="P399" s="112"/>
      <c r="Q399">
        <f t="shared" si="12"/>
        <v>2012</v>
      </c>
      <c r="R399">
        <f t="shared" si="13"/>
        <v>9</v>
      </c>
      <c r="S399" s="112"/>
      <c r="T399" s="102"/>
    </row>
    <row r="400" spans="1:20">
      <c r="A400" s="117">
        <v>11</v>
      </c>
      <c r="B400" s="102" t="s">
        <v>256</v>
      </c>
      <c r="C400" s="206">
        <v>41193</v>
      </c>
      <c r="D400" s="102">
        <v>8.3000000000000007</v>
      </c>
      <c r="E400" s="102">
        <v>11.8</v>
      </c>
      <c r="F400" s="218">
        <v>100</v>
      </c>
      <c r="G400" s="102">
        <v>8.1999999999999993</v>
      </c>
      <c r="H400" s="218">
        <v>2.1</v>
      </c>
      <c r="I400" s="102"/>
      <c r="J400" s="102">
        <v>1.4</v>
      </c>
      <c r="K400" s="218">
        <v>35</v>
      </c>
      <c r="L400" s="218">
        <v>51</v>
      </c>
      <c r="M400" s="218">
        <v>4000</v>
      </c>
      <c r="N400" s="218">
        <v>14</v>
      </c>
      <c r="O400" s="218">
        <v>3800</v>
      </c>
      <c r="P400" s="112"/>
      <c r="Q400">
        <f t="shared" si="12"/>
        <v>2012</v>
      </c>
      <c r="R400">
        <f t="shared" si="13"/>
        <v>10</v>
      </c>
      <c r="S400" s="112"/>
      <c r="T400" s="102"/>
    </row>
    <row r="401" spans="1:20">
      <c r="A401" s="117">
        <v>11</v>
      </c>
      <c r="B401" s="102" t="s">
        <v>256</v>
      </c>
      <c r="C401" s="206">
        <v>41225</v>
      </c>
      <c r="D401" s="102">
        <v>7.3</v>
      </c>
      <c r="E401" s="102">
        <v>11.4</v>
      </c>
      <c r="F401" s="218">
        <v>94</v>
      </c>
      <c r="G401" s="102">
        <v>8.1</v>
      </c>
      <c r="H401" s="218">
        <v>4.4000000000000004</v>
      </c>
      <c r="I401" s="102"/>
      <c r="J401" s="102">
        <v>1.2</v>
      </c>
      <c r="K401" s="218">
        <v>33</v>
      </c>
      <c r="L401" s="218">
        <v>66</v>
      </c>
      <c r="M401" s="218">
        <v>5700</v>
      </c>
      <c r="N401" s="218">
        <v>21</v>
      </c>
      <c r="O401" s="218">
        <v>5300</v>
      </c>
      <c r="P401" s="112"/>
      <c r="Q401">
        <f t="shared" si="12"/>
        <v>2012</v>
      </c>
      <c r="R401">
        <f t="shared" si="13"/>
        <v>11</v>
      </c>
      <c r="S401" s="112"/>
      <c r="T401" s="102"/>
    </row>
    <row r="402" spans="1:20">
      <c r="A402" s="117">
        <v>11</v>
      </c>
      <c r="B402" s="102" t="s">
        <v>256</v>
      </c>
      <c r="C402" s="206">
        <v>41263</v>
      </c>
      <c r="D402" s="102">
        <v>1.6</v>
      </c>
      <c r="E402" s="102">
        <v>13.1</v>
      </c>
      <c r="F402" s="218">
        <v>92</v>
      </c>
      <c r="G402" s="102">
        <v>8.1</v>
      </c>
      <c r="H402" s="218">
        <v>10</v>
      </c>
      <c r="I402" s="102"/>
      <c r="J402" s="102">
        <v>2.2000000000000002</v>
      </c>
      <c r="K402" s="218">
        <v>47</v>
      </c>
      <c r="L402" s="218">
        <v>85</v>
      </c>
      <c r="M402" s="218">
        <v>6600</v>
      </c>
      <c r="N402" s="218">
        <v>41</v>
      </c>
      <c r="O402" s="218">
        <v>7500</v>
      </c>
      <c r="P402" s="112"/>
      <c r="Q402">
        <f t="shared" si="12"/>
        <v>2012</v>
      </c>
      <c r="R402">
        <f t="shared" si="13"/>
        <v>12</v>
      </c>
      <c r="S402" s="112"/>
      <c r="T402" s="102"/>
    </row>
    <row r="403" spans="1:20">
      <c r="A403" s="117">
        <v>11</v>
      </c>
      <c r="B403" s="102" t="s">
        <v>256</v>
      </c>
      <c r="C403" s="206">
        <v>41290</v>
      </c>
      <c r="D403" s="102">
        <v>0.4</v>
      </c>
      <c r="E403" s="102">
        <v>13.7</v>
      </c>
      <c r="F403" s="218">
        <v>94</v>
      </c>
      <c r="G403" s="102">
        <v>8.1</v>
      </c>
      <c r="H403" s="218">
        <v>4.9000000000000004</v>
      </c>
      <c r="I403" s="102"/>
      <c r="J403" s="102">
        <v>0.96</v>
      </c>
      <c r="K403" s="218">
        <v>28</v>
      </c>
      <c r="L403" s="218">
        <v>43</v>
      </c>
      <c r="M403" s="218">
        <v>5500</v>
      </c>
      <c r="N403" s="218">
        <v>68</v>
      </c>
      <c r="O403" s="218">
        <v>6200</v>
      </c>
      <c r="P403" s="112"/>
      <c r="Q403">
        <f t="shared" si="12"/>
        <v>2013</v>
      </c>
      <c r="R403">
        <f t="shared" si="13"/>
        <v>1</v>
      </c>
      <c r="S403" s="112"/>
      <c r="T403" s="102"/>
    </row>
    <row r="404" spans="1:20">
      <c r="A404" s="117">
        <v>11</v>
      </c>
      <c r="B404" s="102" t="s">
        <v>256</v>
      </c>
      <c r="C404" s="216">
        <v>41323</v>
      </c>
      <c r="D404">
        <v>1.9</v>
      </c>
      <c r="E404" s="116">
        <v>12.7</v>
      </c>
      <c r="F404" s="101">
        <v>92</v>
      </c>
      <c r="G404">
        <v>8.1</v>
      </c>
      <c r="H404" s="116">
        <v>2</v>
      </c>
      <c r="J404">
        <v>2</v>
      </c>
      <c r="K404">
        <v>21</v>
      </c>
      <c r="L404">
        <v>42</v>
      </c>
      <c r="M404">
        <v>4400</v>
      </c>
      <c r="N404">
        <v>50</v>
      </c>
      <c r="O404">
        <v>5100</v>
      </c>
      <c r="Q404">
        <f t="shared" si="12"/>
        <v>2013</v>
      </c>
      <c r="R404">
        <f t="shared" si="13"/>
        <v>2</v>
      </c>
    </row>
    <row r="405" spans="1:20">
      <c r="A405" s="117">
        <v>11</v>
      </c>
      <c r="B405" s="102" t="s">
        <v>256</v>
      </c>
      <c r="C405" s="216">
        <v>41347</v>
      </c>
      <c r="D405">
        <v>1.4</v>
      </c>
      <c r="E405" s="116">
        <v>13.3</v>
      </c>
      <c r="F405" s="101">
        <v>96</v>
      </c>
      <c r="G405">
        <v>8.1</v>
      </c>
      <c r="H405" s="116">
        <v>3.1</v>
      </c>
      <c r="J405">
        <v>1.9</v>
      </c>
      <c r="K405">
        <v>10</v>
      </c>
      <c r="L405">
        <v>28</v>
      </c>
      <c r="M405">
        <v>4800</v>
      </c>
      <c r="N405">
        <v>32</v>
      </c>
      <c r="O405">
        <v>4600</v>
      </c>
      <c r="Q405">
        <f t="shared" si="12"/>
        <v>2013</v>
      </c>
      <c r="R405">
        <f t="shared" si="13"/>
        <v>3</v>
      </c>
    </row>
    <row r="406" spans="1:20">
      <c r="A406" s="117">
        <v>11</v>
      </c>
      <c r="B406" s="102" t="s">
        <v>256</v>
      </c>
      <c r="C406" s="216">
        <v>41379</v>
      </c>
      <c r="D406">
        <v>7.7</v>
      </c>
      <c r="E406" s="116">
        <v>12.9</v>
      </c>
      <c r="F406" s="101">
        <v>108</v>
      </c>
      <c r="G406">
        <v>8.3000000000000007</v>
      </c>
      <c r="H406" s="116">
        <v>1.7</v>
      </c>
      <c r="J406">
        <v>2.7</v>
      </c>
      <c r="K406">
        <v>6</v>
      </c>
      <c r="L406">
        <v>14</v>
      </c>
      <c r="M406">
        <v>3000</v>
      </c>
      <c r="N406">
        <v>10</v>
      </c>
      <c r="O406">
        <v>4000</v>
      </c>
      <c r="Q406">
        <f t="shared" si="12"/>
        <v>2013</v>
      </c>
      <c r="R406">
        <f t="shared" si="13"/>
        <v>4</v>
      </c>
    </row>
    <row r="407" spans="1:20">
      <c r="A407" s="117">
        <v>11</v>
      </c>
      <c r="B407" s="102" t="s">
        <v>256</v>
      </c>
      <c r="C407" s="216">
        <v>41408</v>
      </c>
      <c r="D407">
        <v>14.4</v>
      </c>
      <c r="E407" s="116">
        <v>10.6</v>
      </c>
      <c r="F407" s="101">
        <v>104</v>
      </c>
      <c r="G407">
        <v>8.1999999999999993</v>
      </c>
      <c r="H407" s="116">
        <v>1.5</v>
      </c>
      <c r="J407">
        <v>2.8</v>
      </c>
      <c r="K407">
        <v>6</v>
      </c>
      <c r="L407">
        <v>31</v>
      </c>
      <c r="M407">
        <v>1500</v>
      </c>
      <c r="N407">
        <v>16</v>
      </c>
      <c r="O407">
        <v>2100</v>
      </c>
      <c r="Q407">
        <f t="shared" si="12"/>
        <v>2013</v>
      </c>
      <c r="R407">
        <f t="shared" si="13"/>
        <v>5</v>
      </c>
    </row>
    <row r="408" spans="1:20">
      <c r="A408" s="117">
        <v>11</v>
      </c>
      <c r="B408" s="102" t="s">
        <v>256</v>
      </c>
      <c r="C408" s="216">
        <v>41443</v>
      </c>
      <c r="D408">
        <v>17.2</v>
      </c>
      <c r="E408" s="116">
        <v>10.5</v>
      </c>
      <c r="F408" s="101">
        <v>110</v>
      </c>
      <c r="G408">
        <v>8.3000000000000007</v>
      </c>
      <c r="H408" s="116">
        <v>1.1000000000000001</v>
      </c>
      <c r="J408">
        <v>1.4</v>
      </c>
      <c r="K408">
        <v>41</v>
      </c>
      <c r="L408">
        <v>61</v>
      </c>
      <c r="M408">
        <v>1200</v>
      </c>
      <c r="N408">
        <v>18</v>
      </c>
      <c r="O408">
        <v>1900</v>
      </c>
      <c r="Q408">
        <f t="shared" si="12"/>
        <v>2013</v>
      </c>
      <c r="R408">
        <f t="shared" si="13"/>
        <v>6</v>
      </c>
    </row>
    <row r="409" spans="1:20">
      <c r="A409" s="117">
        <v>11</v>
      </c>
      <c r="B409" s="102" t="s">
        <v>256</v>
      </c>
      <c r="C409" s="216">
        <v>41465</v>
      </c>
      <c r="D409">
        <v>18</v>
      </c>
      <c r="E409" s="116">
        <v>10.1</v>
      </c>
      <c r="F409" s="101">
        <v>108</v>
      </c>
      <c r="G409">
        <v>8.3000000000000007</v>
      </c>
      <c r="H409" s="116">
        <v>1.2</v>
      </c>
      <c r="J409">
        <v>1.3</v>
      </c>
      <c r="K409">
        <v>38</v>
      </c>
      <c r="L409">
        <v>62</v>
      </c>
      <c r="M409">
        <v>1000</v>
      </c>
      <c r="N409">
        <v>20</v>
      </c>
      <c r="O409">
        <v>1900</v>
      </c>
      <c r="Q409">
        <f t="shared" si="12"/>
        <v>2013</v>
      </c>
      <c r="R409">
        <f t="shared" si="13"/>
        <v>7</v>
      </c>
    </row>
    <row r="410" spans="1:20">
      <c r="A410" s="117">
        <v>11</v>
      </c>
      <c r="B410" s="102" t="s">
        <v>256</v>
      </c>
      <c r="C410" s="216">
        <v>41500</v>
      </c>
      <c r="D410">
        <v>15.3</v>
      </c>
      <c r="E410" s="116">
        <v>8</v>
      </c>
      <c r="F410" s="101">
        <v>79</v>
      </c>
      <c r="G410">
        <v>7.9</v>
      </c>
      <c r="H410" s="116">
        <v>1.9</v>
      </c>
      <c r="J410">
        <v>1.6</v>
      </c>
      <c r="K410">
        <v>35</v>
      </c>
      <c r="L410">
        <v>60</v>
      </c>
      <c r="M410">
        <v>1200</v>
      </c>
      <c r="N410">
        <v>11</v>
      </c>
      <c r="O410">
        <v>1500</v>
      </c>
      <c r="Q410">
        <f t="shared" si="12"/>
        <v>2013</v>
      </c>
      <c r="R410">
        <f t="shared" si="13"/>
        <v>8</v>
      </c>
    </row>
    <row r="411" spans="1:20">
      <c r="A411" s="117">
        <v>11</v>
      </c>
      <c r="B411" s="102" t="s">
        <v>256</v>
      </c>
      <c r="C411" s="216">
        <v>41529</v>
      </c>
      <c r="D411">
        <v>14.6</v>
      </c>
      <c r="E411" s="116">
        <v>9.9</v>
      </c>
      <c r="F411" s="101">
        <v>98</v>
      </c>
      <c r="G411">
        <v>8.1</v>
      </c>
      <c r="H411" s="116">
        <v>0.92</v>
      </c>
      <c r="J411">
        <v>1.4</v>
      </c>
      <c r="K411">
        <v>36</v>
      </c>
      <c r="L411">
        <v>37</v>
      </c>
      <c r="M411">
        <v>1600</v>
      </c>
      <c r="N411">
        <v>30</v>
      </c>
      <c r="O411">
        <v>1600</v>
      </c>
      <c r="Q411">
        <f t="shared" si="12"/>
        <v>2013</v>
      </c>
      <c r="R411">
        <f t="shared" si="13"/>
        <v>9</v>
      </c>
    </row>
    <row r="412" spans="1:20">
      <c r="A412" s="117">
        <v>11</v>
      </c>
      <c r="B412" s="102" t="s">
        <v>256</v>
      </c>
      <c r="C412" s="216">
        <v>41572</v>
      </c>
      <c r="D412">
        <v>10.4</v>
      </c>
      <c r="E412" s="116">
        <v>10.6</v>
      </c>
      <c r="F412" s="101">
        <v>96</v>
      </c>
      <c r="G412">
        <v>8.1</v>
      </c>
      <c r="H412" s="116">
        <v>3</v>
      </c>
      <c r="J412" t="s">
        <v>287</v>
      </c>
      <c r="K412">
        <v>53</v>
      </c>
      <c r="L412" s="57">
        <v>72</v>
      </c>
      <c r="M412">
        <v>6900</v>
      </c>
      <c r="N412">
        <v>18</v>
      </c>
      <c r="O412">
        <v>8100</v>
      </c>
      <c r="Q412">
        <f t="shared" si="12"/>
        <v>2013</v>
      </c>
      <c r="R412">
        <f t="shared" si="13"/>
        <v>10</v>
      </c>
    </row>
    <row r="413" spans="1:20">
      <c r="A413" s="117">
        <v>11</v>
      </c>
      <c r="B413" s="102" t="s">
        <v>256</v>
      </c>
      <c r="C413" s="216">
        <v>41591</v>
      </c>
      <c r="D413">
        <v>7.3</v>
      </c>
      <c r="E413" s="116">
        <v>11.5</v>
      </c>
      <c r="F413" s="101">
        <v>96</v>
      </c>
      <c r="G413">
        <v>8</v>
      </c>
      <c r="H413" s="116">
        <v>6.6</v>
      </c>
      <c r="J413">
        <v>1.4</v>
      </c>
      <c r="K413">
        <v>47</v>
      </c>
      <c r="L413">
        <v>72</v>
      </c>
      <c r="M413">
        <v>7700</v>
      </c>
      <c r="N413">
        <v>20</v>
      </c>
      <c r="O413">
        <v>8300</v>
      </c>
      <c r="Q413">
        <f t="shared" si="12"/>
        <v>2013</v>
      </c>
      <c r="R413">
        <f t="shared" si="13"/>
        <v>11</v>
      </c>
    </row>
    <row r="414" spans="1:20">
      <c r="A414" s="117">
        <v>11</v>
      </c>
      <c r="B414" s="102" t="s">
        <v>256</v>
      </c>
      <c r="C414" s="216">
        <v>41619</v>
      </c>
      <c r="D414">
        <v>6</v>
      </c>
      <c r="E414" s="116">
        <v>11.6</v>
      </c>
      <c r="F414" s="101">
        <v>93</v>
      </c>
      <c r="G414">
        <v>8.1</v>
      </c>
      <c r="H414" s="116">
        <v>3.6</v>
      </c>
      <c r="J414">
        <v>1.7</v>
      </c>
      <c r="K414">
        <v>37</v>
      </c>
      <c r="L414">
        <v>64</v>
      </c>
      <c r="M414">
        <v>6900</v>
      </c>
      <c r="N414">
        <v>20</v>
      </c>
      <c r="O414">
        <v>7900</v>
      </c>
      <c r="Q414">
        <f t="shared" si="12"/>
        <v>2013</v>
      </c>
      <c r="R414">
        <f t="shared" si="13"/>
        <v>12</v>
      </c>
    </row>
    <row r="415" spans="1:20">
      <c r="A415" s="117">
        <v>11</v>
      </c>
      <c r="B415" s="102" t="s">
        <v>256</v>
      </c>
      <c r="C415" s="216">
        <v>41654</v>
      </c>
      <c r="D415">
        <v>3.2</v>
      </c>
      <c r="E415" s="116">
        <v>13</v>
      </c>
      <c r="F415" s="101">
        <v>98</v>
      </c>
      <c r="G415">
        <v>8.1</v>
      </c>
      <c r="H415" s="116">
        <v>7.2</v>
      </c>
      <c r="J415">
        <v>1.8</v>
      </c>
      <c r="K415">
        <v>29</v>
      </c>
      <c r="L415">
        <v>64</v>
      </c>
      <c r="M415">
        <v>6300</v>
      </c>
      <c r="N415">
        <v>36</v>
      </c>
      <c r="O415">
        <v>7300</v>
      </c>
      <c r="Q415">
        <f t="shared" si="12"/>
        <v>2014</v>
      </c>
      <c r="R415">
        <f t="shared" si="13"/>
        <v>1</v>
      </c>
    </row>
    <row r="416" spans="1:20" ht="13">
      <c r="A416" s="118">
        <v>11</v>
      </c>
      <c r="B416" s="102" t="s">
        <v>256</v>
      </c>
      <c r="C416" s="206">
        <v>41681</v>
      </c>
      <c r="D416" s="102">
        <v>2.5</v>
      </c>
      <c r="E416" s="102">
        <v>12.4</v>
      </c>
      <c r="F416" s="218">
        <v>94</v>
      </c>
      <c r="G416" s="102">
        <v>7.9</v>
      </c>
      <c r="H416" s="102">
        <v>10</v>
      </c>
      <c r="I416" s="102"/>
      <c r="J416" s="102">
        <v>1.8</v>
      </c>
      <c r="K416" s="218">
        <v>45</v>
      </c>
      <c r="L416" s="218">
        <v>89</v>
      </c>
      <c r="M416" s="218">
        <v>5600</v>
      </c>
      <c r="N416" s="218">
        <v>46</v>
      </c>
      <c r="O416" s="218">
        <v>6700</v>
      </c>
      <c r="P416" s="102"/>
      <c r="Q416">
        <f t="shared" si="12"/>
        <v>2014</v>
      </c>
      <c r="R416">
        <f t="shared" si="13"/>
        <v>2</v>
      </c>
      <c r="S416" s="103"/>
      <c r="T416" s="102"/>
    </row>
    <row r="417" spans="1:20" ht="13">
      <c r="A417" s="117">
        <v>11</v>
      </c>
      <c r="B417" s="102" t="s">
        <v>256</v>
      </c>
      <c r="C417" s="206">
        <v>41709</v>
      </c>
      <c r="D417" s="102">
        <v>6.9</v>
      </c>
      <c r="E417" s="102">
        <v>12.7</v>
      </c>
      <c r="F417" s="218">
        <v>101</v>
      </c>
      <c r="G417" s="102">
        <v>8.1999999999999993</v>
      </c>
      <c r="H417" s="102">
        <v>1.9</v>
      </c>
      <c r="I417" s="102"/>
      <c r="J417" s="102">
        <v>2</v>
      </c>
      <c r="K417" s="218">
        <v>18</v>
      </c>
      <c r="L417" s="218">
        <v>30</v>
      </c>
      <c r="M417" s="218">
        <v>4100</v>
      </c>
      <c r="N417" s="218">
        <v>19</v>
      </c>
      <c r="O417" s="218">
        <v>5000</v>
      </c>
      <c r="P417" s="121"/>
      <c r="Q417">
        <f t="shared" si="12"/>
        <v>2014</v>
      </c>
      <c r="R417">
        <f t="shared" si="13"/>
        <v>3</v>
      </c>
      <c r="S417" s="103"/>
      <c r="T417" s="102"/>
    </row>
    <row r="418" spans="1:20">
      <c r="A418" s="117">
        <v>11</v>
      </c>
      <c r="B418" s="102" t="s">
        <v>256</v>
      </c>
      <c r="C418" s="206">
        <v>41743</v>
      </c>
      <c r="D418" s="102">
        <v>8.5</v>
      </c>
      <c r="E418" s="102">
        <v>11.3</v>
      </c>
      <c r="F418" s="218">
        <v>94</v>
      </c>
      <c r="G418" s="102">
        <v>8.1999999999999993</v>
      </c>
      <c r="H418" s="102">
        <v>2.6</v>
      </c>
      <c r="I418" s="102"/>
      <c r="J418" s="102">
        <v>1.9</v>
      </c>
      <c r="K418" s="218">
        <v>8</v>
      </c>
      <c r="L418" s="218">
        <v>26</v>
      </c>
      <c r="M418" s="218">
        <v>2700</v>
      </c>
      <c r="N418" s="218">
        <v>16</v>
      </c>
      <c r="O418" s="218">
        <v>3600</v>
      </c>
      <c r="P418" s="102"/>
      <c r="Q418">
        <f t="shared" si="12"/>
        <v>2014</v>
      </c>
      <c r="R418">
        <f t="shared" si="13"/>
        <v>4</v>
      </c>
      <c r="S418" s="102"/>
      <c r="T418" s="102"/>
    </row>
    <row r="419" spans="1:20">
      <c r="A419" s="117">
        <v>11</v>
      </c>
      <c r="B419" s="102" t="s">
        <v>256</v>
      </c>
      <c r="C419" s="206">
        <v>41771</v>
      </c>
      <c r="D419" s="102">
        <v>13.7</v>
      </c>
      <c r="E419" s="102">
        <v>12.2</v>
      </c>
      <c r="F419" s="218">
        <v>105</v>
      </c>
      <c r="G419" s="102">
        <v>8.1999999999999993</v>
      </c>
      <c r="H419" s="102">
        <v>2.2000000000000002</v>
      </c>
      <c r="I419" s="102"/>
      <c r="J419" s="102">
        <v>1.9</v>
      </c>
      <c r="K419" s="218">
        <v>15</v>
      </c>
      <c r="L419" s="218">
        <v>29</v>
      </c>
      <c r="M419" s="218">
        <v>1900</v>
      </c>
      <c r="N419" s="218">
        <v>20</v>
      </c>
      <c r="O419" s="218">
        <v>2600</v>
      </c>
      <c r="P419" s="111"/>
      <c r="Q419">
        <f t="shared" si="12"/>
        <v>2014</v>
      </c>
      <c r="R419">
        <f t="shared" si="13"/>
        <v>5</v>
      </c>
      <c r="S419" s="119"/>
      <c r="T419" s="102"/>
    </row>
    <row r="420" spans="1:20">
      <c r="A420" s="117">
        <v>11</v>
      </c>
      <c r="B420" s="102" t="s">
        <v>256</v>
      </c>
      <c r="C420" s="206">
        <v>41807</v>
      </c>
      <c r="D420" s="102">
        <v>18.100000000000001</v>
      </c>
      <c r="E420" s="102">
        <v>10.1</v>
      </c>
      <c r="F420" s="218">
        <v>118</v>
      </c>
      <c r="G420" s="102">
        <v>8.4</v>
      </c>
      <c r="H420" s="102">
        <v>1.3</v>
      </c>
      <c r="I420" s="102"/>
      <c r="J420" s="102">
        <v>1.5</v>
      </c>
      <c r="K420" s="218">
        <v>7</v>
      </c>
      <c r="L420" s="218">
        <v>62</v>
      </c>
      <c r="M420" s="218">
        <v>1700</v>
      </c>
      <c r="N420" s="218">
        <v>21</v>
      </c>
      <c r="O420" s="218">
        <v>2500</v>
      </c>
      <c r="P420" s="112"/>
      <c r="Q420">
        <f t="shared" si="12"/>
        <v>2014</v>
      </c>
      <c r="R420">
        <f t="shared" si="13"/>
        <v>6</v>
      </c>
      <c r="S420" s="112"/>
      <c r="T420" s="102"/>
    </row>
    <row r="421" spans="1:20">
      <c r="A421" s="117">
        <v>11</v>
      </c>
      <c r="B421" s="102" t="s">
        <v>256</v>
      </c>
      <c r="C421" s="206">
        <v>41835</v>
      </c>
      <c r="D421" s="102">
        <v>18.2</v>
      </c>
      <c r="E421" s="102">
        <v>8.6999999999999993</v>
      </c>
      <c r="F421" s="218">
        <v>91</v>
      </c>
      <c r="G421" s="102"/>
      <c r="H421" s="102"/>
      <c r="I421" s="102"/>
      <c r="J421" s="102"/>
      <c r="K421" s="218">
        <v>41</v>
      </c>
      <c r="L421" s="218">
        <v>70</v>
      </c>
      <c r="M421" s="218">
        <v>1100</v>
      </c>
      <c r="N421" s="218">
        <v>18</v>
      </c>
      <c r="O421" s="218">
        <v>1800</v>
      </c>
      <c r="P421" s="112"/>
      <c r="Q421">
        <f t="shared" si="12"/>
        <v>2014</v>
      </c>
      <c r="R421">
        <f t="shared" si="13"/>
        <v>7</v>
      </c>
      <c r="S421" s="112"/>
      <c r="T421" s="102"/>
    </row>
    <row r="422" spans="1:20">
      <c r="A422" s="117">
        <v>11</v>
      </c>
      <c r="B422" s="102" t="s">
        <v>256</v>
      </c>
      <c r="C422" s="206">
        <v>41863</v>
      </c>
      <c r="D422" s="102">
        <v>16.899999999999999</v>
      </c>
      <c r="E422" s="102">
        <v>7</v>
      </c>
      <c r="F422" s="218">
        <v>75</v>
      </c>
      <c r="G422" s="102">
        <v>8.1</v>
      </c>
      <c r="H422" s="102">
        <v>0.79</v>
      </c>
      <c r="I422" s="102"/>
      <c r="J422" s="102">
        <v>1.4</v>
      </c>
      <c r="K422" s="218">
        <v>30</v>
      </c>
      <c r="L422" s="218">
        <v>43</v>
      </c>
      <c r="M422" s="218">
        <v>1600</v>
      </c>
      <c r="N422" s="218">
        <v>22</v>
      </c>
      <c r="O422" s="218">
        <v>2000</v>
      </c>
      <c r="P422" s="112"/>
      <c r="Q422">
        <f t="shared" si="12"/>
        <v>2014</v>
      </c>
      <c r="R422">
        <f t="shared" si="13"/>
        <v>8</v>
      </c>
      <c r="S422" s="112"/>
      <c r="T422" s="102"/>
    </row>
    <row r="423" spans="1:20">
      <c r="A423" s="117">
        <v>11</v>
      </c>
      <c r="B423" s="102" t="s">
        <v>256</v>
      </c>
      <c r="C423" s="206">
        <v>41893</v>
      </c>
      <c r="D423" s="102">
        <v>14.2</v>
      </c>
      <c r="E423" s="102">
        <v>9.1999999999999993</v>
      </c>
      <c r="F423" s="218">
        <v>88</v>
      </c>
      <c r="G423" s="102">
        <v>8</v>
      </c>
      <c r="H423" s="102">
        <v>1.8</v>
      </c>
      <c r="I423" s="102"/>
      <c r="J423" s="102">
        <v>1.5</v>
      </c>
      <c r="K423" s="218">
        <v>23</v>
      </c>
      <c r="L423" s="218">
        <v>46</v>
      </c>
      <c r="M423" s="218">
        <v>1600</v>
      </c>
      <c r="N423" s="218">
        <v>18</v>
      </c>
      <c r="O423" s="218">
        <v>2900</v>
      </c>
      <c r="P423" s="112"/>
      <c r="Q423">
        <f t="shared" si="12"/>
        <v>2014</v>
      </c>
      <c r="R423">
        <f t="shared" si="13"/>
        <v>9</v>
      </c>
      <c r="S423" s="112"/>
      <c r="T423" s="102"/>
    </row>
    <row r="424" spans="1:20">
      <c r="A424" s="117">
        <v>11</v>
      </c>
      <c r="B424" s="102" t="s">
        <v>256</v>
      </c>
      <c r="C424" s="206">
        <v>41929</v>
      </c>
      <c r="D424" s="102">
        <v>12</v>
      </c>
      <c r="E424" s="102">
        <v>8.6999999999999993</v>
      </c>
      <c r="F424" s="218">
        <v>82</v>
      </c>
      <c r="G424" s="102">
        <v>7.9</v>
      </c>
      <c r="H424" s="102">
        <v>39</v>
      </c>
      <c r="I424" s="102"/>
      <c r="J424" s="102">
        <v>2</v>
      </c>
      <c r="K424" s="218">
        <v>18</v>
      </c>
      <c r="L424" s="218">
        <v>150</v>
      </c>
      <c r="M424" s="218">
        <v>2500</v>
      </c>
      <c r="N424" s="218">
        <v>19</v>
      </c>
      <c r="O424" s="218">
        <v>2800</v>
      </c>
      <c r="P424" s="112"/>
      <c r="Q424">
        <f t="shared" si="12"/>
        <v>2014</v>
      </c>
      <c r="R424">
        <f t="shared" si="13"/>
        <v>10</v>
      </c>
      <c r="S424" s="112"/>
      <c r="T424" s="102"/>
    </row>
    <row r="425" spans="1:20">
      <c r="A425" s="117">
        <v>11</v>
      </c>
      <c r="B425" s="102" t="s">
        <v>256</v>
      </c>
      <c r="C425" s="206">
        <v>41954</v>
      </c>
      <c r="D425" s="102">
        <v>9.4</v>
      </c>
      <c r="E425" s="102">
        <v>10</v>
      </c>
      <c r="F425" s="218">
        <v>87</v>
      </c>
      <c r="G425" s="102">
        <v>8.1</v>
      </c>
      <c r="H425" s="102">
        <v>2</v>
      </c>
      <c r="I425" s="102"/>
      <c r="J425" s="102">
        <v>1.1000000000000001</v>
      </c>
      <c r="K425" s="218">
        <v>40</v>
      </c>
      <c r="L425" s="218">
        <v>58</v>
      </c>
      <c r="M425" s="218">
        <v>4300</v>
      </c>
      <c r="N425" s="218">
        <v>28</v>
      </c>
      <c r="O425" s="218">
        <v>4900</v>
      </c>
      <c r="P425" s="112"/>
      <c r="Q425">
        <f t="shared" si="12"/>
        <v>2014</v>
      </c>
      <c r="R425">
        <f t="shared" si="13"/>
        <v>11</v>
      </c>
      <c r="S425" s="112"/>
      <c r="T425" s="102"/>
    </row>
    <row r="426" spans="1:20">
      <c r="A426" s="117">
        <v>11</v>
      </c>
      <c r="B426" s="102" t="s">
        <v>256</v>
      </c>
      <c r="C426" s="206">
        <v>41985</v>
      </c>
      <c r="D426" s="102">
        <v>4.3</v>
      </c>
      <c r="E426" s="102">
        <v>12.4</v>
      </c>
      <c r="F426" s="218">
        <v>98</v>
      </c>
      <c r="G426" s="102">
        <v>8.1</v>
      </c>
      <c r="H426" s="102">
        <v>12</v>
      </c>
      <c r="I426" s="102"/>
      <c r="J426" s="102" t="s">
        <v>287</v>
      </c>
      <c r="K426" s="218">
        <v>59</v>
      </c>
      <c r="L426" s="218">
        <v>79</v>
      </c>
      <c r="M426" s="218">
        <v>6600</v>
      </c>
      <c r="N426" s="218">
        <v>28</v>
      </c>
      <c r="O426" s="218">
        <v>7200</v>
      </c>
      <c r="P426" s="112"/>
      <c r="Q426">
        <f t="shared" si="12"/>
        <v>2014</v>
      </c>
      <c r="R426">
        <f t="shared" si="13"/>
        <v>12</v>
      </c>
      <c r="S426" s="112"/>
      <c r="T426" s="102"/>
    </row>
    <row r="427" spans="1:20">
      <c r="A427" s="117">
        <v>11</v>
      </c>
      <c r="B427" s="102" t="s">
        <v>256</v>
      </c>
      <c r="C427" s="206">
        <v>42019</v>
      </c>
      <c r="D427" s="102">
        <v>2.8</v>
      </c>
      <c r="E427" s="102">
        <v>13.2</v>
      </c>
      <c r="F427" s="218">
        <v>101</v>
      </c>
      <c r="G427" s="102">
        <v>8</v>
      </c>
      <c r="H427" s="102">
        <v>13</v>
      </c>
      <c r="I427" s="102"/>
      <c r="J427" s="102">
        <v>1.4</v>
      </c>
      <c r="K427" s="218">
        <v>45</v>
      </c>
      <c r="L427" s="218">
        <v>78</v>
      </c>
      <c r="M427" s="218">
        <v>5900</v>
      </c>
      <c r="N427" s="218">
        <v>38</v>
      </c>
      <c r="O427" s="218">
        <v>6200</v>
      </c>
      <c r="P427" s="112"/>
      <c r="Q427">
        <f t="shared" si="12"/>
        <v>2015</v>
      </c>
      <c r="R427">
        <f t="shared" si="13"/>
        <v>1</v>
      </c>
      <c r="S427" s="112"/>
      <c r="T427" s="102"/>
    </row>
    <row r="428" spans="1:20">
      <c r="A428" s="117">
        <v>11</v>
      </c>
      <c r="B428" s="102" t="s">
        <v>256</v>
      </c>
      <c r="C428" s="206">
        <v>42045</v>
      </c>
      <c r="D428" s="102">
        <v>2.6</v>
      </c>
      <c r="E428" s="102">
        <v>13.7</v>
      </c>
      <c r="F428" s="218">
        <v>99</v>
      </c>
      <c r="G428" s="102">
        <v>8.1</v>
      </c>
      <c r="H428" s="218">
        <v>8.3000000000000007</v>
      </c>
      <c r="I428" s="102"/>
      <c r="J428" s="102">
        <v>1.8</v>
      </c>
      <c r="K428" s="218">
        <v>26</v>
      </c>
      <c r="L428" s="218">
        <v>52</v>
      </c>
      <c r="M428" s="218">
        <v>5500</v>
      </c>
      <c r="N428" s="218">
        <v>47</v>
      </c>
      <c r="O428" s="218">
        <v>6300</v>
      </c>
      <c r="P428" s="112"/>
      <c r="Q428">
        <f t="shared" si="12"/>
        <v>2015</v>
      </c>
      <c r="R428">
        <f t="shared" si="13"/>
        <v>2</v>
      </c>
      <c r="S428" s="112"/>
      <c r="T428" s="102"/>
    </row>
    <row r="429" spans="1:20">
      <c r="A429" s="117">
        <v>11</v>
      </c>
      <c r="B429" s="102" t="s">
        <v>256</v>
      </c>
      <c r="C429" s="206">
        <v>42075</v>
      </c>
      <c r="D429" s="102">
        <v>5.6</v>
      </c>
      <c r="E429" s="102">
        <v>12.9</v>
      </c>
      <c r="F429" s="218">
        <v>101</v>
      </c>
      <c r="G429" s="102">
        <v>8.1999999999999993</v>
      </c>
      <c r="H429" s="218">
        <v>4.3</v>
      </c>
      <c r="I429" s="102"/>
      <c r="J429" s="102">
        <v>1.3</v>
      </c>
      <c r="K429" s="218">
        <v>14</v>
      </c>
      <c r="L429" s="218">
        <v>35</v>
      </c>
      <c r="M429" s="218">
        <v>4600</v>
      </c>
      <c r="N429" s="218">
        <v>26</v>
      </c>
      <c r="O429" s="218">
        <v>4900</v>
      </c>
      <c r="P429" s="112"/>
      <c r="Q429">
        <f t="shared" si="12"/>
        <v>2015</v>
      </c>
      <c r="R429">
        <f t="shared" si="13"/>
        <v>3</v>
      </c>
      <c r="S429" s="112"/>
      <c r="T429" s="102"/>
    </row>
    <row r="430" spans="1:20">
      <c r="A430" s="117">
        <v>11</v>
      </c>
      <c r="B430" s="102" t="s">
        <v>256</v>
      </c>
      <c r="C430" s="206">
        <v>42107</v>
      </c>
      <c r="D430" s="102">
        <v>7.6</v>
      </c>
      <c r="E430" s="102">
        <v>11.9</v>
      </c>
      <c r="F430" s="218">
        <v>101</v>
      </c>
      <c r="G430" s="102">
        <v>8.3000000000000007</v>
      </c>
      <c r="H430" s="218">
        <v>1.4</v>
      </c>
      <c r="I430" s="102"/>
      <c r="J430" s="102">
        <v>1.5</v>
      </c>
      <c r="K430" s="218">
        <v>5</v>
      </c>
      <c r="L430" s="218">
        <v>23</v>
      </c>
      <c r="M430" s="218">
        <v>4000</v>
      </c>
      <c r="N430" s="218">
        <v>24</v>
      </c>
      <c r="O430" s="218">
        <v>4400</v>
      </c>
      <c r="P430" s="112"/>
      <c r="Q430">
        <f t="shared" si="12"/>
        <v>2015</v>
      </c>
      <c r="R430">
        <f t="shared" si="13"/>
        <v>4</v>
      </c>
      <c r="S430" s="112"/>
      <c r="T430" s="102"/>
    </row>
    <row r="431" spans="1:20">
      <c r="A431" s="117">
        <v>11</v>
      </c>
      <c r="B431" s="102" t="s">
        <v>256</v>
      </c>
      <c r="C431" s="206">
        <v>42142</v>
      </c>
      <c r="D431" s="102">
        <v>11.4</v>
      </c>
      <c r="E431" s="102">
        <v>11.5</v>
      </c>
      <c r="F431" s="218">
        <v>105</v>
      </c>
      <c r="G431" s="102">
        <v>8.1999999999999993</v>
      </c>
      <c r="H431" s="218">
        <v>2</v>
      </c>
      <c r="I431" s="102"/>
      <c r="J431" s="102">
        <v>2.9</v>
      </c>
      <c r="K431" s="218">
        <v>3.9</v>
      </c>
      <c r="L431" s="218">
        <v>26</v>
      </c>
      <c r="M431" s="218">
        <v>2100</v>
      </c>
      <c r="N431" s="218">
        <v>15</v>
      </c>
      <c r="O431" s="218">
        <v>2600</v>
      </c>
      <c r="P431" s="112"/>
      <c r="Q431">
        <f t="shared" si="12"/>
        <v>2015</v>
      </c>
      <c r="R431">
        <f t="shared" si="13"/>
        <v>5</v>
      </c>
      <c r="S431" s="112"/>
      <c r="T431" s="102"/>
    </row>
    <row r="432" spans="1:20">
      <c r="A432" s="117">
        <v>11</v>
      </c>
      <c r="B432" s="102" t="s">
        <v>256</v>
      </c>
      <c r="C432" s="206">
        <v>42172</v>
      </c>
      <c r="D432" s="102">
        <v>14.1</v>
      </c>
      <c r="E432" s="102">
        <v>11.9</v>
      </c>
      <c r="F432" s="218">
        <v>114</v>
      </c>
      <c r="G432" s="102">
        <v>8.3000000000000007</v>
      </c>
      <c r="H432" s="218">
        <v>1.3</v>
      </c>
      <c r="I432" s="102"/>
      <c r="J432" s="102">
        <v>1.7</v>
      </c>
      <c r="K432" s="218">
        <v>22</v>
      </c>
      <c r="L432" s="218">
        <v>55</v>
      </c>
      <c r="M432" s="218">
        <v>2300</v>
      </c>
      <c r="N432" s="218">
        <v>18</v>
      </c>
      <c r="O432" s="218">
        <v>2700</v>
      </c>
      <c r="P432" s="112"/>
      <c r="Q432">
        <f t="shared" si="12"/>
        <v>2015</v>
      </c>
      <c r="R432">
        <f t="shared" si="13"/>
        <v>6</v>
      </c>
      <c r="S432" s="112"/>
      <c r="T432" s="102"/>
    </row>
    <row r="433" spans="1:20">
      <c r="A433" s="117">
        <v>11</v>
      </c>
      <c r="B433" s="102" t="s">
        <v>256</v>
      </c>
      <c r="C433" s="206">
        <v>42199</v>
      </c>
      <c r="D433" s="102">
        <v>17.3</v>
      </c>
      <c r="E433" s="102">
        <v>10.5</v>
      </c>
      <c r="F433" s="218">
        <v>109</v>
      </c>
      <c r="G433" s="102">
        <v>8.1999999999999993</v>
      </c>
      <c r="H433" s="218">
        <v>1.3</v>
      </c>
      <c r="I433" s="102"/>
      <c r="J433" s="102">
        <v>1.9</v>
      </c>
      <c r="K433" s="218">
        <v>31</v>
      </c>
      <c r="L433" s="218">
        <v>50</v>
      </c>
      <c r="M433" s="218">
        <v>1900</v>
      </c>
      <c r="N433" s="218">
        <v>21</v>
      </c>
      <c r="O433" s="218">
        <v>2700</v>
      </c>
      <c r="P433" s="112"/>
      <c r="Q433">
        <f t="shared" si="12"/>
        <v>2015</v>
      </c>
      <c r="R433">
        <f t="shared" si="13"/>
        <v>7</v>
      </c>
      <c r="S433" s="112"/>
      <c r="T433" s="102"/>
    </row>
    <row r="434" spans="1:20">
      <c r="A434" s="117">
        <v>11</v>
      </c>
      <c r="B434" s="102" t="s">
        <v>256</v>
      </c>
      <c r="C434" s="206">
        <v>42234</v>
      </c>
      <c r="D434" s="102">
        <v>16.399999999999999</v>
      </c>
      <c r="E434" s="102">
        <v>10.1</v>
      </c>
      <c r="F434" s="218">
        <v>104</v>
      </c>
      <c r="G434" s="102">
        <v>8.1</v>
      </c>
      <c r="H434" s="218">
        <v>0.98</v>
      </c>
      <c r="I434" s="102"/>
      <c r="J434" s="102">
        <v>0.97</v>
      </c>
      <c r="K434" s="218">
        <v>22</v>
      </c>
      <c r="L434" s="218">
        <v>42</v>
      </c>
      <c r="M434" s="218">
        <v>2200</v>
      </c>
      <c r="N434" s="218">
        <v>20</v>
      </c>
      <c r="O434" s="218">
        <v>2600</v>
      </c>
      <c r="P434" s="112"/>
      <c r="Q434">
        <f t="shared" si="12"/>
        <v>2015</v>
      </c>
      <c r="R434">
        <f t="shared" si="13"/>
        <v>8</v>
      </c>
      <c r="S434" s="112"/>
      <c r="T434" s="102"/>
    </row>
    <row r="435" spans="1:20">
      <c r="A435" s="117">
        <v>11</v>
      </c>
      <c r="B435" s="102" t="s">
        <v>256</v>
      </c>
      <c r="C435" s="206">
        <v>42265</v>
      </c>
      <c r="D435" s="102">
        <v>14.4</v>
      </c>
      <c r="E435" s="102">
        <v>9</v>
      </c>
      <c r="F435" s="218">
        <v>88.6</v>
      </c>
      <c r="G435" s="102">
        <v>8.1</v>
      </c>
      <c r="H435" s="218">
        <v>0.83</v>
      </c>
      <c r="I435" s="102"/>
      <c r="J435" s="102" t="s">
        <v>287</v>
      </c>
      <c r="K435" s="218">
        <v>20</v>
      </c>
      <c r="L435" s="218">
        <v>39</v>
      </c>
      <c r="M435" s="218">
        <v>1900</v>
      </c>
      <c r="N435" s="218">
        <v>19</v>
      </c>
      <c r="O435" s="218">
        <v>2200</v>
      </c>
      <c r="P435" s="112"/>
      <c r="Q435">
        <f t="shared" si="12"/>
        <v>2015</v>
      </c>
      <c r="R435">
        <f t="shared" si="13"/>
        <v>9</v>
      </c>
      <c r="S435" s="112"/>
      <c r="T435" s="102"/>
    </row>
    <row r="436" spans="1:20">
      <c r="A436" s="117">
        <v>11</v>
      </c>
      <c r="B436" s="102" t="s">
        <v>256</v>
      </c>
      <c r="C436" s="206">
        <v>42290</v>
      </c>
      <c r="D436" s="102">
        <v>8</v>
      </c>
      <c r="E436" s="102">
        <v>11.7</v>
      </c>
      <c r="F436" s="218">
        <v>98</v>
      </c>
      <c r="G436" s="102">
        <v>8.1</v>
      </c>
      <c r="H436" s="218">
        <v>0.79</v>
      </c>
      <c r="I436" s="102"/>
      <c r="J436" s="102">
        <v>2</v>
      </c>
      <c r="K436" s="218">
        <v>6.2</v>
      </c>
      <c r="L436" s="218">
        <v>30</v>
      </c>
      <c r="M436" s="218">
        <v>2800</v>
      </c>
      <c r="N436" s="218">
        <v>12</v>
      </c>
      <c r="O436" s="218">
        <v>2900</v>
      </c>
      <c r="P436" s="112"/>
      <c r="Q436">
        <f t="shared" si="12"/>
        <v>2015</v>
      </c>
      <c r="R436">
        <f t="shared" si="13"/>
        <v>10</v>
      </c>
      <c r="S436" s="112"/>
      <c r="T436" s="102"/>
    </row>
    <row r="437" spans="1:20">
      <c r="A437" s="117">
        <v>11</v>
      </c>
      <c r="B437" s="102" t="s">
        <v>256</v>
      </c>
      <c r="C437" s="206">
        <v>42325</v>
      </c>
      <c r="D437" s="102">
        <v>7</v>
      </c>
      <c r="E437" s="102">
        <v>10.8</v>
      </c>
      <c r="F437" s="218">
        <v>90</v>
      </c>
      <c r="G437" s="102">
        <v>8.1</v>
      </c>
      <c r="H437" s="218">
        <v>2.4</v>
      </c>
      <c r="I437" s="102"/>
      <c r="J437" s="102">
        <v>1.2</v>
      </c>
      <c r="K437" s="218">
        <v>35</v>
      </c>
      <c r="L437" s="218">
        <v>58</v>
      </c>
      <c r="M437" s="218">
        <v>4700</v>
      </c>
      <c r="N437" s="218">
        <v>29</v>
      </c>
      <c r="O437" s="218">
        <v>4900</v>
      </c>
      <c r="P437" s="112"/>
      <c r="Q437">
        <f t="shared" si="12"/>
        <v>2015</v>
      </c>
      <c r="R437">
        <f t="shared" si="13"/>
        <v>11</v>
      </c>
      <c r="S437" s="112"/>
      <c r="T437" s="102"/>
    </row>
    <row r="438" spans="1:20">
      <c r="A438" s="117">
        <v>11</v>
      </c>
      <c r="B438" s="102" t="s">
        <v>256</v>
      </c>
      <c r="C438" s="206">
        <v>42352</v>
      </c>
      <c r="D438" s="102">
        <v>3.1</v>
      </c>
      <c r="E438" s="102">
        <v>13</v>
      </c>
      <c r="F438" s="218">
        <v>96</v>
      </c>
      <c r="G438" s="102">
        <v>8.1</v>
      </c>
      <c r="H438" s="218">
        <v>6.3</v>
      </c>
      <c r="I438" s="102"/>
      <c r="J438" s="102">
        <v>1.8</v>
      </c>
      <c r="K438" s="218">
        <v>38</v>
      </c>
      <c r="L438" s="218">
        <v>59</v>
      </c>
      <c r="M438" s="218">
        <v>4900</v>
      </c>
      <c r="N438" s="218">
        <v>31</v>
      </c>
      <c r="O438" s="218">
        <v>6300</v>
      </c>
      <c r="P438" s="112"/>
      <c r="Q438">
        <f t="shared" si="12"/>
        <v>2015</v>
      </c>
      <c r="R438">
        <f t="shared" si="13"/>
        <v>12</v>
      </c>
      <c r="S438" s="112"/>
      <c r="T438" s="102"/>
    </row>
    <row r="439" spans="1:20">
      <c r="A439" s="117">
        <v>11</v>
      </c>
      <c r="B439" s="102" t="s">
        <v>256</v>
      </c>
      <c r="C439" s="206">
        <v>42389</v>
      </c>
      <c r="D439" s="102">
        <v>0.5</v>
      </c>
      <c r="E439" s="102">
        <v>14.3</v>
      </c>
      <c r="F439" s="218">
        <v>100</v>
      </c>
      <c r="G439" s="102">
        <v>8</v>
      </c>
      <c r="H439" s="218">
        <v>6.2</v>
      </c>
      <c r="I439" s="102"/>
      <c r="J439" s="102">
        <v>1.5</v>
      </c>
      <c r="K439" s="218">
        <v>24</v>
      </c>
      <c r="L439" s="218">
        <v>57</v>
      </c>
      <c r="M439" s="218">
        <v>4800</v>
      </c>
      <c r="N439" s="218">
        <v>75</v>
      </c>
      <c r="O439" s="218">
        <v>5100</v>
      </c>
      <c r="P439" s="112"/>
      <c r="Q439">
        <f t="shared" si="12"/>
        <v>2016</v>
      </c>
      <c r="R439">
        <f t="shared" si="13"/>
        <v>1</v>
      </c>
      <c r="S439" s="112"/>
      <c r="T439" s="102"/>
    </row>
    <row r="440" spans="1:20">
      <c r="A440" s="117">
        <v>11</v>
      </c>
      <c r="B440" s="102" t="s">
        <v>256</v>
      </c>
      <c r="C440" s="206">
        <v>42416</v>
      </c>
      <c r="D440" s="102">
        <v>0.9</v>
      </c>
      <c r="E440" s="102">
        <v>13.6</v>
      </c>
      <c r="F440" s="218">
        <v>93</v>
      </c>
      <c r="G440" s="102">
        <v>8.1</v>
      </c>
      <c r="H440" s="218">
        <v>7.8</v>
      </c>
      <c r="I440" s="102"/>
      <c r="J440" s="102">
        <v>1.9</v>
      </c>
      <c r="K440" s="218">
        <v>32</v>
      </c>
      <c r="L440" s="218">
        <v>59</v>
      </c>
      <c r="M440" s="218">
        <v>5100</v>
      </c>
      <c r="N440" s="218">
        <v>36</v>
      </c>
      <c r="O440" s="218">
        <v>5300</v>
      </c>
      <c r="P440" s="112"/>
      <c r="Q440">
        <f t="shared" si="12"/>
        <v>2016</v>
      </c>
      <c r="R440">
        <f t="shared" si="13"/>
        <v>2</v>
      </c>
      <c r="S440" s="112"/>
      <c r="T440" s="102"/>
    </row>
    <row r="441" spans="1:20">
      <c r="A441" s="117">
        <v>11</v>
      </c>
      <c r="B441" s="102" t="s">
        <v>256</v>
      </c>
      <c r="C441" s="206">
        <v>42444</v>
      </c>
      <c r="D441" s="102">
        <v>5.0999999999999996</v>
      </c>
      <c r="E441" s="102">
        <v>12.5</v>
      </c>
      <c r="F441" s="218">
        <v>96</v>
      </c>
      <c r="G441" s="102">
        <v>8.1999999999999993</v>
      </c>
      <c r="H441" s="218">
        <v>3.1</v>
      </c>
      <c r="I441" s="102"/>
      <c r="J441" s="102">
        <v>2.1</v>
      </c>
      <c r="K441" s="218">
        <v>17</v>
      </c>
      <c r="L441" s="218">
        <v>29</v>
      </c>
      <c r="M441" s="218">
        <v>4400</v>
      </c>
      <c r="N441" s="218">
        <v>18</v>
      </c>
      <c r="O441" s="218">
        <v>4500</v>
      </c>
      <c r="P441" s="112"/>
      <c r="Q441">
        <f t="shared" si="12"/>
        <v>2016</v>
      </c>
      <c r="R441">
        <f t="shared" si="13"/>
        <v>3</v>
      </c>
      <c r="S441" s="112"/>
      <c r="T441" s="102"/>
    </row>
    <row r="442" spans="1:20">
      <c r="A442" s="117">
        <v>11</v>
      </c>
      <c r="B442" s="102" t="s">
        <v>256</v>
      </c>
      <c r="C442" s="206">
        <v>42472</v>
      </c>
      <c r="D442" s="102">
        <v>8.4</v>
      </c>
      <c r="E442" s="102">
        <v>12.9</v>
      </c>
      <c r="F442" s="218">
        <v>110</v>
      </c>
      <c r="G442" s="102">
        <v>8.1999999999999993</v>
      </c>
      <c r="H442" s="218">
        <v>2</v>
      </c>
      <c r="I442" s="102"/>
      <c r="J442" s="102">
        <v>1.9</v>
      </c>
      <c r="K442" s="218">
        <v>10</v>
      </c>
      <c r="L442" s="218">
        <v>27</v>
      </c>
      <c r="M442" s="218">
        <v>2800</v>
      </c>
      <c r="N442" s="218">
        <v>15</v>
      </c>
      <c r="O442" s="218">
        <v>3300</v>
      </c>
      <c r="P442" s="112"/>
      <c r="Q442">
        <f t="shared" si="12"/>
        <v>2016</v>
      </c>
      <c r="R442">
        <f t="shared" si="13"/>
        <v>4</v>
      </c>
      <c r="S442" s="112"/>
      <c r="T442" s="102"/>
    </row>
    <row r="443" spans="1:20">
      <c r="A443" s="117">
        <v>11</v>
      </c>
      <c r="B443" s="102" t="s">
        <v>256</v>
      </c>
      <c r="C443" s="206">
        <v>42507</v>
      </c>
      <c r="D443" s="102">
        <v>12.2</v>
      </c>
      <c r="E443" s="102">
        <v>13.4</v>
      </c>
      <c r="F443" s="218">
        <v>125</v>
      </c>
      <c r="G443" s="102">
        <v>8.5</v>
      </c>
      <c r="H443" s="218">
        <v>1.6</v>
      </c>
      <c r="I443" s="102"/>
      <c r="J443" s="102">
        <v>1.9</v>
      </c>
      <c r="K443" s="218">
        <v>6.8</v>
      </c>
      <c r="L443" s="218">
        <v>25</v>
      </c>
      <c r="M443" s="218">
        <v>2700</v>
      </c>
      <c r="N443" s="218">
        <v>73</v>
      </c>
      <c r="O443" s="218">
        <v>3100</v>
      </c>
      <c r="P443" s="112"/>
      <c r="Q443">
        <f t="shared" si="12"/>
        <v>2016</v>
      </c>
      <c r="R443">
        <f t="shared" si="13"/>
        <v>5</v>
      </c>
      <c r="S443" s="112"/>
      <c r="T443" s="102"/>
    </row>
    <row r="444" spans="1:20">
      <c r="A444" s="117">
        <v>11</v>
      </c>
      <c r="B444" s="102" t="s">
        <v>256</v>
      </c>
      <c r="C444" s="206">
        <v>42536</v>
      </c>
      <c r="D444" s="102">
        <v>15.4</v>
      </c>
      <c r="E444" s="102">
        <v>11.4</v>
      </c>
      <c r="F444" s="218">
        <v>116</v>
      </c>
      <c r="G444" s="102">
        <v>8.3000000000000007</v>
      </c>
      <c r="H444" s="218">
        <v>1.3</v>
      </c>
      <c r="I444" s="102"/>
      <c r="J444" s="102">
        <v>1.9</v>
      </c>
      <c r="K444" s="218">
        <v>28</v>
      </c>
      <c r="L444" s="218">
        <v>51</v>
      </c>
      <c r="M444" s="218">
        <v>2200</v>
      </c>
      <c r="N444" s="218">
        <v>31</v>
      </c>
      <c r="O444" s="218">
        <v>2800</v>
      </c>
      <c r="P444" s="112"/>
      <c r="Q444">
        <f t="shared" si="12"/>
        <v>2016</v>
      </c>
      <c r="R444">
        <f t="shared" si="13"/>
        <v>6</v>
      </c>
      <c r="S444" s="112"/>
      <c r="T444" s="102"/>
    </row>
    <row r="445" spans="1:20">
      <c r="A445" s="117">
        <v>11</v>
      </c>
      <c r="B445" s="102" t="s">
        <v>256</v>
      </c>
      <c r="C445" s="206">
        <v>42563</v>
      </c>
      <c r="D445" s="102">
        <v>17.7</v>
      </c>
      <c r="E445" s="102">
        <v>9.1999999999999993</v>
      </c>
      <c r="F445" s="218">
        <v>97</v>
      </c>
      <c r="G445" s="102">
        <v>8.1</v>
      </c>
      <c r="H445" s="218">
        <v>1.8</v>
      </c>
      <c r="I445" s="102"/>
      <c r="J445" s="102">
        <v>1.1000000000000001</v>
      </c>
      <c r="K445" s="218">
        <v>41</v>
      </c>
      <c r="L445" s="218">
        <v>68</v>
      </c>
      <c r="M445" s="218">
        <v>1600</v>
      </c>
      <c r="N445" s="218">
        <v>24</v>
      </c>
      <c r="O445" s="218">
        <v>2100</v>
      </c>
      <c r="P445" s="112"/>
      <c r="Q445">
        <f t="shared" si="12"/>
        <v>2016</v>
      </c>
      <c r="R445">
        <f t="shared" si="13"/>
        <v>7</v>
      </c>
      <c r="S445" s="112"/>
      <c r="T445" s="102"/>
    </row>
    <row r="446" spans="1:20">
      <c r="A446" s="117">
        <v>11</v>
      </c>
      <c r="B446" s="102" t="s">
        <v>256</v>
      </c>
      <c r="C446" s="206">
        <v>42592</v>
      </c>
      <c r="D446" s="102">
        <v>15.3</v>
      </c>
      <c r="E446" s="102">
        <v>11.96</v>
      </c>
      <c r="F446" s="218">
        <v>120.4</v>
      </c>
      <c r="G446" s="102">
        <v>8.3000000000000007</v>
      </c>
      <c r="H446" s="218">
        <v>0.65</v>
      </c>
      <c r="I446" s="102"/>
      <c r="J446" s="102" t="s">
        <v>287</v>
      </c>
      <c r="K446" s="218">
        <v>18</v>
      </c>
      <c r="L446" s="218">
        <v>30</v>
      </c>
      <c r="M446" s="218">
        <v>2000</v>
      </c>
      <c r="N446" s="218">
        <v>17</v>
      </c>
      <c r="O446" s="218">
        <v>2000</v>
      </c>
      <c r="P446" s="112"/>
      <c r="Q446">
        <f t="shared" si="12"/>
        <v>2016</v>
      </c>
      <c r="R446">
        <f t="shared" si="13"/>
        <v>8</v>
      </c>
      <c r="S446" s="112"/>
      <c r="T446" s="102"/>
    </row>
    <row r="447" spans="1:20">
      <c r="A447" s="117">
        <v>11</v>
      </c>
      <c r="B447" s="102" t="s">
        <v>256</v>
      </c>
      <c r="C447" s="206">
        <v>42625</v>
      </c>
      <c r="D447" s="102">
        <v>13.9</v>
      </c>
      <c r="E447" s="102">
        <v>9.6999999999999993</v>
      </c>
      <c r="F447" s="218">
        <v>93</v>
      </c>
      <c r="G447" s="102">
        <v>8.1</v>
      </c>
      <c r="H447" s="218">
        <v>0.94</v>
      </c>
      <c r="I447" s="102"/>
      <c r="J447" s="102">
        <v>0.98</v>
      </c>
      <c r="K447" s="218">
        <v>14</v>
      </c>
      <c r="L447" s="218">
        <v>37</v>
      </c>
      <c r="M447" s="218">
        <v>2200</v>
      </c>
      <c r="N447" s="218">
        <v>14</v>
      </c>
      <c r="O447" s="218">
        <v>2200</v>
      </c>
      <c r="P447" s="112"/>
      <c r="Q447">
        <f t="shared" si="12"/>
        <v>2016</v>
      </c>
      <c r="R447">
        <f t="shared" si="13"/>
        <v>9</v>
      </c>
      <c r="S447" s="112"/>
      <c r="T447" s="102"/>
    </row>
    <row r="448" spans="1:20">
      <c r="A448" s="117">
        <v>11</v>
      </c>
      <c r="B448" s="102" t="s">
        <v>256</v>
      </c>
      <c r="C448" s="206">
        <v>42661</v>
      </c>
      <c r="D448" s="102">
        <v>8.3000000000000007</v>
      </c>
      <c r="E448" s="102">
        <v>10.1</v>
      </c>
      <c r="F448" s="218">
        <v>86</v>
      </c>
      <c r="G448" s="102">
        <v>8</v>
      </c>
      <c r="H448" s="218">
        <v>0.82</v>
      </c>
      <c r="I448" s="102"/>
      <c r="J448" s="102">
        <v>0.98</v>
      </c>
      <c r="K448" s="218">
        <v>16</v>
      </c>
      <c r="L448" s="218">
        <v>42</v>
      </c>
      <c r="M448" s="218">
        <v>2500</v>
      </c>
      <c r="N448" s="218">
        <v>32</v>
      </c>
      <c r="O448" s="218">
        <v>2800</v>
      </c>
      <c r="P448" s="112"/>
      <c r="Q448">
        <f t="shared" si="12"/>
        <v>2016</v>
      </c>
      <c r="R448">
        <f t="shared" si="13"/>
        <v>10</v>
      </c>
      <c r="S448" s="112"/>
      <c r="T448" s="102"/>
    </row>
    <row r="449" spans="1:20">
      <c r="A449" s="117">
        <v>11</v>
      </c>
      <c r="B449" s="102" t="s">
        <v>256</v>
      </c>
      <c r="C449" s="206">
        <v>42690</v>
      </c>
      <c r="D449" s="102">
        <v>4.8</v>
      </c>
      <c r="E449" s="102">
        <v>11.6</v>
      </c>
      <c r="F449" s="218">
        <v>91</v>
      </c>
      <c r="G449" s="102">
        <v>8</v>
      </c>
      <c r="H449" s="218">
        <v>11</v>
      </c>
      <c r="I449" s="102"/>
      <c r="J449" s="102">
        <v>1.6</v>
      </c>
      <c r="K449" s="218">
        <v>39</v>
      </c>
      <c r="L449" s="218">
        <v>68</v>
      </c>
      <c r="M449" s="218">
        <v>5700</v>
      </c>
      <c r="N449" s="218">
        <v>28</v>
      </c>
      <c r="O449" s="218">
        <v>6500</v>
      </c>
      <c r="P449" s="112"/>
      <c r="Q449">
        <f t="shared" si="12"/>
        <v>2016</v>
      </c>
      <c r="R449">
        <f t="shared" si="13"/>
        <v>11</v>
      </c>
      <c r="S449" s="112"/>
      <c r="T449" s="102"/>
    </row>
    <row r="450" spans="1:20">
      <c r="A450" s="117">
        <v>11</v>
      </c>
      <c r="B450" s="102" t="s">
        <v>256</v>
      </c>
      <c r="C450" s="206">
        <v>42724</v>
      </c>
      <c r="D450" s="102">
        <v>3.9</v>
      </c>
      <c r="E450" s="102">
        <v>12.8</v>
      </c>
      <c r="F450" s="218">
        <v>96</v>
      </c>
      <c r="G450" s="102">
        <v>8.1999999999999993</v>
      </c>
      <c r="H450" s="218">
        <v>2.6</v>
      </c>
      <c r="I450" s="102"/>
      <c r="J450" s="102">
        <v>1.5</v>
      </c>
      <c r="K450" s="218">
        <v>30</v>
      </c>
      <c r="L450" s="218">
        <v>48</v>
      </c>
      <c r="M450" s="218">
        <v>5700</v>
      </c>
      <c r="N450" s="218">
        <v>26</v>
      </c>
      <c r="O450" s="218">
        <v>5700</v>
      </c>
      <c r="P450" s="112"/>
      <c r="Q450">
        <f t="shared" si="12"/>
        <v>2016</v>
      </c>
      <c r="R450">
        <f t="shared" si="13"/>
        <v>12</v>
      </c>
      <c r="S450" s="112"/>
      <c r="T450" s="102"/>
    </row>
    <row r="451" spans="1:20">
      <c r="A451" s="117">
        <v>11</v>
      </c>
      <c r="B451" s="102" t="s">
        <v>256</v>
      </c>
      <c r="C451" s="206">
        <v>42752</v>
      </c>
      <c r="D451" s="102">
        <v>-0.2</v>
      </c>
      <c r="E451" s="102">
        <v>14.4</v>
      </c>
      <c r="F451" s="218">
        <v>96</v>
      </c>
      <c r="G451" s="102">
        <v>8.1</v>
      </c>
      <c r="H451" s="218">
        <v>3.6</v>
      </c>
      <c r="I451" s="102"/>
      <c r="J451" s="102">
        <v>1.2</v>
      </c>
      <c r="K451" s="218">
        <v>31</v>
      </c>
      <c r="L451" s="218">
        <v>50</v>
      </c>
      <c r="M451" s="218">
        <v>4700</v>
      </c>
      <c r="N451" s="218">
        <v>60</v>
      </c>
      <c r="O451" s="218">
        <v>4500</v>
      </c>
      <c r="P451" s="112"/>
      <c r="Q451">
        <f t="shared" si="12"/>
        <v>2017</v>
      </c>
      <c r="R451">
        <f t="shared" si="13"/>
        <v>1</v>
      </c>
      <c r="S451" s="112"/>
      <c r="T451" s="102"/>
    </row>
    <row r="452" spans="1:20">
      <c r="A452" s="117">
        <v>11</v>
      </c>
      <c r="B452" s="102" t="s">
        <v>256</v>
      </c>
      <c r="C452" s="206">
        <v>42773</v>
      </c>
      <c r="D452" s="102">
        <v>0.7</v>
      </c>
      <c r="E452" s="102">
        <v>14.1</v>
      </c>
      <c r="F452" s="218">
        <v>97</v>
      </c>
      <c r="G452" s="102">
        <v>8.1999999999999993</v>
      </c>
      <c r="H452" s="218">
        <v>2.2999999999999998</v>
      </c>
      <c r="I452" s="102"/>
      <c r="J452" s="102">
        <v>1.8</v>
      </c>
      <c r="K452" s="218">
        <v>25</v>
      </c>
      <c r="L452" s="218">
        <v>42</v>
      </c>
      <c r="M452" s="218">
        <v>5300</v>
      </c>
      <c r="N452" s="218">
        <v>34</v>
      </c>
      <c r="O452" s="218">
        <v>5400</v>
      </c>
      <c r="P452" s="112"/>
      <c r="Q452">
        <f t="shared" si="12"/>
        <v>2017</v>
      </c>
      <c r="R452">
        <f t="shared" si="13"/>
        <v>2</v>
      </c>
      <c r="S452" s="112"/>
      <c r="T452" s="102"/>
    </row>
    <row r="453" spans="1:20">
      <c r="A453" s="117">
        <v>11</v>
      </c>
      <c r="B453" s="102" t="s">
        <v>256</v>
      </c>
      <c r="C453" s="206">
        <v>42808</v>
      </c>
      <c r="D453" s="102">
        <v>3.9</v>
      </c>
      <c r="E453" s="102">
        <v>12.9</v>
      </c>
      <c r="F453" s="218">
        <v>97</v>
      </c>
      <c r="G453" s="102">
        <v>8.1999999999999993</v>
      </c>
      <c r="H453" s="218">
        <v>1.3</v>
      </c>
      <c r="I453" s="102"/>
      <c r="J453" s="102">
        <v>1.7</v>
      </c>
      <c r="K453" s="218">
        <v>17</v>
      </c>
      <c r="L453" s="218">
        <v>31</v>
      </c>
      <c r="M453" s="218">
        <v>5500</v>
      </c>
      <c r="N453" s="218">
        <v>20</v>
      </c>
      <c r="O453" s="218">
        <v>5900</v>
      </c>
      <c r="P453" s="112"/>
      <c r="Q453">
        <f t="shared" si="12"/>
        <v>2017</v>
      </c>
      <c r="R453">
        <f t="shared" si="13"/>
        <v>3</v>
      </c>
      <c r="S453" s="112"/>
      <c r="T453" s="102"/>
    </row>
    <row r="454" spans="1:20">
      <c r="A454" s="117">
        <v>11</v>
      </c>
      <c r="B454" s="102" t="s">
        <v>256</v>
      </c>
      <c r="C454" s="206">
        <v>42837</v>
      </c>
      <c r="D454" s="102">
        <v>8.3000000000000007</v>
      </c>
      <c r="E454" s="102">
        <v>11</v>
      </c>
      <c r="F454" s="218">
        <v>95</v>
      </c>
      <c r="G454" s="102">
        <v>8.1999999999999993</v>
      </c>
      <c r="H454" s="218">
        <v>1.3</v>
      </c>
      <c r="I454" s="102"/>
      <c r="J454" s="102">
        <v>1.4</v>
      </c>
      <c r="K454" s="218">
        <v>9.3000000000000007</v>
      </c>
      <c r="L454" s="218">
        <v>22</v>
      </c>
      <c r="M454" s="218">
        <v>3400</v>
      </c>
      <c r="N454" s="218">
        <v>26</v>
      </c>
      <c r="O454" s="218">
        <v>3800</v>
      </c>
      <c r="P454" s="112"/>
      <c r="Q454">
        <f t="shared" si="12"/>
        <v>2017</v>
      </c>
      <c r="R454">
        <f t="shared" si="13"/>
        <v>4</v>
      </c>
      <c r="S454" s="112"/>
      <c r="T454" s="102"/>
    </row>
    <row r="455" spans="1:20">
      <c r="A455" s="117">
        <v>11</v>
      </c>
      <c r="B455" s="102" t="s">
        <v>256</v>
      </c>
      <c r="C455" s="206">
        <v>42871</v>
      </c>
      <c r="D455" s="102">
        <v>13.7</v>
      </c>
      <c r="E455" s="102">
        <v>12.6</v>
      </c>
      <c r="F455" s="218">
        <v>120</v>
      </c>
      <c r="G455" s="102">
        <v>8.3000000000000007</v>
      </c>
      <c r="H455" s="218">
        <v>1.3</v>
      </c>
      <c r="I455" s="102"/>
      <c r="J455" s="102">
        <v>2.6</v>
      </c>
      <c r="K455" s="218">
        <v>4.9000000000000004</v>
      </c>
      <c r="L455" s="218">
        <v>29</v>
      </c>
      <c r="M455" s="218">
        <v>1900</v>
      </c>
      <c r="N455" s="218">
        <v>27</v>
      </c>
      <c r="O455" s="218">
        <v>2200</v>
      </c>
      <c r="P455" s="112"/>
      <c r="Q455">
        <f t="shared" ref="Q455:Q518" si="14">YEAR(C455)</f>
        <v>2017</v>
      </c>
      <c r="R455">
        <f t="shared" ref="R455:R518" si="15">MONTH(C455)</f>
        <v>5</v>
      </c>
      <c r="S455" s="112"/>
      <c r="T455" s="102"/>
    </row>
    <row r="456" spans="1:20">
      <c r="A456" s="117">
        <v>11</v>
      </c>
      <c r="B456" s="102" t="s">
        <v>256</v>
      </c>
      <c r="C456" s="206">
        <v>42901</v>
      </c>
      <c r="D456" s="102">
        <v>16.399999999999999</v>
      </c>
      <c r="E456" s="102">
        <v>10.199999999999999</v>
      </c>
      <c r="F456" s="218">
        <v>104</v>
      </c>
      <c r="G456" s="102">
        <v>8.1999999999999993</v>
      </c>
      <c r="H456" s="218">
        <v>0.5</v>
      </c>
      <c r="I456" s="102"/>
      <c r="J456" s="102">
        <v>1.28</v>
      </c>
      <c r="K456" s="218">
        <v>47</v>
      </c>
      <c r="L456" s="218">
        <v>79</v>
      </c>
      <c r="M456" s="218">
        <v>1700</v>
      </c>
      <c r="N456" s="218">
        <v>39</v>
      </c>
      <c r="O456" s="218">
        <v>2300</v>
      </c>
      <c r="P456" s="112"/>
      <c r="Q456">
        <f t="shared" si="14"/>
        <v>2017</v>
      </c>
      <c r="R456">
        <f t="shared" si="15"/>
        <v>6</v>
      </c>
      <c r="S456" s="112"/>
      <c r="T456" s="102"/>
    </row>
    <row r="457" spans="1:20">
      <c r="A457" s="117">
        <v>11</v>
      </c>
      <c r="B457" s="102" t="s">
        <v>256</v>
      </c>
      <c r="C457" s="206">
        <v>42927</v>
      </c>
      <c r="D457" s="102">
        <v>17.5</v>
      </c>
      <c r="E457" s="102">
        <v>10.1</v>
      </c>
      <c r="F457" s="218">
        <v>107</v>
      </c>
      <c r="G457" s="102">
        <v>8.1999999999999993</v>
      </c>
      <c r="H457" s="218">
        <v>1.5</v>
      </c>
      <c r="I457" s="102"/>
      <c r="J457" s="102">
        <v>0.82</v>
      </c>
      <c r="K457" s="218">
        <v>7</v>
      </c>
      <c r="L457" s="218">
        <v>71</v>
      </c>
      <c r="M457" s="218">
        <v>1700</v>
      </c>
      <c r="N457" s="218">
        <v>41</v>
      </c>
      <c r="O457" s="218">
        <v>2300</v>
      </c>
      <c r="P457" s="112"/>
      <c r="Q457">
        <f t="shared" si="14"/>
        <v>2017</v>
      </c>
      <c r="R457">
        <f t="shared" si="15"/>
        <v>7</v>
      </c>
      <c r="S457" s="112"/>
      <c r="T457" s="102"/>
    </row>
    <row r="458" spans="1:20">
      <c r="A458" s="117">
        <v>11</v>
      </c>
      <c r="B458" s="102" t="s">
        <v>256</v>
      </c>
      <c r="C458" s="206">
        <v>42963</v>
      </c>
      <c r="D458" s="102">
        <v>16.5</v>
      </c>
      <c r="E458" s="102">
        <v>10.199999999999999</v>
      </c>
      <c r="F458" s="218">
        <v>104</v>
      </c>
      <c r="G458" s="102">
        <v>8.1999999999999993</v>
      </c>
      <c r="H458" s="218">
        <v>1.1000000000000001</v>
      </c>
      <c r="I458" s="102"/>
      <c r="J458" s="102">
        <v>0.8</v>
      </c>
      <c r="K458" s="218">
        <v>28</v>
      </c>
      <c r="L458" s="218">
        <v>64</v>
      </c>
      <c r="M458" s="218">
        <v>1900</v>
      </c>
      <c r="N458" s="218">
        <v>16</v>
      </c>
      <c r="O458" s="218">
        <v>2300</v>
      </c>
      <c r="P458" s="112"/>
      <c r="Q458">
        <f t="shared" si="14"/>
        <v>2017</v>
      </c>
      <c r="R458">
        <f t="shared" si="15"/>
        <v>8</v>
      </c>
      <c r="S458" s="112"/>
      <c r="T458" s="102"/>
    </row>
    <row r="459" spans="1:20">
      <c r="A459" s="117">
        <v>11</v>
      </c>
      <c r="B459" s="102" t="s">
        <v>256</v>
      </c>
      <c r="C459" s="206">
        <v>42990</v>
      </c>
      <c r="D459" s="102">
        <v>13.9</v>
      </c>
      <c r="E459" s="102">
        <v>8.6</v>
      </c>
      <c r="F459" s="218">
        <v>83</v>
      </c>
      <c r="G459" s="102">
        <v>8.1</v>
      </c>
      <c r="H459" s="218">
        <v>4.5999999999999996</v>
      </c>
      <c r="I459" s="102"/>
      <c r="J459" s="102">
        <v>1.6</v>
      </c>
      <c r="K459" s="218">
        <v>73</v>
      </c>
      <c r="L459" s="218">
        <v>100</v>
      </c>
      <c r="M459" s="218">
        <v>4700</v>
      </c>
      <c r="N459" s="218">
        <v>20</v>
      </c>
      <c r="O459" s="218">
        <v>5500</v>
      </c>
      <c r="P459" s="112"/>
      <c r="Q459">
        <f t="shared" si="14"/>
        <v>2017</v>
      </c>
      <c r="R459">
        <f t="shared" si="15"/>
        <v>9</v>
      </c>
      <c r="S459" s="112"/>
      <c r="T459" s="102"/>
    </row>
    <row r="460" spans="1:20">
      <c r="A460" s="117">
        <v>11</v>
      </c>
      <c r="B460" s="102" t="s">
        <v>256</v>
      </c>
      <c r="C460" s="206">
        <v>43027</v>
      </c>
      <c r="D460" s="102">
        <v>11.4</v>
      </c>
      <c r="E460" s="102">
        <v>9.6</v>
      </c>
      <c r="F460" s="218">
        <v>87</v>
      </c>
      <c r="G460" s="102">
        <v>8.1</v>
      </c>
      <c r="H460" s="218">
        <v>1.9</v>
      </c>
      <c r="I460" s="102"/>
      <c r="J460" s="102">
        <v>1.1000000000000001</v>
      </c>
      <c r="K460" s="218">
        <v>35</v>
      </c>
      <c r="L460" s="218">
        <v>54</v>
      </c>
      <c r="M460" s="218">
        <v>4100</v>
      </c>
      <c r="N460" s="218">
        <v>15</v>
      </c>
      <c r="O460" s="218">
        <v>3900</v>
      </c>
      <c r="P460" s="112"/>
      <c r="Q460">
        <f t="shared" si="14"/>
        <v>2017</v>
      </c>
      <c r="R460">
        <f t="shared" si="15"/>
        <v>10</v>
      </c>
      <c r="S460" s="112"/>
      <c r="T460" s="102"/>
    </row>
    <row r="461" spans="1:20">
      <c r="A461" s="117">
        <v>11</v>
      </c>
      <c r="B461" s="102" t="s">
        <v>256</v>
      </c>
      <c r="C461" s="206">
        <v>43053</v>
      </c>
      <c r="D461" s="102">
        <v>3.3</v>
      </c>
      <c r="E461" s="102">
        <v>12.7</v>
      </c>
      <c r="F461" s="218">
        <v>95</v>
      </c>
      <c r="G461" s="102">
        <v>8.1</v>
      </c>
      <c r="H461" s="218">
        <v>2.2999999999999998</v>
      </c>
      <c r="I461" s="102"/>
      <c r="J461" s="102">
        <v>1.7</v>
      </c>
      <c r="K461" s="218">
        <v>37</v>
      </c>
      <c r="L461" s="218">
        <v>52</v>
      </c>
      <c r="M461" s="218">
        <v>4400</v>
      </c>
      <c r="N461" s="218">
        <v>27</v>
      </c>
      <c r="O461" s="218">
        <v>4900</v>
      </c>
      <c r="P461" s="112"/>
      <c r="Q461">
        <f t="shared" si="14"/>
        <v>2017</v>
      </c>
      <c r="R461">
        <f t="shared" si="15"/>
        <v>11</v>
      </c>
      <c r="S461" s="112"/>
      <c r="T461" s="102"/>
    </row>
    <row r="462" spans="1:20">
      <c r="A462" s="117">
        <v>11</v>
      </c>
      <c r="B462" s="102" t="s">
        <v>256</v>
      </c>
      <c r="C462" s="206">
        <v>43081</v>
      </c>
      <c r="D462" s="102">
        <v>3.1</v>
      </c>
      <c r="E462" s="102">
        <v>12.4</v>
      </c>
      <c r="F462" s="218">
        <v>95</v>
      </c>
      <c r="G462" s="102">
        <v>8.1</v>
      </c>
      <c r="H462" s="218">
        <v>13</v>
      </c>
      <c r="I462" s="102"/>
      <c r="J462" s="102">
        <v>1.3</v>
      </c>
      <c r="K462" s="218">
        <v>41</v>
      </c>
      <c r="L462" s="218">
        <v>64</v>
      </c>
      <c r="M462" s="218">
        <v>4700</v>
      </c>
      <c r="N462" s="218">
        <v>53</v>
      </c>
      <c r="O462" s="218">
        <v>5500</v>
      </c>
      <c r="P462" s="112"/>
      <c r="Q462">
        <f t="shared" si="14"/>
        <v>2017</v>
      </c>
      <c r="R462">
        <f t="shared" si="15"/>
        <v>12</v>
      </c>
      <c r="S462" s="112"/>
      <c r="T462" s="102"/>
    </row>
    <row r="463" spans="1:20">
      <c r="A463" s="117">
        <v>11</v>
      </c>
      <c r="B463" s="102" t="s">
        <v>256</v>
      </c>
      <c r="C463" s="216">
        <v>43117</v>
      </c>
      <c r="D463">
        <v>2.9</v>
      </c>
      <c r="E463" s="116">
        <v>12.9</v>
      </c>
      <c r="F463" s="101">
        <v>96</v>
      </c>
      <c r="G463">
        <v>8.02</v>
      </c>
      <c r="H463" s="116">
        <v>9.9</v>
      </c>
      <c r="J463">
        <v>2.6</v>
      </c>
      <c r="K463">
        <v>35</v>
      </c>
      <c r="L463">
        <v>70</v>
      </c>
      <c r="M463">
        <v>4600</v>
      </c>
      <c r="N463">
        <v>100</v>
      </c>
      <c r="O463">
        <v>4800</v>
      </c>
      <c r="Q463">
        <f t="shared" si="14"/>
        <v>2018</v>
      </c>
      <c r="R463">
        <f t="shared" si="15"/>
        <v>1</v>
      </c>
    </row>
    <row r="464" spans="1:20">
      <c r="A464" s="117">
        <v>11</v>
      </c>
      <c r="B464" s="102" t="s">
        <v>256</v>
      </c>
      <c r="C464" s="216">
        <v>43151</v>
      </c>
      <c r="D464">
        <v>2.8</v>
      </c>
      <c r="E464" s="116">
        <v>12.3</v>
      </c>
      <c r="F464" s="101">
        <v>91</v>
      </c>
      <c r="G464">
        <v>8.0299999999999994</v>
      </c>
      <c r="H464" s="116">
        <v>9.3000000000000007</v>
      </c>
      <c r="J464">
        <v>2.5</v>
      </c>
      <c r="K464">
        <v>30</v>
      </c>
      <c r="L464">
        <v>51</v>
      </c>
      <c r="M464">
        <v>4800</v>
      </c>
      <c r="N464">
        <v>52</v>
      </c>
      <c r="O464">
        <v>4800</v>
      </c>
      <c r="Q464">
        <f t="shared" si="14"/>
        <v>2018</v>
      </c>
      <c r="R464">
        <f t="shared" si="15"/>
        <v>2</v>
      </c>
    </row>
    <row r="465" spans="1:20">
      <c r="A465" s="117">
        <v>11</v>
      </c>
      <c r="B465" s="102" t="s">
        <v>256</v>
      </c>
      <c r="C465" s="216">
        <v>43172</v>
      </c>
      <c r="D465">
        <v>2.6</v>
      </c>
      <c r="E465" s="116">
        <v>13</v>
      </c>
      <c r="F465" s="101">
        <v>96</v>
      </c>
      <c r="G465">
        <v>7.95</v>
      </c>
      <c r="H465" s="116">
        <v>37</v>
      </c>
      <c r="J465">
        <v>5.7</v>
      </c>
      <c r="K465">
        <v>43</v>
      </c>
      <c r="L465">
        <v>140</v>
      </c>
      <c r="M465">
        <v>3200</v>
      </c>
      <c r="N465">
        <v>230</v>
      </c>
      <c r="O465">
        <v>3900</v>
      </c>
      <c r="Q465">
        <f t="shared" si="14"/>
        <v>2018</v>
      </c>
      <c r="R465">
        <f t="shared" si="15"/>
        <v>3</v>
      </c>
    </row>
    <row r="466" spans="1:20">
      <c r="A466" s="117">
        <v>11</v>
      </c>
      <c r="B466" s="102" t="s">
        <v>256</v>
      </c>
      <c r="C466" s="216">
        <v>43200</v>
      </c>
      <c r="D466">
        <v>9</v>
      </c>
      <c r="E466" s="116">
        <v>11.4</v>
      </c>
      <c r="F466" s="101">
        <v>99</v>
      </c>
      <c r="G466">
        <v>8.1</v>
      </c>
      <c r="H466" s="116">
        <v>6.7</v>
      </c>
      <c r="J466">
        <v>2.5</v>
      </c>
      <c r="K466">
        <v>24</v>
      </c>
      <c r="L466">
        <v>47</v>
      </c>
      <c r="M466">
        <v>3800</v>
      </c>
      <c r="N466">
        <v>24</v>
      </c>
      <c r="O466">
        <v>3900</v>
      </c>
      <c r="Q466">
        <f t="shared" si="14"/>
        <v>2018</v>
      </c>
      <c r="R466">
        <f t="shared" si="15"/>
        <v>4</v>
      </c>
    </row>
    <row r="467" spans="1:20">
      <c r="A467" s="117">
        <v>11</v>
      </c>
      <c r="B467" s="102" t="s">
        <v>256</v>
      </c>
      <c r="C467" s="216">
        <v>43229</v>
      </c>
      <c r="D467">
        <v>14.9</v>
      </c>
      <c r="E467" s="116">
        <v>8.9</v>
      </c>
      <c r="F467" s="101">
        <v>88</v>
      </c>
      <c r="G467">
        <v>8.1999999999999993</v>
      </c>
      <c r="H467" s="116">
        <v>2</v>
      </c>
      <c r="J467">
        <v>2.4</v>
      </c>
      <c r="K467">
        <v>9.1999999999999993</v>
      </c>
      <c r="L467">
        <v>28</v>
      </c>
      <c r="M467">
        <v>2300</v>
      </c>
      <c r="N467">
        <v>29</v>
      </c>
      <c r="O467">
        <v>2700</v>
      </c>
      <c r="Q467">
        <f t="shared" si="14"/>
        <v>2018</v>
      </c>
      <c r="R467">
        <f t="shared" si="15"/>
        <v>5</v>
      </c>
    </row>
    <row r="468" spans="1:20">
      <c r="A468" s="117">
        <v>11</v>
      </c>
      <c r="B468" s="102" t="s">
        <v>256</v>
      </c>
      <c r="C468" s="216">
        <v>43270</v>
      </c>
      <c r="D468">
        <v>16.899999999999999</v>
      </c>
      <c r="E468" s="116">
        <v>9.1999999999999993</v>
      </c>
      <c r="F468" s="101">
        <v>95</v>
      </c>
      <c r="G468">
        <v>7.98</v>
      </c>
      <c r="H468" s="116">
        <v>2.2999999999999998</v>
      </c>
      <c r="J468">
        <v>2.2999999999999998</v>
      </c>
      <c r="K468">
        <v>38</v>
      </c>
      <c r="L468">
        <v>69</v>
      </c>
      <c r="M468">
        <v>2200</v>
      </c>
      <c r="N468">
        <v>30</v>
      </c>
      <c r="O468">
        <v>2600</v>
      </c>
      <c r="Q468">
        <f t="shared" si="14"/>
        <v>2018</v>
      </c>
      <c r="R468">
        <f t="shared" si="15"/>
        <v>6</v>
      </c>
    </row>
    <row r="469" spans="1:20">
      <c r="A469" s="117">
        <v>11</v>
      </c>
      <c r="B469" s="102" t="s">
        <v>256</v>
      </c>
      <c r="C469" s="216">
        <v>43297</v>
      </c>
      <c r="D469">
        <v>17.8</v>
      </c>
      <c r="E469" s="116">
        <v>7.6</v>
      </c>
      <c r="F469" s="101">
        <v>80</v>
      </c>
      <c r="G469">
        <v>7.6</v>
      </c>
      <c r="H469" s="116">
        <v>1.2</v>
      </c>
      <c r="J469">
        <v>2.4</v>
      </c>
      <c r="K469">
        <v>23</v>
      </c>
      <c r="L469">
        <v>40</v>
      </c>
      <c r="M469">
        <v>2200</v>
      </c>
      <c r="N469">
        <v>34</v>
      </c>
      <c r="O469">
        <v>2700</v>
      </c>
      <c r="Q469">
        <f t="shared" si="14"/>
        <v>2018</v>
      </c>
      <c r="R469">
        <f t="shared" si="15"/>
        <v>7</v>
      </c>
    </row>
    <row r="470" spans="1:20">
      <c r="A470" s="117">
        <v>11</v>
      </c>
      <c r="B470" s="102" t="s">
        <v>256</v>
      </c>
      <c r="C470" s="216">
        <v>43333</v>
      </c>
      <c r="D470">
        <v>16</v>
      </c>
      <c r="E470" s="116">
        <v>8.6</v>
      </c>
      <c r="F470" s="101">
        <v>87</v>
      </c>
      <c r="G470">
        <v>7.86</v>
      </c>
      <c r="H470" s="116">
        <v>1.2</v>
      </c>
      <c r="J470">
        <v>2</v>
      </c>
      <c r="K470">
        <v>23</v>
      </c>
      <c r="L470">
        <v>40</v>
      </c>
      <c r="M470">
        <v>2000</v>
      </c>
      <c r="N470">
        <v>32</v>
      </c>
      <c r="O470">
        <v>2400</v>
      </c>
      <c r="Q470">
        <f t="shared" si="14"/>
        <v>2018</v>
      </c>
      <c r="R470">
        <f t="shared" si="15"/>
        <v>8</v>
      </c>
    </row>
    <row r="471" spans="1:20">
      <c r="A471" s="117">
        <v>11</v>
      </c>
      <c r="B471" s="102" t="s">
        <v>256</v>
      </c>
      <c r="C471" s="216">
        <v>43361</v>
      </c>
      <c r="D471">
        <v>13</v>
      </c>
      <c r="E471" s="116">
        <v>8.6</v>
      </c>
      <c r="F471" s="101">
        <v>82</v>
      </c>
      <c r="G471">
        <v>7.78</v>
      </c>
      <c r="H471" s="116">
        <v>1.4</v>
      </c>
      <c r="J471">
        <v>1.4</v>
      </c>
      <c r="K471">
        <v>16</v>
      </c>
      <c r="L471">
        <v>32</v>
      </c>
      <c r="M471">
        <v>2200</v>
      </c>
      <c r="N471">
        <v>39</v>
      </c>
      <c r="O471">
        <v>2500</v>
      </c>
      <c r="Q471">
        <f t="shared" si="14"/>
        <v>2018</v>
      </c>
      <c r="R471">
        <f t="shared" si="15"/>
        <v>9</v>
      </c>
    </row>
    <row r="472" spans="1:20">
      <c r="A472" s="117">
        <v>11</v>
      </c>
      <c r="B472" s="102" t="s">
        <v>256</v>
      </c>
      <c r="C472" s="216">
        <v>43389</v>
      </c>
      <c r="D472">
        <v>9.8000000000000007</v>
      </c>
      <c r="E472" s="116">
        <v>10.4</v>
      </c>
      <c r="F472" s="101">
        <v>92</v>
      </c>
      <c r="G472">
        <v>7.71</v>
      </c>
      <c r="H472" s="116">
        <v>1.9</v>
      </c>
      <c r="J472">
        <v>2.1</v>
      </c>
      <c r="K472" t="s">
        <v>149</v>
      </c>
      <c r="L472">
        <v>30</v>
      </c>
      <c r="M472">
        <v>2000</v>
      </c>
      <c r="N472">
        <v>56</v>
      </c>
      <c r="O472">
        <v>2200</v>
      </c>
      <c r="Q472">
        <f t="shared" si="14"/>
        <v>2018</v>
      </c>
      <c r="R472">
        <f t="shared" si="15"/>
        <v>10</v>
      </c>
    </row>
    <row r="473" spans="1:20">
      <c r="A473" s="117">
        <v>11</v>
      </c>
      <c r="B473" s="102" t="s">
        <v>256</v>
      </c>
      <c r="C473" s="216">
        <v>43424</v>
      </c>
      <c r="D473">
        <v>5.8</v>
      </c>
      <c r="E473" s="116">
        <v>11.4</v>
      </c>
      <c r="F473" s="101">
        <v>91</v>
      </c>
      <c r="G473">
        <v>7.78</v>
      </c>
      <c r="H473" s="116">
        <v>2.6</v>
      </c>
      <c r="J473">
        <v>2.8</v>
      </c>
      <c r="K473">
        <v>27</v>
      </c>
      <c r="L473" s="218">
        <v>43</v>
      </c>
      <c r="M473">
        <v>1800</v>
      </c>
      <c r="N473">
        <v>40</v>
      </c>
      <c r="O473">
        <v>2100</v>
      </c>
      <c r="Q473">
        <f t="shared" si="14"/>
        <v>2018</v>
      </c>
      <c r="R473">
        <f t="shared" si="15"/>
        <v>11</v>
      </c>
    </row>
    <row r="474" spans="1:20">
      <c r="A474" s="117">
        <v>11</v>
      </c>
      <c r="B474" s="102" t="s">
        <v>256</v>
      </c>
      <c r="C474" s="206">
        <v>43447</v>
      </c>
      <c r="D474" s="102">
        <v>3</v>
      </c>
      <c r="E474" s="102">
        <v>12.8</v>
      </c>
      <c r="F474" s="218">
        <v>95</v>
      </c>
      <c r="G474" s="102">
        <v>7.81</v>
      </c>
      <c r="H474" s="218">
        <v>4.0999999999999996</v>
      </c>
      <c r="I474" s="102"/>
      <c r="J474" s="102">
        <v>2.5</v>
      </c>
      <c r="K474" s="218">
        <v>29</v>
      </c>
      <c r="L474" s="218">
        <v>59</v>
      </c>
      <c r="M474" s="218">
        <v>13000</v>
      </c>
      <c r="N474" s="218">
        <v>49</v>
      </c>
      <c r="O474" s="218">
        <v>12000</v>
      </c>
      <c r="P474" s="112"/>
      <c r="Q474">
        <f t="shared" si="14"/>
        <v>2018</v>
      </c>
      <c r="R474">
        <f t="shared" si="15"/>
        <v>12</v>
      </c>
      <c r="S474" s="112"/>
      <c r="T474" s="102"/>
    </row>
    <row r="475" spans="1:20">
      <c r="A475" s="117">
        <v>11</v>
      </c>
      <c r="B475" s="102" t="s">
        <v>256</v>
      </c>
      <c r="C475" s="206">
        <v>43475</v>
      </c>
      <c r="D475" s="102">
        <v>2.4</v>
      </c>
      <c r="E475" s="102">
        <v>13.3</v>
      </c>
      <c r="F475" s="218">
        <v>97</v>
      </c>
      <c r="G475" s="102">
        <v>8.0399999999999991</v>
      </c>
      <c r="H475" s="218">
        <v>3.8</v>
      </c>
      <c r="I475" s="102"/>
      <c r="J475" s="102">
        <v>2.8</v>
      </c>
      <c r="K475" s="218">
        <v>25</v>
      </c>
      <c r="L475" s="218">
        <v>42</v>
      </c>
      <c r="M475" s="218">
        <v>8200</v>
      </c>
      <c r="N475" s="218">
        <v>20</v>
      </c>
      <c r="O475" s="218">
        <v>8300</v>
      </c>
      <c r="P475" s="112"/>
      <c r="Q475">
        <f t="shared" si="14"/>
        <v>2019</v>
      </c>
      <c r="R475">
        <f t="shared" si="15"/>
        <v>1</v>
      </c>
      <c r="S475" s="112"/>
      <c r="T475" s="102"/>
    </row>
    <row r="476" spans="1:20">
      <c r="A476" s="117">
        <v>11</v>
      </c>
      <c r="B476" s="102" t="s">
        <v>256</v>
      </c>
      <c r="C476" s="206">
        <v>43515</v>
      </c>
      <c r="D476" s="102">
        <v>5.2</v>
      </c>
      <c r="E476" s="102">
        <v>12.4</v>
      </c>
      <c r="F476" s="218">
        <v>98</v>
      </c>
      <c r="G476" s="102">
        <v>8.0399999999999991</v>
      </c>
      <c r="H476" s="218">
        <v>3.5</v>
      </c>
      <c r="I476" s="102"/>
      <c r="J476" s="102">
        <v>2.1</v>
      </c>
      <c r="K476" s="218">
        <v>22</v>
      </c>
      <c r="L476" s="218">
        <v>44</v>
      </c>
      <c r="M476" s="218">
        <v>8400</v>
      </c>
      <c r="N476" s="218">
        <v>87</v>
      </c>
      <c r="O476" s="218">
        <v>8500</v>
      </c>
      <c r="P476" s="112"/>
      <c r="Q476">
        <f t="shared" si="14"/>
        <v>2019</v>
      </c>
      <c r="R476">
        <f t="shared" si="15"/>
        <v>2</v>
      </c>
      <c r="S476" s="112"/>
      <c r="T476" s="102"/>
    </row>
    <row r="477" spans="1:20">
      <c r="A477" s="117">
        <v>11</v>
      </c>
      <c r="B477" s="102" t="s">
        <v>256</v>
      </c>
      <c r="C477" s="206">
        <v>43536</v>
      </c>
      <c r="D477" s="102">
        <v>4.2</v>
      </c>
      <c r="E477" s="102">
        <v>13.5</v>
      </c>
      <c r="F477" s="218">
        <v>104</v>
      </c>
      <c r="G477" s="102">
        <v>8.09</v>
      </c>
      <c r="H477" s="218">
        <v>9.4</v>
      </c>
      <c r="I477" s="102"/>
      <c r="J477" s="102">
        <v>3.0999999999999996</v>
      </c>
      <c r="K477" s="218">
        <v>23</v>
      </c>
      <c r="L477" s="218">
        <v>55</v>
      </c>
      <c r="M477" s="218">
        <v>7400</v>
      </c>
      <c r="N477" s="218">
        <v>14</v>
      </c>
      <c r="O477" s="218">
        <v>7800</v>
      </c>
      <c r="P477" s="112"/>
      <c r="Q477">
        <f t="shared" si="14"/>
        <v>2019</v>
      </c>
      <c r="R477">
        <f t="shared" si="15"/>
        <v>3</v>
      </c>
      <c r="S477" s="112"/>
      <c r="T477" s="102"/>
    </row>
    <row r="478" spans="1:20">
      <c r="A478" s="117">
        <v>11</v>
      </c>
      <c r="B478" s="102" t="s">
        <v>256</v>
      </c>
      <c r="C478" s="124">
        <v>43571</v>
      </c>
      <c r="D478" s="192">
        <v>6.3</v>
      </c>
      <c r="E478" s="192">
        <v>12.9</v>
      </c>
      <c r="F478" s="204">
        <v>105</v>
      </c>
      <c r="G478" s="192">
        <v>8.14</v>
      </c>
      <c r="H478" s="195">
        <v>1.7</v>
      </c>
      <c r="I478" s="192"/>
      <c r="J478" s="192">
        <v>2.9000000000000004</v>
      </c>
      <c r="K478" s="195">
        <v>6.6</v>
      </c>
      <c r="L478" s="195">
        <v>14</v>
      </c>
      <c r="M478" s="195">
        <v>3500</v>
      </c>
      <c r="N478" s="195">
        <v>32</v>
      </c>
      <c r="O478" s="195">
        <v>3800</v>
      </c>
      <c r="P478" s="202"/>
      <c r="Q478">
        <f t="shared" si="14"/>
        <v>2019</v>
      </c>
      <c r="R478">
        <f t="shared" si="15"/>
        <v>4</v>
      </c>
      <c r="T478" s="102"/>
    </row>
    <row r="479" spans="1:20">
      <c r="A479" s="117">
        <v>11</v>
      </c>
      <c r="B479" s="102" t="s">
        <v>256</v>
      </c>
      <c r="C479" s="124">
        <v>43600</v>
      </c>
      <c r="D479" s="192">
        <v>13</v>
      </c>
      <c r="E479" s="192">
        <v>13.7</v>
      </c>
      <c r="F479" s="204">
        <v>130</v>
      </c>
      <c r="G479" s="192">
        <v>8.43</v>
      </c>
      <c r="H479" s="192">
        <v>1.3</v>
      </c>
      <c r="I479" s="193"/>
      <c r="J479" s="193">
        <v>3.0499999999999989</v>
      </c>
      <c r="K479" s="189">
        <v>15</v>
      </c>
      <c r="L479" s="195">
        <v>30</v>
      </c>
      <c r="M479" s="195">
        <v>1800</v>
      </c>
      <c r="N479" s="195">
        <v>14</v>
      </c>
      <c r="O479" s="195">
        <v>2400</v>
      </c>
      <c r="P479" s="200"/>
      <c r="Q479">
        <f t="shared" si="14"/>
        <v>2019</v>
      </c>
      <c r="R479">
        <f t="shared" si="15"/>
        <v>5</v>
      </c>
      <c r="T479" s="102"/>
    </row>
    <row r="480" spans="1:20">
      <c r="A480" s="117">
        <v>11</v>
      </c>
      <c r="B480" s="102" t="s">
        <v>256</v>
      </c>
      <c r="C480" s="125">
        <v>43635</v>
      </c>
      <c r="D480" s="192">
        <v>19.7</v>
      </c>
      <c r="E480" s="192">
        <v>8.6</v>
      </c>
      <c r="F480" s="204">
        <v>94</v>
      </c>
      <c r="G480" s="192">
        <v>7.96</v>
      </c>
      <c r="H480" s="195">
        <v>3.4</v>
      </c>
      <c r="I480" s="192"/>
      <c r="J480" s="192">
        <v>1.9999999999999991</v>
      </c>
      <c r="K480" s="195">
        <v>51</v>
      </c>
      <c r="L480" s="195">
        <v>96</v>
      </c>
      <c r="M480" s="195">
        <v>2400</v>
      </c>
      <c r="N480" s="195">
        <v>48</v>
      </c>
      <c r="O480" s="195">
        <v>3500</v>
      </c>
      <c r="P480" s="200"/>
      <c r="Q480">
        <f t="shared" si="14"/>
        <v>2019</v>
      </c>
      <c r="R480">
        <f t="shared" si="15"/>
        <v>6</v>
      </c>
      <c r="T480" s="102"/>
    </row>
    <row r="481" spans="1:20">
      <c r="A481" s="117">
        <v>11</v>
      </c>
      <c r="B481" s="102" t="s">
        <v>256</v>
      </c>
      <c r="C481" s="206">
        <v>43662</v>
      </c>
      <c r="D481" s="193">
        <v>15.1</v>
      </c>
      <c r="E481" s="193">
        <v>8.6</v>
      </c>
      <c r="F481" s="188">
        <v>86</v>
      </c>
      <c r="G481" s="193">
        <v>8</v>
      </c>
      <c r="H481" s="189">
        <v>1.5</v>
      </c>
      <c r="I481" s="193"/>
      <c r="J481" s="193">
        <v>1.7</v>
      </c>
      <c r="K481" s="189">
        <v>42</v>
      </c>
      <c r="L481" s="189">
        <v>62</v>
      </c>
      <c r="M481" s="189">
        <v>2000</v>
      </c>
      <c r="N481" s="189">
        <v>30</v>
      </c>
      <c r="O481" s="189">
        <v>2100</v>
      </c>
      <c r="P481" s="200"/>
      <c r="Q481">
        <f t="shared" si="14"/>
        <v>2019</v>
      </c>
      <c r="R481">
        <f t="shared" si="15"/>
        <v>7</v>
      </c>
      <c r="T481" s="102"/>
    </row>
    <row r="482" spans="1:20">
      <c r="A482" s="117">
        <v>11</v>
      </c>
      <c r="B482" s="102" t="s">
        <v>256</v>
      </c>
      <c r="C482" s="216">
        <v>43698</v>
      </c>
      <c r="D482">
        <v>15.5</v>
      </c>
      <c r="E482" s="116">
        <v>10.1</v>
      </c>
      <c r="F482" s="101">
        <v>102</v>
      </c>
      <c r="G482">
        <v>8.09</v>
      </c>
      <c r="H482" s="116">
        <v>1.3</v>
      </c>
      <c r="J482">
        <v>3.9000000000000004</v>
      </c>
      <c r="K482">
        <v>28</v>
      </c>
      <c r="L482">
        <v>43</v>
      </c>
      <c r="M482">
        <v>2100</v>
      </c>
      <c r="N482">
        <v>23</v>
      </c>
      <c r="O482">
        <v>2200</v>
      </c>
      <c r="Q482">
        <f t="shared" si="14"/>
        <v>2019</v>
      </c>
      <c r="R482">
        <f t="shared" si="15"/>
        <v>8</v>
      </c>
    </row>
    <row r="483" spans="1:20">
      <c r="A483" s="117">
        <v>11</v>
      </c>
      <c r="B483" s="102" t="s">
        <v>256</v>
      </c>
      <c r="C483" s="125">
        <v>43725</v>
      </c>
      <c r="D483" s="193">
        <v>11.7</v>
      </c>
      <c r="E483" s="193">
        <v>9.3000000000000007</v>
      </c>
      <c r="F483" s="204">
        <v>86</v>
      </c>
      <c r="G483" s="193">
        <v>7.9649999999999999</v>
      </c>
      <c r="H483" s="193">
        <v>1.2</v>
      </c>
      <c r="I483" s="193"/>
      <c r="J483" s="193">
        <v>1.25</v>
      </c>
      <c r="K483" s="189">
        <v>36</v>
      </c>
      <c r="L483" s="189">
        <v>51</v>
      </c>
      <c r="M483" s="189">
        <v>1700</v>
      </c>
      <c r="N483" s="189">
        <v>16</v>
      </c>
      <c r="O483" s="189">
        <v>2100</v>
      </c>
      <c r="P483" s="200"/>
      <c r="Q483">
        <f t="shared" si="14"/>
        <v>2019</v>
      </c>
      <c r="R483">
        <f t="shared" si="15"/>
        <v>9</v>
      </c>
      <c r="T483" s="102"/>
    </row>
    <row r="484" spans="1:20">
      <c r="A484" s="117">
        <v>11</v>
      </c>
      <c r="B484" s="102" t="s">
        <v>256</v>
      </c>
      <c r="C484" s="213">
        <v>43748</v>
      </c>
      <c r="D484" s="193">
        <v>9.1999999999999993</v>
      </c>
      <c r="E484" s="193">
        <v>10.3</v>
      </c>
      <c r="F484" s="204">
        <v>90</v>
      </c>
      <c r="G484" s="193">
        <v>8</v>
      </c>
      <c r="H484" s="193">
        <v>1.2</v>
      </c>
      <c r="I484" s="193"/>
      <c r="J484" s="193">
        <v>1.7</v>
      </c>
      <c r="K484" s="189">
        <v>17</v>
      </c>
      <c r="L484" s="189">
        <v>27</v>
      </c>
      <c r="M484" s="189">
        <v>2400</v>
      </c>
      <c r="N484" s="189">
        <v>23</v>
      </c>
      <c r="O484" s="189">
        <v>2700</v>
      </c>
      <c r="P484" s="200"/>
      <c r="Q484">
        <f t="shared" si="14"/>
        <v>2019</v>
      </c>
      <c r="R484">
        <f t="shared" si="15"/>
        <v>10</v>
      </c>
      <c r="T484" s="102"/>
    </row>
    <row r="485" spans="1:20">
      <c r="A485" s="117">
        <v>11</v>
      </c>
      <c r="B485" s="102" t="s">
        <v>256</v>
      </c>
      <c r="C485" s="216">
        <v>43782</v>
      </c>
      <c r="D485">
        <v>5.9</v>
      </c>
      <c r="E485" s="116">
        <v>11.5</v>
      </c>
      <c r="F485" s="101">
        <v>92</v>
      </c>
      <c r="G485">
        <v>8.01</v>
      </c>
      <c r="H485" s="116">
        <v>2.2999999999999998</v>
      </c>
      <c r="J485">
        <v>2.1</v>
      </c>
      <c r="K485">
        <v>27</v>
      </c>
      <c r="L485">
        <v>53</v>
      </c>
      <c r="M485">
        <v>6600</v>
      </c>
      <c r="N485">
        <v>28</v>
      </c>
      <c r="O485">
        <v>6900</v>
      </c>
      <c r="Q485">
        <f t="shared" si="14"/>
        <v>2019</v>
      </c>
      <c r="R485">
        <f t="shared" si="15"/>
        <v>11</v>
      </c>
    </row>
    <row r="486" spans="1:20">
      <c r="A486" s="117">
        <v>11</v>
      </c>
      <c r="B486" s="102" t="s">
        <v>256</v>
      </c>
      <c r="C486" s="216">
        <v>43812</v>
      </c>
      <c r="D486">
        <v>4.7</v>
      </c>
      <c r="E486" s="116">
        <v>12.2</v>
      </c>
      <c r="F486" s="101">
        <v>95</v>
      </c>
      <c r="G486">
        <v>7.92</v>
      </c>
      <c r="H486" s="116">
        <v>20.6</v>
      </c>
      <c r="J486">
        <v>3</v>
      </c>
      <c r="K486">
        <v>50</v>
      </c>
      <c r="L486">
        <v>120</v>
      </c>
      <c r="M486">
        <v>9000</v>
      </c>
      <c r="N486">
        <v>47</v>
      </c>
      <c r="O486">
        <v>9700</v>
      </c>
      <c r="Q486">
        <f t="shared" si="14"/>
        <v>2019</v>
      </c>
      <c r="R486">
        <f t="shared" si="15"/>
        <v>12</v>
      </c>
    </row>
    <row r="487" spans="1:20">
      <c r="A487" s="117">
        <v>13</v>
      </c>
      <c r="B487" s="102" t="s">
        <v>257</v>
      </c>
      <c r="C487" s="206">
        <v>40225</v>
      </c>
      <c r="D487" s="102">
        <v>0.1</v>
      </c>
      <c r="E487" s="102">
        <v>9.5</v>
      </c>
      <c r="F487" s="218">
        <v>65</v>
      </c>
      <c r="G487" s="102">
        <v>7.96</v>
      </c>
      <c r="H487" s="218">
        <v>3.3</v>
      </c>
      <c r="I487" s="102"/>
      <c r="J487" s="102">
        <v>7.5</v>
      </c>
      <c r="K487" s="218">
        <v>41</v>
      </c>
      <c r="L487" s="218">
        <v>46</v>
      </c>
      <c r="M487" s="218">
        <v>3400</v>
      </c>
      <c r="N487" s="218">
        <v>60</v>
      </c>
      <c r="O487" s="218">
        <v>4300</v>
      </c>
      <c r="P487" s="112"/>
      <c r="Q487">
        <f t="shared" si="14"/>
        <v>2010</v>
      </c>
      <c r="R487">
        <f t="shared" si="15"/>
        <v>2</v>
      </c>
      <c r="S487" s="112"/>
      <c r="T487" s="102"/>
    </row>
    <row r="488" spans="1:20">
      <c r="A488" s="117">
        <v>13</v>
      </c>
      <c r="B488" s="102" t="s">
        <v>257</v>
      </c>
      <c r="C488" s="206">
        <v>40290</v>
      </c>
      <c r="D488" s="102">
        <v>5.7</v>
      </c>
      <c r="E488" s="102">
        <v>8.1</v>
      </c>
      <c r="F488" s="218">
        <v>65</v>
      </c>
      <c r="G488" s="102">
        <v>8.3000000000000007</v>
      </c>
      <c r="H488" s="218">
        <v>1.8</v>
      </c>
      <c r="I488" s="102"/>
      <c r="J488" s="102">
        <v>4.7</v>
      </c>
      <c r="K488" s="218">
        <v>10</v>
      </c>
      <c r="L488" s="218">
        <v>14</v>
      </c>
      <c r="M488" s="218">
        <v>3400</v>
      </c>
      <c r="N488" s="218">
        <v>20</v>
      </c>
      <c r="O488" s="218">
        <v>4100</v>
      </c>
      <c r="P488" s="112"/>
      <c r="Q488">
        <f t="shared" si="14"/>
        <v>2010</v>
      </c>
      <c r="R488">
        <f t="shared" si="15"/>
        <v>4</v>
      </c>
      <c r="S488" s="112"/>
      <c r="T488" s="102"/>
    </row>
    <row r="489" spans="1:20">
      <c r="A489" s="117">
        <v>13</v>
      </c>
      <c r="B489" s="102" t="s">
        <v>257</v>
      </c>
      <c r="C489" s="206">
        <v>40346</v>
      </c>
      <c r="D489" s="102">
        <v>16.399999999999999</v>
      </c>
      <c r="E489" s="102">
        <v>10.5</v>
      </c>
      <c r="F489" s="218">
        <v>108</v>
      </c>
      <c r="G489" s="102">
        <v>8.2200000000000006</v>
      </c>
      <c r="H489" s="218">
        <v>2.8</v>
      </c>
      <c r="I489" s="102"/>
      <c r="J489" s="102">
        <v>2.9</v>
      </c>
      <c r="K489" s="218">
        <v>53</v>
      </c>
      <c r="L489" s="218">
        <v>100</v>
      </c>
      <c r="M489" s="218">
        <v>1600</v>
      </c>
      <c r="N489" s="218">
        <v>11</v>
      </c>
      <c r="O489" s="218">
        <v>2300</v>
      </c>
      <c r="P489" s="112"/>
      <c r="Q489">
        <f t="shared" si="14"/>
        <v>2010</v>
      </c>
      <c r="R489">
        <f t="shared" si="15"/>
        <v>6</v>
      </c>
      <c r="S489" s="112"/>
      <c r="T489" s="102"/>
    </row>
    <row r="490" spans="1:20">
      <c r="A490" s="117">
        <v>13</v>
      </c>
      <c r="B490" s="102" t="s">
        <v>257</v>
      </c>
      <c r="C490" s="206">
        <v>40416</v>
      </c>
      <c r="D490" s="102">
        <v>13.8</v>
      </c>
      <c r="E490" s="102">
        <v>9.5399999999999991</v>
      </c>
      <c r="F490" s="218">
        <v>92</v>
      </c>
      <c r="G490" s="102">
        <v>8.11</v>
      </c>
      <c r="H490" s="218">
        <v>1.9</v>
      </c>
      <c r="I490" s="102"/>
      <c r="J490" s="102">
        <v>2</v>
      </c>
      <c r="K490" s="218">
        <v>93</v>
      </c>
      <c r="L490" s="218">
        <v>120</v>
      </c>
      <c r="M490" s="218">
        <v>1300</v>
      </c>
      <c r="N490" s="218">
        <v>27</v>
      </c>
      <c r="O490" s="218">
        <v>1900</v>
      </c>
      <c r="P490" s="112"/>
      <c r="Q490">
        <f t="shared" si="14"/>
        <v>2010</v>
      </c>
      <c r="R490">
        <f t="shared" si="15"/>
        <v>8</v>
      </c>
      <c r="S490" s="112"/>
      <c r="T490" s="102"/>
    </row>
    <row r="491" spans="1:20">
      <c r="A491" s="117">
        <v>13</v>
      </c>
      <c r="B491" s="102" t="s">
        <v>257</v>
      </c>
      <c r="C491" s="206">
        <v>40471</v>
      </c>
      <c r="D491" s="102">
        <v>7.1</v>
      </c>
      <c r="E491" s="102">
        <v>10.199999999999999</v>
      </c>
      <c r="F491" s="218">
        <v>84</v>
      </c>
      <c r="G491" s="102">
        <v>8</v>
      </c>
      <c r="H491" s="218">
        <v>2</v>
      </c>
      <c r="I491" s="102"/>
      <c r="J491" s="102">
        <v>2.6</v>
      </c>
      <c r="K491" s="218">
        <v>25</v>
      </c>
      <c r="L491" s="218">
        <v>49</v>
      </c>
      <c r="M491" s="218">
        <v>1500</v>
      </c>
      <c r="N491" s="218" t="s">
        <v>148</v>
      </c>
      <c r="O491" s="218">
        <v>2000</v>
      </c>
      <c r="P491" s="112"/>
      <c r="Q491">
        <f t="shared" si="14"/>
        <v>2010</v>
      </c>
      <c r="R491">
        <f t="shared" si="15"/>
        <v>10</v>
      </c>
      <c r="S491" s="112"/>
      <c r="T491" s="102"/>
    </row>
    <row r="492" spans="1:20">
      <c r="A492" s="117">
        <v>13</v>
      </c>
      <c r="B492" s="102" t="s">
        <v>257</v>
      </c>
      <c r="C492" s="206">
        <v>40526</v>
      </c>
      <c r="D492" s="102">
        <v>0.1</v>
      </c>
      <c r="E492" s="102">
        <v>14.2</v>
      </c>
      <c r="F492" s="218">
        <v>97</v>
      </c>
      <c r="G492" s="102">
        <v>7.93</v>
      </c>
      <c r="H492" s="218">
        <v>2.2999999999999998</v>
      </c>
      <c r="I492" s="102"/>
      <c r="J492" s="102">
        <v>2.7</v>
      </c>
      <c r="K492" s="218">
        <v>37</v>
      </c>
      <c r="L492" s="218">
        <v>55</v>
      </c>
      <c r="M492" s="218">
        <v>6900</v>
      </c>
      <c r="N492" s="218">
        <v>57</v>
      </c>
      <c r="O492" s="218">
        <v>7700</v>
      </c>
      <c r="P492" s="112"/>
      <c r="Q492">
        <f t="shared" si="14"/>
        <v>2010</v>
      </c>
      <c r="R492">
        <f t="shared" si="15"/>
        <v>12</v>
      </c>
      <c r="S492" s="112"/>
      <c r="T492" s="102"/>
    </row>
    <row r="493" spans="1:20">
      <c r="A493" s="117">
        <v>13</v>
      </c>
      <c r="B493" s="102" t="s">
        <v>257</v>
      </c>
      <c r="C493" s="206">
        <v>40589</v>
      </c>
      <c r="D493" s="102">
        <v>0</v>
      </c>
      <c r="E493" s="102">
        <v>13.9</v>
      </c>
      <c r="F493" s="218">
        <v>95</v>
      </c>
      <c r="G493" s="102">
        <v>8.0399999999999991</v>
      </c>
      <c r="H493" s="218">
        <v>3.6</v>
      </c>
      <c r="I493" s="102"/>
      <c r="J493" s="102">
        <v>3.7</v>
      </c>
      <c r="K493" s="218">
        <v>37</v>
      </c>
      <c r="L493" s="218">
        <v>49</v>
      </c>
      <c r="M493" s="218">
        <v>6000</v>
      </c>
      <c r="N493" s="218">
        <v>44</v>
      </c>
      <c r="O493" s="218">
        <v>7000</v>
      </c>
      <c r="P493" s="112"/>
      <c r="Q493">
        <f t="shared" si="14"/>
        <v>2011</v>
      </c>
      <c r="R493">
        <f t="shared" si="15"/>
        <v>2</v>
      </c>
      <c r="S493" s="112"/>
      <c r="T493" s="102"/>
    </row>
    <row r="494" spans="1:20">
      <c r="A494" s="117">
        <v>13</v>
      </c>
      <c r="B494" s="102" t="s">
        <v>257</v>
      </c>
      <c r="C494" s="206">
        <v>40646</v>
      </c>
      <c r="D494" s="102">
        <v>6.6</v>
      </c>
      <c r="E494" s="102">
        <v>11.8</v>
      </c>
      <c r="F494" s="218">
        <v>96</v>
      </c>
      <c r="G494" s="102">
        <v>8.1199999999999992</v>
      </c>
      <c r="H494" s="218">
        <v>2.2000000000000002</v>
      </c>
      <c r="I494" s="102"/>
      <c r="J494" s="102">
        <v>2.4</v>
      </c>
      <c r="K494" s="218">
        <v>15</v>
      </c>
      <c r="L494" s="218">
        <v>31</v>
      </c>
      <c r="M494" s="218">
        <v>3900</v>
      </c>
      <c r="N494" s="218">
        <v>29</v>
      </c>
      <c r="O494" s="218">
        <v>5000</v>
      </c>
      <c r="P494" s="112"/>
      <c r="Q494">
        <f t="shared" si="14"/>
        <v>2011</v>
      </c>
      <c r="R494">
        <f t="shared" si="15"/>
        <v>4</v>
      </c>
      <c r="S494" s="112"/>
      <c r="T494" s="102"/>
    </row>
    <row r="495" spans="1:20">
      <c r="A495" s="117">
        <v>13</v>
      </c>
      <c r="B495" s="102" t="s">
        <v>257</v>
      </c>
      <c r="C495" s="206">
        <v>40710</v>
      </c>
      <c r="D495" s="102">
        <v>16.399999999999999</v>
      </c>
      <c r="E495" s="102">
        <v>10.8</v>
      </c>
      <c r="F495" s="218">
        <v>111</v>
      </c>
      <c r="G495" s="102">
        <v>8.1199999999999992</v>
      </c>
      <c r="H495" s="218">
        <v>3.2</v>
      </c>
      <c r="I495" s="102"/>
      <c r="J495" s="102">
        <v>2.4</v>
      </c>
      <c r="K495" s="218">
        <v>75</v>
      </c>
      <c r="L495" s="218">
        <v>90</v>
      </c>
      <c r="M495" s="218">
        <v>1100</v>
      </c>
      <c r="N495" s="218">
        <v>38</v>
      </c>
      <c r="O495" s="218">
        <v>1700</v>
      </c>
      <c r="P495" s="112"/>
      <c r="Q495">
        <f t="shared" si="14"/>
        <v>2011</v>
      </c>
      <c r="R495">
        <f t="shared" si="15"/>
        <v>6</v>
      </c>
      <c r="S495" s="112"/>
      <c r="T495" s="102"/>
    </row>
    <row r="496" spans="1:20">
      <c r="A496" s="117">
        <v>13</v>
      </c>
      <c r="B496" s="102" t="s">
        <v>257</v>
      </c>
      <c r="C496" s="206">
        <v>40778</v>
      </c>
      <c r="D496" s="102">
        <v>15.9</v>
      </c>
      <c r="E496" s="102">
        <v>10.4</v>
      </c>
      <c r="F496" s="218">
        <v>105</v>
      </c>
      <c r="G496" s="102">
        <v>8.11</v>
      </c>
      <c r="H496" s="218">
        <v>1.6</v>
      </c>
      <c r="I496" s="102"/>
      <c r="J496" s="102">
        <v>2</v>
      </c>
      <c r="K496" s="218">
        <v>50</v>
      </c>
      <c r="L496" s="218">
        <v>66</v>
      </c>
      <c r="M496" s="218">
        <v>2700</v>
      </c>
      <c r="N496" s="218">
        <v>21</v>
      </c>
      <c r="O496" s="218">
        <v>3800</v>
      </c>
      <c r="P496" s="112"/>
      <c r="Q496">
        <f t="shared" si="14"/>
        <v>2011</v>
      </c>
      <c r="R496">
        <f t="shared" si="15"/>
        <v>8</v>
      </c>
      <c r="S496" s="112"/>
      <c r="T496" s="102"/>
    </row>
    <row r="497" spans="1:20">
      <c r="A497" s="117">
        <v>13</v>
      </c>
      <c r="B497" s="102" t="s">
        <v>257</v>
      </c>
      <c r="C497" s="206">
        <v>40834</v>
      </c>
      <c r="D497" s="102">
        <v>8.4</v>
      </c>
      <c r="E497" s="102">
        <v>11.1</v>
      </c>
      <c r="F497" s="218">
        <v>95</v>
      </c>
      <c r="G497" s="102">
        <v>8.11</v>
      </c>
      <c r="H497" s="218">
        <v>2</v>
      </c>
      <c r="I497" s="102"/>
      <c r="J497" s="102">
        <v>1.1000000000000001</v>
      </c>
      <c r="K497" s="218">
        <v>26</v>
      </c>
      <c r="L497" s="218">
        <v>39</v>
      </c>
      <c r="M497" s="218">
        <v>3600</v>
      </c>
      <c r="N497" s="218">
        <v>18</v>
      </c>
      <c r="O497" s="218">
        <v>4300</v>
      </c>
      <c r="P497" s="112"/>
      <c r="Q497">
        <f t="shared" si="14"/>
        <v>2011</v>
      </c>
      <c r="R497">
        <f t="shared" si="15"/>
        <v>10</v>
      </c>
      <c r="S497" s="112"/>
      <c r="T497" s="102"/>
    </row>
    <row r="498" spans="1:20">
      <c r="A498" s="117">
        <v>13</v>
      </c>
      <c r="B498" s="102" t="s">
        <v>257</v>
      </c>
      <c r="C498" s="206">
        <v>40896</v>
      </c>
      <c r="D498" s="102">
        <v>2.7</v>
      </c>
      <c r="E498" s="102">
        <v>13</v>
      </c>
      <c r="F498" s="218">
        <v>96</v>
      </c>
      <c r="G498" s="102">
        <v>7.76</v>
      </c>
      <c r="H498" s="218">
        <v>7.5</v>
      </c>
      <c r="I498" s="102"/>
      <c r="J498" s="102">
        <v>1.8</v>
      </c>
      <c r="K498" s="218">
        <v>42</v>
      </c>
      <c r="L498" s="218">
        <v>72</v>
      </c>
      <c r="M498" s="218">
        <v>4900</v>
      </c>
      <c r="N498" s="218">
        <v>35</v>
      </c>
      <c r="O498" s="218">
        <v>6100</v>
      </c>
      <c r="P498" s="112"/>
      <c r="Q498">
        <f t="shared" si="14"/>
        <v>2011</v>
      </c>
      <c r="R498">
        <f t="shared" si="15"/>
        <v>12</v>
      </c>
      <c r="S498" s="112"/>
      <c r="T498" s="102"/>
    </row>
    <row r="499" spans="1:20">
      <c r="A499" s="117">
        <v>13</v>
      </c>
      <c r="B499" s="102" t="s">
        <v>257</v>
      </c>
      <c r="C499" s="206">
        <v>40949</v>
      </c>
      <c r="D499" s="102">
        <v>-0.1</v>
      </c>
      <c r="E499" s="102">
        <v>14.4</v>
      </c>
      <c r="F499" s="218">
        <v>97</v>
      </c>
      <c r="G499" s="102">
        <v>8.1999999999999993</v>
      </c>
      <c r="H499" s="218">
        <v>4.2</v>
      </c>
      <c r="I499" s="102"/>
      <c r="J499" s="102">
        <v>0.5</v>
      </c>
      <c r="K499" s="218">
        <v>28</v>
      </c>
      <c r="L499" s="218">
        <v>47</v>
      </c>
      <c r="M499" s="218">
        <v>5200</v>
      </c>
      <c r="N499" s="218">
        <v>360</v>
      </c>
      <c r="O499" s="218">
        <v>5600</v>
      </c>
      <c r="P499" s="112"/>
      <c r="Q499">
        <f t="shared" si="14"/>
        <v>2012</v>
      </c>
      <c r="R499">
        <f t="shared" si="15"/>
        <v>2</v>
      </c>
      <c r="S499" s="112"/>
      <c r="T499" s="102"/>
    </row>
    <row r="500" spans="1:20">
      <c r="A500" s="117">
        <v>13</v>
      </c>
      <c r="B500" s="102" t="s">
        <v>257</v>
      </c>
      <c r="C500" s="206">
        <v>41012</v>
      </c>
      <c r="D500" s="102">
        <v>8</v>
      </c>
      <c r="E500" s="102">
        <v>10.5</v>
      </c>
      <c r="F500" s="218">
        <v>97</v>
      </c>
      <c r="G500" s="102">
        <v>8.3000000000000007</v>
      </c>
      <c r="H500" s="218">
        <v>9</v>
      </c>
      <c r="I500" s="102"/>
      <c r="J500" s="102">
        <v>2.6</v>
      </c>
      <c r="K500" s="218">
        <v>16</v>
      </c>
      <c r="L500" s="218">
        <v>50</v>
      </c>
      <c r="M500" s="218">
        <v>2300</v>
      </c>
      <c r="N500" s="218">
        <v>35</v>
      </c>
      <c r="O500" s="218">
        <v>3200</v>
      </c>
      <c r="P500" s="112"/>
      <c r="Q500">
        <f t="shared" si="14"/>
        <v>2012</v>
      </c>
      <c r="R500">
        <f t="shared" si="15"/>
        <v>4</v>
      </c>
      <c r="S500" s="112"/>
      <c r="T500" s="102"/>
    </row>
    <row r="501" spans="1:20">
      <c r="A501" s="117">
        <v>13</v>
      </c>
      <c r="B501" s="102" t="s">
        <v>257</v>
      </c>
      <c r="C501" s="206">
        <v>41078</v>
      </c>
      <c r="D501" s="102">
        <v>18.5</v>
      </c>
      <c r="E501" s="102">
        <v>10.5</v>
      </c>
      <c r="F501" s="218">
        <v>113</v>
      </c>
      <c r="G501" s="102">
        <v>8.3000000000000007</v>
      </c>
      <c r="H501" s="218">
        <v>3.5</v>
      </c>
      <c r="I501" s="102"/>
      <c r="J501" s="102">
        <v>2.5</v>
      </c>
      <c r="K501" s="218">
        <v>52</v>
      </c>
      <c r="L501" s="218">
        <v>81</v>
      </c>
      <c r="M501" s="218">
        <v>1500</v>
      </c>
      <c r="N501" s="218">
        <v>40</v>
      </c>
      <c r="O501" s="218">
        <v>2100</v>
      </c>
      <c r="P501" s="112"/>
      <c r="Q501">
        <f t="shared" si="14"/>
        <v>2012</v>
      </c>
      <c r="R501">
        <f t="shared" si="15"/>
        <v>6</v>
      </c>
      <c r="S501" s="112"/>
      <c r="T501" s="102"/>
    </row>
    <row r="502" spans="1:20">
      <c r="A502" s="117">
        <v>13</v>
      </c>
      <c r="B502" s="102" t="s">
        <v>257</v>
      </c>
      <c r="C502" s="206">
        <v>41136</v>
      </c>
      <c r="D502" s="102">
        <v>18.100000000000001</v>
      </c>
      <c r="E502" s="102">
        <v>12.4</v>
      </c>
      <c r="F502" s="218">
        <v>134</v>
      </c>
      <c r="G502" s="102">
        <v>8.6</v>
      </c>
      <c r="H502" s="218">
        <v>1.4</v>
      </c>
      <c r="I502" s="102"/>
      <c r="J502" s="102">
        <v>1.6</v>
      </c>
      <c r="K502" s="218">
        <v>52</v>
      </c>
      <c r="L502" s="218">
        <v>81</v>
      </c>
      <c r="M502" s="218">
        <v>1100</v>
      </c>
      <c r="N502" s="218">
        <v>18</v>
      </c>
      <c r="O502" s="218">
        <v>1500</v>
      </c>
      <c r="P502" s="112"/>
      <c r="Q502">
        <f t="shared" si="14"/>
        <v>2012</v>
      </c>
      <c r="R502">
        <f t="shared" si="15"/>
        <v>8</v>
      </c>
      <c r="S502" s="112"/>
      <c r="T502" s="102"/>
    </row>
    <row r="503" spans="1:20">
      <c r="A503" s="117">
        <v>13</v>
      </c>
      <c r="B503" s="102" t="s">
        <v>257</v>
      </c>
      <c r="C503" s="206">
        <v>41193</v>
      </c>
      <c r="D503" s="102">
        <v>8.1999999999999993</v>
      </c>
      <c r="E503" s="102">
        <v>11.9</v>
      </c>
      <c r="F503" s="218">
        <v>102</v>
      </c>
      <c r="G503" s="102">
        <v>8.3000000000000007</v>
      </c>
      <c r="H503" s="218">
        <v>2.4</v>
      </c>
      <c r="I503" s="102"/>
      <c r="J503" s="102">
        <v>1.6</v>
      </c>
      <c r="K503" s="218">
        <v>46</v>
      </c>
      <c r="L503" s="218">
        <v>58</v>
      </c>
      <c r="M503" s="218">
        <v>2100</v>
      </c>
      <c r="N503" s="218">
        <v>10</v>
      </c>
      <c r="O503" s="218">
        <v>2700</v>
      </c>
      <c r="P503" s="112"/>
      <c r="Q503">
        <f t="shared" si="14"/>
        <v>2012</v>
      </c>
      <c r="R503">
        <f t="shared" si="15"/>
        <v>10</v>
      </c>
      <c r="S503" s="112"/>
      <c r="T503" s="102"/>
    </row>
    <row r="504" spans="1:20">
      <c r="A504" s="117">
        <v>13</v>
      </c>
      <c r="B504" s="102" t="s">
        <v>257</v>
      </c>
      <c r="C504" s="206">
        <v>41263</v>
      </c>
      <c r="D504" s="102">
        <v>1.7</v>
      </c>
      <c r="E504" s="102">
        <v>13.1</v>
      </c>
      <c r="F504" s="218">
        <v>93</v>
      </c>
      <c r="G504" s="102">
        <v>8</v>
      </c>
      <c r="H504" s="218">
        <v>2.2000000000000002</v>
      </c>
      <c r="I504" s="102"/>
      <c r="J504" s="102">
        <v>1.9</v>
      </c>
      <c r="K504" s="218">
        <v>36</v>
      </c>
      <c r="L504" s="218">
        <v>64</v>
      </c>
      <c r="M504" s="218">
        <v>6400</v>
      </c>
      <c r="N504" s="218">
        <v>52</v>
      </c>
      <c r="O504" s="218">
        <v>7300</v>
      </c>
      <c r="P504" s="112"/>
      <c r="Q504">
        <f t="shared" si="14"/>
        <v>2012</v>
      </c>
      <c r="R504">
        <f t="shared" si="15"/>
        <v>12</v>
      </c>
      <c r="S504" s="112"/>
      <c r="T504" s="102"/>
    </row>
    <row r="505" spans="1:20">
      <c r="A505" s="117">
        <v>13</v>
      </c>
      <c r="B505" s="102" t="s">
        <v>257</v>
      </c>
      <c r="C505" s="216">
        <v>41323</v>
      </c>
      <c r="D505">
        <v>1.7</v>
      </c>
      <c r="E505" s="116">
        <v>13.2</v>
      </c>
      <c r="F505" s="101">
        <v>97</v>
      </c>
      <c r="G505">
        <v>8.1999999999999993</v>
      </c>
      <c r="H505" s="116">
        <v>1.2</v>
      </c>
      <c r="J505">
        <v>1.9</v>
      </c>
      <c r="K505">
        <v>20</v>
      </c>
      <c r="L505">
        <v>39</v>
      </c>
      <c r="M505">
        <v>4900</v>
      </c>
      <c r="N505">
        <v>24</v>
      </c>
      <c r="O505">
        <v>5500</v>
      </c>
      <c r="Q505">
        <f t="shared" si="14"/>
        <v>2013</v>
      </c>
      <c r="R505">
        <f t="shared" si="15"/>
        <v>2</v>
      </c>
    </row>
    <row r="506" spans="1:20">
      <c r="A506" s="117">
        <v>13</v>
      </c>
      <c r="B506" s="102" t="s">
        <v>257</v>
      </c>
      <c r="C506" s="216">
        <v>41379</v>
      </c>
      <c r="D506">
        <v>7.5</v>
      </c>
      <c r="E506" s="116">
        <v>15.2</v>
      </c>
      <c r="F506" s="101">
        <v>128</v>
      </c>
      <c r="G506">
        <v>8.6999999999999993</v>
      </c>
      <c r="H506" s="116">
        <v>1</v>
      </c>
      <c r="J506">
        <v>3.2</v>
      </c>
      <c r="K506" t="s">
        <v>149</v>
      </c>
      <c r="L506">
        <v>17</v>
      </c>
      <c r="M506">
        <v>2700</v>
      </c>
      <c r="N506" t="s">
        <v>148</v>
      </c>
      <c r="O506">
        <v>3700</v>
      </c>
      <c r="Q506">
        <f t="shared" si="14"/>
        <v>2013</v>
      </c>
      <c r="R506">
        <f t="shared" si="15"/>
        <v>4</v>
      </c>
    </row>
    <row r="507" spans="1:20">
      <c r="A507" s="117">
        <v>13</v>
      </c>
      <c r="B507" s="102" t="s">
        <v>257</v>
      </c>
      <c r="C507" s="216">
        <v>41443</v>
      </c>
      <c r="D507">
        <v>17.899999999999999</v>
      </c>
      <c r="E507" s="116">
        <v>9.6</v>
      </c>
      <c r="F507" s="101">
        <v>102</v>
      </c>
      <c r="G507">
        <v>8.1</v>
      </c>
      <c r="H507" s="116">
        <v>1.6</v>
      </c>
      <c r="J507">
        <v>1.5</v>
      </c>
      <c r="K507">
        <v>87</v>
      </c>
      <c r="L507">
        <v>120</v>
      </c>
      <c r="M507">
        <v>1100</v>
      </c>
      <c r="N507">
        <v>37</v>
      </c>
      <c r="O507">
        <v>2000</v>
      </c>
      <c r="Q507">
        <f t="shared" si="14"/>
        <v>2013</v>
      </c>
      <c r="R507">
        <f t="shared" si="15"/>
        <v>6</v>
      </c>
    </row>
    <row r="508" spans="1:20">
      <c r="A508" s="117">
        <v>13</v>
      </c>
      <c r="B508" s="102" t="s">
        <v>257</v>
      </c>
      <c r="C508" s="216">
        <v>41500</v>
      </c>
      <c r="D508">
        <v>15.3</v>
      </c>
      <c r="E508" s="116">
        <v>8</v>
      </c>
      <c r="F508" s="101">
        <v>79</v>
      </c>
      <c r="G508">
        <v>8</v>
      </c>
      <c r="H508" s="116">
        <v>2.5</v>
      </c>
      <c r="J508">
        <v>2</v>
      </c>
      <c r="K508">
        <v>130</v>
      </c>
      <c r="L508">
        <v>150</v>
      </c>
      <c r="M508">
        <v>720</v>
      </c>
      <c r="N508">
        <v>11</v>
      </c>
      <c r="O508">
        <v>1400</v>
      </c>
      <c r="Q508">
        <f t="shared" si="14"/>
        <v>2013</v>
      </c>
      <c r="R508">
        <f t="shared" si="15"/>
        <v>8</v>
      </c>
    </row>
    <row r="509" spans="1:20">
      <c r="A509" s="117">
        <v>13</v>
      </c>
      <c r="B509" s="102" t="s">
        <v>257</v>
      </c>
      <c r="C509" s="216">
        <v>41572</v>
      </c>
      <c r="D509">
        <v>10.199999999999999</v>
      </c>
      <c r="E509" s="116">
        <v>8.5</v>
      </c>
      <c r="F509" s="101">
        <v>79</v>
      </c>
      <c r="G509">
        <v>8.1</v>
      </c>
      <c r="H509" s="116">
        <v>2.2000000000000002</v>
      </c>
      <c r="J509">
        <v>0.57999999999999996</v>
      </c>
      <c r="K509">
        <v>44</v>
      </c>
      <c r="L509">
        <v>62</v>
      </c>
      <c r="M509">
        <v>6500</v>
      </c>
      <c r="N509">
        <v>13</v>
      </c>
      <c r="O509">
        <v>7700</v>
      </c>
      <c r="Q509">
        <f t="shared" si="14"/>
        <v>2013</v>
      </c>
      <c r="R509">
        <f t="shared" si="15"/>
        <v>10</v>
      </c>
    </row>
    <row r="510" spans="1:20">
      <c r="A510" s="117">
        <v>13</v>
      </c>
      <c r="B510" s="102" t="s">
        <v>257</v>
      </c>
      <c r="C510" s="216">
        <v>41619</v>
      </c>
      <c r="D510">
        <v>6</v>
      </c>
      <c r="E510" s="116">
        <v>11.6</v>
      </c>
      <c r="F510" s="101">
        <v>94</v>
      </c>
      <c r="G510">
        <v>8.1</v>
      </c>
      <c r="H510" s="116">
        <v>2.5</v>
      </c>
      <c r="J510">
        <v>1.3</v>
      </c>
      <c r="K510">
        <v>34</v>
      </c>
      <c r="L510">
        <v>56</v>
      </c>
      <c r="M510">
        <v>7700</v>
      </c>
      <c r="N510">
        <v>22</v>
      </c>
      <c r="O510">
        <v>8500</v>
      </c>
      <c r="Q510">
        <f t="shared" si="14"/>
        <v>2013</v>
      </c>
      <c r="R510">
        <f t="shared" si="15"/>
        <v>12</v>
      </c>
    </row>
    <row r="511" spans="1:20">
      <c r="A511" s="117">
        <v>13</v>
      </c>
      <c r="B511" s="102" t="s">
        <v>257</v>
      </c>
      <c r="C511" s="216">
        <v>41681</v>
      </c>
      <c r="D511">
        <v>2.5</v>
      </c>
      <c r="E511" s="116">
        <v>12.4</v>
      </c>
      <c r="F511" s="101">
        <v>94</v>
      </c>
      <c r="G511">
        <v>7.9</v>
      </c>
      <c r="H511" s="116">
        <v>3.5</v>
      </c>
      <c r="J511">
        <v>1.8</v>
      </c>
      <c r="K511">
        <v>34</v>
      </c>
      <c r="L511">
        <v>60</v>
      </c>
      <c r="M511">
        <v>5600</v>
      </c>
      <c r="N511">
        <v>41</v>
      </c>
      <c r="O511">
        <v>6800</v>
      </c>
      <c r="Q511">
        <f t="shared" si="14"/>
        <v>2014</v>
      </c>
      <c r="R511">
        <f t="shared" si="15"/>
        <v>2</v>
      </c>
    </row>
    <row r="512" spans="1:20">
      <c r="A512" s="117">
        <v>13</v>
      </c>
      <c r="B512" s="102" t="s">
        <v>257</v>
      </c>
      <c r="C512" s="216">
        <v>41743</v>
      </c>
      <c r="D512">
        <v>7.7</v>
      </c>
      <c r="E512" s="116">
        <v>12</v>
      </c>
      <c r="F512" s="101">
        <v>103</v>
      </c>
      <c r="G512">
        <v>8.3000000000000007</v>
      </c>
      <c r="H512" s="116">
        <v>1.7</v>
      </c>
      <c r="J512">
        <v>1.9</v>
      </c>
      <c r="K512">
        <v>9</v>
      </c>
      <c r="L512">
        <v>28</v>
      </c>
      <c r="M512">
        <v>3300</v>
      </c>
      <c r="N512">
        <v>15</v>
      </c>
      <c r="O512">
        <v>4200</v>
      </c>
      <c r="Q512">
        <f t="shared" si="14"/>
        <v>2014</v>
      </c>
      <c r="R512">
        <f t="shared" si="15"/>
        <v>4</v>
      </c>
    </row>
    <row r="513" spans="1:20">
      <c r="A513" s="117">
        <v>13</v>
      </c>
      <c r="B513" s="102" t="s">
        <v>257</v>
      </c>
      <c r="C513" s="216">
        <v>41807</v>
      </c>
      <c r="D513">
        <v>18.600000000000001</v>
      </c>
      <c r="E513" s="116">
        <v>9.6</v>
      </c>
      <c r="F513" s="101">
        <v>102</v>
      </c>
      <c r="G513">
        <v>8.3000000000000007</v>
      </c>
      <c r="H513" s="116">
        <v>2.2000000000000002</v>
      </c>
      <c r="J513">
        <v>1.6</v>
      </c>
      <c r="K513">
        <v>58</v>
      </c>
      <c r="L513">
        <v>99</v>
      </c>
      <c r="M513">
        <v>1300</v>
      </c>
      <c r="N513">
        <v>33</v>
      </c>
      <c r="O513">
        <v>2100</v>
      </c>
      <c r="Q513">
        <f t="shared" si="14"/>
        <v>2014</v>
      </c>
      <c r="R513">
        <f t="shared" si="15"/>
        <v>6</v>
      </c>
    </row>
    <row r="514" spans="1:20">
      <c r="A514" s="117">
        <v>13</v>
      </c>
      <c r="B514" s="102" t="s">
        <v>257</v>
      </c>
      <c r="C514" s="216">
        <v>41863</v>
      </c>
      <c r="D514">
        <v>17.2</v>
      </c>
      <c r="E514" s="116">
        <v>8.9</v>
      </c>
      <c r="F514" s="101">
        <v>93</v>
      </c>
      <c r="G514">
        <v>8.1</v>
      </c>
      <c r="H514" s="116">
        <v>1.1000000000000001</v>
      </c>
      <c r="J514">
        <v>1.5</v>
      </c>
      <c r="K514">
        <v>140</v>
      </c>
      <c r="L514">
        <v>160</v>
      </c>
      <c r="M514">
        <v>660</v>
      </c>
      <c r="N514">
        <v>25</v>
      </c>
      <c r="O514">
        <v>1400</v>
      </c>
      <c r="Q514">
        <f t="shared" si="14"/>
        <v>2014</v>
      </c>
      <c r="R514">
        <f t="shared" si="15"/>
        <v>8</v>
      </c>
    </row>
    <row r="515" spans="1:20">
      <c r="A515" s="117">
        <v>13</v>
      </c>
      <c r="B515" s="102" t="s">
        <v>257</v>
      </c>
      <c r="C515" s="216">
        <v>41929</v>
      </c>
      <c r="D515">
        <v>12.1</v>
      </c>
      <c r="E515" s="116">
        <v>9.1</v>
      </c>
      <c r="F515" s="101">
        <v>85</v>
      </c>
      <c r="G515">
        <v>7.7</v>
      </c>
      <c r="H515" s="116">
        <v>66</v>
      </c>
      <c r="J515">
        <v>2</v>
      </c>
      <c r="K515">
        <v>120</v>
      </c>
      <c r="L515">
        <v>240</v>
      </c>
      <c r="M515">
        <v>7500</v>
      </c>
      <c r="N515">
        <v>52</v>
      </c>
      <c r="O515">
        <v>7900</v>
      </c>
      <c r="Q515">
        <f t="shared" si="14"/>
        <v>2014</v>
      </c>
      <c r="R515">
        <f t="shared" si="15"/>
        <v>10</v>
      </c>
    </row>
    <row r="516" spans="1:20">
      <c r="A516" s="117">
        <v>13</v>
      </c>
      <c r="B516" s="102" t="s">
        <v>257</v>
      </c>
      <c r="C516" s="216">
        <v>41985</v>
      </c>
      <c r="D516">
        <v>4.2</v>
      </c>
      <c r="E516" s="116">
        <v>11.9</v>
      </c>
      <c r="F516" s="101">
        <v>95</v>
      </c>
      <c r="G516">
        <v>8.1</v>
      </c>
      <c r="H516" s="116">
        <v>5.7</v>
      </c>
      <c r="J516" t="s">
        <v>287</v>
      </c>
      <c r="K516">
        <v>43</v>
      </c>
      <c r="L516">
        <v>63</v>
      </c>
      <c r="M516">
        <v>7000</v>
      </c>
      <c r="N516">
        <v>38</v>
      </c>
      <c r="O516">
        <v>7500</v>
      </c>
      <c r="Q516">
        <f t="shared" si="14"/>
        <v>2014</v>
      </c>
      <c r="R516">
        <f t="shared" si="15"/>
        <v>12</v>
      </c>
    </row>
    <row r="517" spans="1:20">
      <c r="A517" s="117">
        <v>13</v>
      </c>
      <c r="B517" s="102" t="s">
        <v>257</v>
      </c>
      <c r="C517" s="206">
        <v>42045</v>
      </c>
      <c r="D517" s="102">
        <v>2.6</v>
      </c>
      <c r="E517" s="102">
        <v>13.6</v>
      </c>
      <c r="F517" s="218">
        <v>100</v>
      </c>
      <c r="G517" s="102">
        <v>8.1</v>
      </c>
      <c r="H517" s="102">
        <v>4</v>
      </c>
      <c r="I517" s="102"/>
      <c r="J517" s="102">
        <v>1.9</v>
      </c>
      <c r="K517" s="218">
        <v>15</v>
      </c>
      <c r="L517" s="218">
        <v>50</v>
      </c>
      <c r="M517" s="218">
        <v>5600</v>
      </c>
      <c r="N517" s="218">
        <v>31</v>
      </c>
      <c r="O517" s="218">
        <v>6300</v>
      </c>
      <c r="P517" s="112"/>
      <c r="Q517">
        <f t="shared" si="14"/>
        <v>2015</v>
      </c>
      <c r="R517">
        <f t="shared" si="15"/>
        <v>2</v>
      </c>
      <c r="S517" s="112"/>
      <c r="T517" s="102"/>
    </row>
    <row r="518" spans="1:20">
      <c r="A518" s="117">
        <v>13</v>
      </c>
      <c r="B518" s="102" t="s">
        <v>257</v>
      </c>
      <c r="C518" s="206">
        <v>42107</v>
      </c>
      <c r="D518" s="102">
        <v>8</v>
      </c>
      <c r="E518" s="102">
        <v>12.3</v>
      </c>
      <c r="F518" s="218">
        <v>97</v>
      </c>
      <c r="G518" s="102">
        <v>8.3000000000000007</v>
      </c>
      <c r="H518" s="102">
        <v>2.5</v>
      </c>
      <c r="I518" s="102"/>
      <c r="J518" s="102">
        <v>1.7</v>
      </c>
      <c r="K518" s="218">
        <v>13</v>
      </c>
      <c r="L518" s="218">
        <v>34</v>
      </c>
      <c r="M518" s="218">
        <v>4200</v>
      </c>
      <c r="N518" s="218">
        <v>17</v>
      </c>
      <c r="O518" s="218">
        <v>4600</v>
      </c>
      <c r="P518" s="112"/>
      <c r="Q518">
        <f t="shared" si="14"/>
        <v>2015</v>
      </c>
      <c r="R518">
        <f t="shared" si="15"/>
        <v>4</v>
      </c>
      <c r="S518" s="112"/>
      <c r="T518" s="102"/>
    </row>
    <row r="519" spans="1:20">
      <c r="A519" s="117">
        <v>13</v>
      </c>
      <c r="B519" s="102" t="s">
        <v>257</v>
      </c>
      <c r="C519" s="206">
        <v>42172</v>
      </c>
      <c r="D519" s="102">
        <v>13.7</v>
      </c>
      <c r="E519" s="102">
        <v>11.4</v>
      </c>
      <c r="F519" s="218">
        <v>109</v>
      </c>
      <c r="G519" s="102">
        <v>8.1999999999999993</v>
      </c>
      <c r="H519" s="102">
        <v>2.9</v>
      </c>
      <c r="I519" s="102"/>
      <c r="J519" s="102">
        <v>1.9</v>
      </c>
      <c r="K519" s="218">
        <v>38</v>
      </c>
      <c r="L519" s="218">
        <v>61</v>
      </c>
      <c r="M519" s="218">
        <v>2200</v>
      </c>
      <c r="N519" s="218">
        <v>11</v>
      </c>
      <c r="O519" s="218">
        <v>2800</v>
      </c>
      <c r="P519" s="112"/>
      <c r="Q519">
        <f t="shared" ref="Q519:Q582" si="16">YEAR(C519)</f>
        <v>2015</v>
      </c>
      <c r="R519">
        <f t="shared" ref="R519:R582" si="17">MONTH(C519)</f>
        <v>6</v>
      </c>
      <c r="S519" s="112"/>
      <c r="T519" s="102"/>
    </row>
    <row r="520" spans="1:20">
      <c r="A520" s="117">
        <v>13</v>
      </c>
      <c r="B520" s="102" t="s">
        <v>257</v>
      </c>
      <c r="C520" s="206">
        <v>42234</v>
      </c>
      <c r="D520" s="102">
        <v>17.3</v>
      </c>
      <c r="E520" s="102">
        <v>9.3000000000000007</v>
      </c>
      <c r="F520" s="218">
        <v>96</v>
      </c>
      <c r="G520" s="102">
        <v>8.1</v>
      </c>
      <c r="H520" s="102">
        <v>1.3</v>
      </c>
      <c r="I520" s="102"/>
      <c r="J520" s="102">
        <v>1</v>
      </c>
      <c r="K520" s="218">
        <v>79</v>
      </c>
      <c r="L520" s="218">
        <v>96</v>
      </c>
      <c r="M520" s="218">
        <v>970</v>
      </c>
      <c r="N520" s="218">
        <v>27</v>
      </c>
      <c r="O520" s="218">
        <v>1300</v>
      </c>
      <c r="P520" s="112"/>
      <c r="Q520">
        <f t="shared" si="16"/>
        <v>2015</v>
      </c>
      <c r="R520">
        <f t="shared" si="17"/>
        <v>8</v>
      </c>
      <c r="S520" s="112"/>
      <c r="T520" s="102"/>
    </row>
    <row r="521" spans="1:20">
      <c r="A521" s="117">
        <v>13</v>
      </c>
      <c r="B521" s="102" t="s">
        <v>257</v>
      </c>
      <c r="C521" s="206">
        <v>42290</v>
      </c>
      <c r="D521" s="102">
        <v>7.7</v>
      </c>
      <c r="E521" s="102">
        <v>12.7</v>
      </c>
      <c r="F521" s="218">
        <v>106</v>
      </c>
      <c r="G521" s="102">
        <v>8.1</v>
      </c>
      <c r="H521" s="102">
        <v>0.96</v>
      </c>
      <c r="I521" s="102"/>
      <c r="J521" s="102">
        <v>1.8</v>
      </c>
      <c r="K521" s="218">
        <v>49</v>
      </c>
      <c r="L521" s="218">
        <v>66</v>
      </c>
      <c r="M521" s="218">
        <v>550</v>
      </c>
      <c r="N521" s="218">
        <v>45</v>
      </c>
      <c r="O521" s="218">
        <v>2000</v>
      </c>
      <c r="P521" s="112"/>
      <c r="Q521">
        <f t="shared" si="16"/>
        <v>2015</v>
      </c>
      <c r="R521">
        <f t="shared" si="17"/>
        <v>10</v>
      </c>
      <c r="S521" s="112"/>
      <c r="T521" s="102"/>
    </row>
    <row r="522" spans="1:20">
      <c r="A522" s="117">
        <v>13</v>
      </c>
      <c r="B522" s="102" t="s">
        <v>257</v>
      </c>
      <c r="C522" s="206">
        <v>42352</v>
      </c>
      <c r="D522" s="102">
        <v>3.1</v>
      </c>
      <c r="E522" s="102">
        <v>13.3</v>
      </c>
      <c r="F522" s="218">
        <v>99</v>
      </c>
      <c r="G522" s="102">
        <v>8</v>
      </c>
      <c r="H522" s="102">
        <v>5.6</v>
      </c>
      <c r="I522" s="102"/>
      <c r="J522" s="102">
        <v>1.9</v>
      </c>
      <c r="K522" s="218">
        <v>43</v>
      </c>
      <c r="L522" s="218">
        <v>57</v>
      </c>
      <c r="M522" s="218">
        <v>4900</v>
      </c>
      <c r="N522" s="218">
        <v>29</v>
      </c>
      <c r="O522" s="218">
        <v>7200</v>
      </c>
      <c r="P522" s="112"/>
      <c r="Q522">
        <f t="shared" si="16"/>
        <v>2015</v>
      </c>
      <c r="R522">
        <f t="shared" si="17"/>
        <v>12</v>
      </c>
      <c r="S522" s="112"/>
      <c r="T522" s="102"/>
    </row>
    <row r="523" spans="1:20">
      <c r="A523" s="117">
        <v>13</v>
      </c>
      <c r="B523" s="102" t="s">
        <v>257</v>
      </c>
      <c r="C523" s="206">
        <v>42416</v>
      </c>
      <c r="D523" s="102">
        <v>0.9</v>
      </c>
      <c r="E523" s="102">
        <v>14</v>
      </c>
      <c r="F523" s="218">
        <v>97</v>
      </c>
      <c r="G523" s="102">
        <v>8.1</v>
      </c>
      <c r="H523" s="218">
        <v>3.9</v>
      </c>
      <c r="I523" s="102"/>
      <c r="J523" s="102">
        <v>2.2999999999999998</v>
      </c>
      <c r="K523" s="218">
        <v>34</v>
      </c>
      <c r="L523" s="218">
        <v>61</v>
      </c>
      <c r="M523" s="218">
        <v>5100</v>
      </c>
      <c r="N523" s="218">
        <v>30</v>
      </c>
      <c r="O523" s="218">
        <v>5300</v>
      </c>
      <c r="P523" s="112"/>
      <c r="Q523">
        <f t="shared" si="16"/>
        <v>2016</v>
      </c>
      <c r="R523">
        <f t="shared" si="17"/>
        <v>2</v>
      </c>
      <c r="S523" s="112"/>
      <c r="T523" s="102"/>
    </row>
    <row r="524" spans="1:20">
      <c r="A524" s="117">
        <v>13</v>
      </c>
      <c r="B524" s="102" t="s">
        <v>257</v>
      </c>
      <c r="C524" s="206">
        <v>42472</v>
      </c>
      <c r="D524" s="102">
        <v>8.8000000000000007</v>
      </c>
      <c r="E524" s="102">
        <v>14.3</v>
      </c>
      <c r="F524" s="218">
        <v>125</v>
      </c>
      <c r="G524" s="102">
        <v>8.5</v>
      </c>
      <c r="H524" s="218">
        <v>1.8</v>
      </c>
      <c r="I524" s="102"/>
      <c r="J524" s="102">
        <v>2.1</v>
      </c>
      <c r="K524" s="218">
        <v>12</v>
      </c>
      <c r="L524" s="218">
        <v>28</v>
      </c>
      <c r="M524" s="218">
        <v>3100</v>
      </c>
      <c r="N524" s="218" t="s">
        <v>148</v>
      </c>
      <c r="O524" s="218">
        <v>3700</v>
      </c>
      <c r="P524" s="112"/>
      <c r="Q524">
        <f t="shared" si="16"/>
        <v>2016</v>
      </c>
      <c r="R524">
        <f t="shared" si="17"/>
        <v>4</v>
      </c>
      <c r="S524" s="112"/>
      <c r="T524" s="102"/>
    </row>
    <row r="525" spans="1:20">
      <c r="A525" s="117">
        <v>13</v>
      </c>
      <c r="B525" s="102" t="s">
        <v>257</v>
      </c>
      <c r="C525" s="206">
        <v>42536</v>
      </c>
      <c r="D525" s="102">
        <v>16.2</v>
      </c>
      <c r="E525" s="102">
        <v>11.4</v>
      </c>
      <c r="F525" s="218">
        <v>119</v>
      </c>
      <c r="G525" s="102">
        <v>8.4</v>
      </c>
      <c r="H525" s="218">
        <v>0.91</v>
      </c>
      <c r="I525" s="102"/>
      <c r="J525" s="102">
        <v>1.4</v>
      </c>
      <c r="K525" s="218">
        <v>54</v>
      </c>
      <c r="L525" s="218">
        <v>83</v>
      </c>
      <c r="M525" s="218">
        <v>1900</v>
      </c>
      <c r="N525" s="218">
        <v>27</v>
      </c>
      <c r="O525" s="218">
        <v>2500</v>
      </c>
      <c r="P525" s="112"/>
      <c r="Q525">
        <f t="shared" si="16"/>
        <v>2016</v>
      </c>
      <c r="R525">
        <f t="shared" si="17"/>
        <v>6</v>
      </c>
      <c r="S525" s="112"/>
      <c r="T525" s="102"/>
    </row>
    <row r="526" spans="1:20">
      <c r="A526" s="117">
        <v>13</v>
      </c>
      <c r="B526" s="102" t="s">
        <v>257</v>
      </c>
      <c r="C526" s="206">
        <v>42592</v>
      </c>
      <c r="D526" s="102">
        <v>14.2</v>
      </c>
      <c r="E526" s="102">
        <v>11.2</v>
      </c>
      <c r="F526" s="218">
        <v>114</v>
      </c>
      <c r="G526" s="102">
        <v>8.4</v>
      </c>
      <c r="H526" s="218">
        <v>0.78</v>
      </c>
      <c r="I526" s="102"/>
      <c r="J526" s="102" t="s">
        <v>287</v>
      </c>
      <c r="K526" s="218">
        <v>65</v>
      </c>
      <c r="L526" s="218">
        <v>82</v>
      </c>
      <c r="M526" s="218">
        <v>1200</v>
      </c>
      <c r="N526" s="218">
        <v>16</v>
      </c>
      <c r="O526" s="218">
        <v>1500</v>
      </c>
      <c r="P526" s="112"/>
      <c r="Q526">
        <f t="shared" si="16"/>
        <v>2016</v>
      </c>
      <c r="R526">
        <f t="shared" si="17"/>
        <v>8</v>
      </c>
      <c r="S526" s="112"/>
      <c r="T526" s="102"/>
    </row>
    <row r="527" spans="1:20">
      <c r="A527" s="117">
        <v>13</v>
      </c>
      <c r="B527" s="102" t="s">
        <v>257</v>
      </c>
      <c r="C527" s="206">
        <v>42661</v>
      </c>
      <c r="D527" s="102">
        <v>7.8</v>
      </c>
      <c r="E527" s="102">
        <v>10</v>
      </c>
      <c r="F527" s="218">
        <v>84</v>
      </c>
      <c r="G527" s="102">
        <v>7.9</v>
      </c>
      <c r="H527" s="218">
        <v>1.1000000000000001</v>
      </c>
      <c r="I527" s="102"/>
      <c r="J527" s="102">
        <v>1.1000000000000001</v>
      </c>
      <c r="K527" s="218">
        <v>27</v>
      </c>
      <c r="L527" s="218">
        <v>59</v>
      </c>
      <c r="M527" s="218">
        <v>1000</v>
      </c>
      <c r="N527" s="218">
        <v>14</v>
      </c>
      <c r="O527" s="218">
        <v>1500</v>
      </c>
      <c r="P527" s="112"/>
      <c r="Q527">
        <f t="shared" si="16"/>
        <v>2016</v>
      </c>
      <c r="R527">
        <f t="shared" si="17"/>
        <v>10</v>
      </c>
      <c r="S527" s="112"/>
      <c r="T527" s="102"/>
    </row>
    <row r="528" spans="1:20">
      <c r="A528" s="117">
        <v>13</v>
      </c>
      <c r="B528" s="102" t="s">
        <v>257</v>
      </c>
      <c r="C528" s="206">
        <v>42724</v>
      </c>
      <c r="D528" s="102">
        <v>3.9</v>
      </c>
      <c r="E528" s="102">
        <v>13.1</v>
      </c>
      <c r="F528" s="218">
        <v>99</v>
      </c>
      <c r="G528" s="102">
        <v>8.1999999999999993</v>
      </c>
      <c r="H528" s="218">
        <v>1.3</v>
      </c>
      <c r="I528" s="102"/>
      <c r="J528" s="102">
        <v>1.2</v>
      </c>
      <c r="K528" s="218">
        <v>37</v>
      </c>
      <c r="L528" s="218">
        <v>46</v>
      </c>
      <c r="M528" s="218">
        <v>6500</v>
      </c>
      <c r="N528" s="218">
        <v>27</v>
      </c>
      <c r="O528" s="218">
        <v>6500</v>
      </c>
      <c r="P528" s="112"/>
      <c r="Q528">
        <f t="shared" si="16"/>
        <v>2016</v>
      </c>
      <c r="R528">
        <f t="shared" si="17"/>
        <v>12</v>
      </c>
      <c r="S528" s="112"/>
      <c r="T528" s="102"/>
    </row>
    <row r="529" spans="1:20">
      <c r="A529" s="117">
        <v>13</v>
      </c>
      <c r="B529" s="102" t="s">
        <v>257</v>
      </c>
      <c r="C529" s="206">
        <v>42773</v>
      </c>
      <c r="D529" s="102">
        <v>0.1</v>
      </c>
      <c r="E529" s="102">
        <v>15</v>
      </c>
      <c r="F529" s="218">
        <v>102</v>
      </c>
      <c r="G529" s="102">
        <v>8.3000000000000007</v>
      </c>
      <c r="H529" s="218">
        <v>1.4</v>
      </c>
      <c r="I529" s="102"/>
      <c r="J529" s="102">
        <v>1.3</v>
      </c>
      <c r="K529" s="218">
        <v>24</v>
      </c>
      <c r="L529" s="218">
        <v>41</v>
      </c>
      <c r="M529" s="218">
        <v>6400</v>
      </c>
      <c r="N529" s="218">
        <v>18</v>
      </c>
      <c r="O529" s="218">
        <v>6600</v>
      </c>
      <c r="P529" s="112"/>
      <c r="Q529">
        <f t="shared" si="16"/>
        <v>2017</v>
      </c>
      <c r="R529">
        <f t="shared" si="17"/>
        <v>2</v>
      </c>
      <c r="S529" s="112"/>
      <c r="T529" s="102"/>
    </row>
    <row r="530" spans="1:20">
      <c r="A530" s="117">
        <v>13</v>
      </c>
      <c r="B530" s="102" t="s">
        <v>257</v>
      </c>
      <c r="C530" s="206">
        <v>42837</v>
      </c>
      <c r="D530" s="102">
        <v>7.3</v>
      </c>
      <c r="E530" s="102">
        <v>12.7</v>
      </c>
      <c r="F530" s="218">
        <v>108</v>
      </c>
      <c r="G530" s="102">
        <v>8.3000000000000007</v>
      </c>
      <c r="H530" s="218">
        <v>1.5</v>
      </c>
      <c r="I530" s="102"/>
      <c r="J530" s="102">
        <v>1.8</v>
      </c>
      <c r="K530" s="218">
        <v>5.2</v>
      </c>
      <c r="L530" s="218">
        <v>24</v>
      </c>
      <c r="M530" s="218">
        <v>4100</v>
      </c>
      <c r="N530" s="218">
        <v>13</v>
      </c>
      <c r="O530" s="218">
        <v>4500</v>
      </c>
      <c r="P530" s="112"/>
      <c r="Q530">
        <f t="shared" si="16"/>
        <v>2017</v>
      </c>
      <c r="R530">
        <f t="shared" si="17"/>
        <v>4</v>
      </c>
      <c r="S530" s="112"/>
      <c r="T530" s="102"/>
    </row>
    <row r="531" spans="1:20">
      <c r="A531" s="117">
        <v>13</v>
      </c>
      <c r="B531" s="102" t="s">
        <v>257</v>
      </c>
      <c r="C531" s="206">
        <v>42901</v>
      </c>
      <c r="D531" s="102">
        <v>16.3</v>
      </c>
      <c r="E531" s="102">
        <v>10.1</v>
      </c>
      <c r="F531" s="218">
        <v>104</v>
      </c>
      <c r="G531" s="102">
        <v>8.1999999999999993</v>
      </c>
      <c r="H531" s="218">
        <v>2</v>
      </c>
      <c r="I531" s="102"/>
      <c r="J531" s="102">
        <v>1.36</v>
      </c>
      <c r="K531" s="218">
        <v>67</v>
      </c>
      <c r="L531" s="218">
        <v>93</v>
      </c>
      <c r="M531" s="218">
        <v>1800</v>
      </c>
      <c r="N531" s="218">
        <v>34</v>
      </c>
      <c r="O531" s="218">
        <v>2400</v>
      </c>
      <c r="P531" s="112"/>
      <c r="Q531">
        <f t="shared" si="16"/>
        <v>2017</v>
      </c>
      <c r="R531">
        <f t="shared" si="17"/>
        <v>6</v>
      </c>
      <c r="S531" s="112"/>
      <c r="T531" s="102"/>
    </row>
    <row r="532" spans="1:20">
      <c r="A532" s="117">
        <v>13</v>
      </c>
      <c r="B532" s="102" t="s">
        <v>257</v>
      </c>
      <c r="C532" s="206">
        <v>42963</v>
      </c>
      <c r="D532" s="102">
        <v>16.899999999999999</v>
      </c>
      <c r="E532" s="102">
        <v>9.1999999999999993</v>
      </c>
      <c r="F532" s="218">
        <v>95</v>
      </c>
      <c r="G532" s="102">
        <v>8.3000000000000007</v>
      </c>
      <c r="H532" s="218">
        <v>1.6</v>
      </c>
      <c r="I532" s="102"/>
      <c r="J532" s="102">
        <v>1</v>
      </c>
      <c r="K532" s="218">
        <v>35</v>
      </c>
      <c r="L532" s="218">
        <v>85</v>
      </c>
      <c r="M532" s="218">
        <v>2500</v>
      </c>
      <c r="N532" s="218">
        <v>28</v>
      </c>
      <c r="O532" s="218">
        <v>2900</v>
      </c>
      <c r="P532" s="112"/>
      <c r="Q532">
        <f t="shared" si="16"/>
        <v>2017</v>
      </c>
      <c r="R532">
        <f t="shared" si="17"/>
        <v>8</v>
      </c>
      <c r="S532" s="112"/>
      <c r="T532" s="102"/>
    </row>
    <row r="533" spans="1:20">
      <c r="A533" s="117">
        <v>13</v>
      </c>
      <c r="B533" s="102" t="s">
        <v>257</v>
      </c>
      <c r="C533" s="206">
        <v>43027</v>
      </c>
      <c r="D533" s="102">
        <v>11.1</v>
      </c>
      <c r="E533" s="102">
        <v>10.199999999999999</v>
      </c>
      <c r="F533" s="218">
        <v>93</v>
      </c>
      <c r="G533" s="102">
        <v>8.1</v>
      </c>
      <c r="H533" s="218">
        <v>3.1</v>
      </c>
      <c r="I533" s="102"/>
      <c r="J533" s="102">
        <v>1.4</v>
      </c>
      <c r="K533" s="218">
        <v>34</v>
      </c>
      <c r="L533" s="218">
        <v>64</v>
      </c>
      <c r="M533" s="218">
        <v>4200</v>
      </c>
      <c r="N533" s="218">
        <v>12</v>
      </c>
      <c r="O533" s="218">
        <v>4800</v>
      </c>
      <c r="P533" s="112"/>
      <c r="Q533">
        <f t="shared" si="16"/>
        <v>2017</v>
      </c>
      <c r="R533">
        <f t="shared" si="17"/>
        <v>10</v>
      </c>
      <c r="S533" s="112"/>
      <c r="T533" s="102"/>
    </row>
    <row r="534" spans="1:20">
      <c r="A534" s="117">
        <v>13</v>
      </c>
      <c r="B534" s="102" t="s">
        <v>257</v>
      </c>
      <c r="C534" s="206">
        <v>43081</v>
      </c>
      <c r="D534" s="102">
        <v>3.4</v>
      </c>
      <c r="E534" s="102">
        <v>12.3</v>
      </c>
      <c r="F534" s="218">
        <v>96</v>
      </c>
      <c r="G534" s="102">
        <v>7.8</v>
      </c>
      <c r="H534" s="218">
        <v>19</v>
      </c>
      <c r="I534" s="102"/>
      <c r="J534" s="102">
        <v>1.8</v>
      </c>
      <c r="K534" s="218">
        <v>57</v>
      </c>
      <c r="L534" s="218">
        <v>92</v>
      </c>
      <c r="M534" s="218">
        <v>4000</v>
      </c>
      <c r="N534" s="218">
        <v>60</v>
      </c>
      <c r="O534" s="218">
        <v>4800</v>
      </c>
      <c r="P534" s="112"/>
      <c r="Q534">
        <f t="shared" si="16"/>
        <v>2017</v>
      </c>
      <c r="R534">
        <f t="shared" si="17"/>
        <v>12</v>
      </c>
      <c r="S534" s="112"/>
      <c r="T534" s="102"/>
    </row>
    <row r="535" spans="1:20">
      <c r="A535" s="117">
        <v>13</v>
      </c>
      <c r="B535" s="102" t="s">
        <v>257</v>
      </c>
      <c r="C535" s="216">
        <v>43151</v>
      </c>
      <c r="D535">
        <v>3.7</v>
      </c>
      <c r="E535" s="116">
        <v>12.3</v>
      </c>
      <c r="F535" s="101">
        <v>93</v>
      </c>
      <c r="G535">
        <v>8.0299999999999994</v>
      </c>
      <c r="H535" s="116">
        <v>5.5</v>
      </c>
      <c r="J535">
        <v>2.6</v>
      </c>
      <c r="K535">
        <v>28</v>
      </c>
      <c r="L535">
        <v>48</v>
      </c>
      <c r="M535">
        <v>4800</v>
      </c>
      <c r="N535">
        <v>57</v>
      </c>
      <c r="O535">
        <v>4700</v>
      </c>
      <c r="Q535">
        <f t="shared" si="16"/>
        <v>2018</v>
      </c>
      <c r="R535">
        <f t="shared" si="17"/>
        <v>2</v>
      </c>
    </row>
    <row r="536" spans="1:20">
      <c r="A536" s="117">
        <v>13</v>
      </c>
      <c r="B536" s="102" t="s">
        <v>257</v>
      </c>
      <c r="C536" s="216">
        <v>43200</v>
      </c>
      <c r="D536">
        <v>8.1999999999999993</v>
      </c>
      <c r="E536" s="116">
        <v>11.3</v>
      </c>
      <c r="F536" s="101">
        <v>96</v>
      </c>
      <c r="G536">
        <v>8.07</v>
      </c>
      <c r="H536" s="116">
        <v>4.0999999999999996</v>
      </c>
      <c r="J536">
        <v>3.2</v>
      </c>
      <c r="K536">
        <v>23</v>
      </c>
      <c r="L536">
        <v>47</v>
      </c>
      <c r="M536">
        <v>3700</v>
      </c>
      <c r="N536">
        <v>26</v>
      </c>
      <c r="O536">
        <v>3800</v>
      </c>
      <c r="Q536">
        <f t="shared" si="16"/>
        <v>2018</v>
      </c>
      <c r="R536">
        <f t="shared" si="17"/>
        <v>4</v>
      </c>
    </row>
    <row r="537" spans="1:20">
      <c r="A537" s="117">
        <v>13</v>
      </c>
      <c r="B537" s="102" t="s">
        <v>257</v>
      </c>
      <c r="C537" s="216">
        <v>43270</v>
      </c>
      <c r="D537">
        <v>16.399999999999999</v>
      </c>
      <c r="E537" s="116">
        <v>8.3000000000000007</v>
      </c>
      <c r="F537" s="101">
        <v>85</v>
      </c>
      <c r="G537">
        <v>7.91</v>
      </c>
      <c r="H537" s="116">
        <v>3</v>
      </c>
      <c r="J537">
        <v>2.5</v>
      </c>
      <c r="K537">
        <v>77</v>
      </c>
      <c r="L537">
        <v>110</v>
      </c>
      <c r="M537">
        <v>1300</v>
      </c>
      <c r="N537">
        <v>33</v>
      </c>
      <c r="O537">
        <v>2200</v>
      </c>
      <c r="Q537">
        <f t="shared" si="16"/>
        <v>2018</v>
      </c>
      <c r="R537">
        <f t="shared" si="17"/>
        <v>6</v>
      </c>
    </row>
    <row r="538" spans="1:20">
      <c r="A538" s="117">
        <v>13</v>
      </c>
      <c r="B538" s="102" t="s">
        <v>257</v>
      </c>
      <c r="C538" s="216">
        <v>43333</v>
      </c>
      <c r="D538">
        <v>15.3</v>
      </c>
      <c r="E538" s="116">
        <v>6.4</v>
      </c>
      <c r="F538" s="101">
        <v>64</v>
      </c>
      <c r="G538">
        <v>7.77</v>
      </c>
      <c r="H538" s="116">
        <v>1.1000000000000001</v>
      </c>
      <c r="J538">
        <v>1.9</v>
      </c>
      <c r="K538">
        <v>79</v>
      </c>
      <c r="L538">
        <v>100</v>
      </c>
      <c r="M538">
        <v>210</v>
      </c>
      <c r="N538">
        <v>33</v>
      </c>
      <c r="O538">
        <v>810</v>
      </c>
      <c r="Q538">
        <f t="shared" si="16"/>
        <v>2018</v>
      </c>
      <c r="R538">
        <f t="shared" si="17"/>
        <v>8</v>
      </c>
    </row>
    <row r="539" spans="1:20">
      <c r="A539" s="117">
        <v>13</v>
      </c>
      <c r="B539" s="102" t="s">
        <v>257</v>
      </c>
      <c r="C539" s="216">
        <v>43389</v>
      </c>
      <c r="D539">
        <v>9.6999999999999993</v>
      </c>
      <c r="E539" s="116">
        <v>8.3000000000000007</v>
      </c>
      <c r="F539" s="101">
        <v>73</v>
      </c>
      <c r="G539">
        <v>7.73</v>
      </c>
      <c r="H539" s="116">
        <v>1</v>
      </c>
      <c r="J539">
        <v>2</v>
      </c>
      <c r="K539">
        <v>5.0999999999999996</v>
      </c>
      <c r="L539">
        <v>41</v>
      </c>
      <c r="M539">
        <v>79</v>
      </c>
      <c r="N539" t="s">
        <v>148</v>
      </c>
      <c r="O539">
        <v>560</v>
      </c>
      <c r="Q539">
        <f t="shared" si="16"/>
        <v>2018</v>
      </c>
      <c r="R539">
        <f t="shared" si="17"/>
        <v>10</v>
      </c>
    </row>
    <row r="540" spans="1:20">
      <c r="A540" s="117">
        <v>13</v>
      </c>
      <c r="B540" s="102" t="s">
        <v>257</v>
      </c>
      <c r="C540" s="216">
        <v>43447</v>
      </c>
      <c r="D540">
        <v>3.5</v>
      </c>
      <c r="E540" s="116">
        <v>13.3</v>
      </c>
      <c r="F540" s="101">
        <v>100</v>
      </c>
      <c r="G540">
        <v>7.88</v>
      </c>
      <c r="H540" s="116">
        <v>2.2000000000000002</v>
      </c>
      <c r="J540">
        <v>2.2999999999999998</v>
      </c>
      <c r="K540">
        <v>30</v>
      </c>
      <c r="L540">
        <v>49</v>
      </c>
      <c r="M540">
        <v>13000</v>
      </c>
      <c r="N540">
        <v>47</v>
      </c>
      <c r="O540">
        <v>12000</v>
      </c>
      <c r="Q540">
        <f t="shared" si="16"/>
        <v>2018</v>
      </c>
      <c r="R540">
        <f t="shared" si="17"/>
        <v>12</v>
      </c>
    </row>
    <row r="541" spans="1:20">
      <c r="A541" s="117">
        <v>13</v>
      </c>
      <c r="B541" s="102" t="s">
        <v>257</v>
      </c>
      <c r="C541" s="216">
        <v>43515</v>
      </c>
      <c r="D541">
        <v>4.8</v>
      </c>
      <c r="E541" s="116">
        <v>12.8</v>
      </c>
      <c r="F541" s="101">
        <v>100</v>
      </c>
      <c r="G541">
        <v>8.02</v>
      </c>
      <c r="H541" s="116">
        <v>1.3</v>
      </c>
      <c r="J541">
        <v>1.5</v>
      </c>
      <c r="K541">
        <v>20</v>
      </c>
      <c r="L541">
        <v>37</v>
      </c>
      <c r="M541">
        <v>8500</v>
      </c>
      <c r="N541">
        <v>18</v>
      </c>
      <c r="O541">
        <v>8400</v>
      </c>
      <c r="Q541">
        <f t="shared" si="16"/>
        <v>2019</v>
      </c>
      <c r="R541">
        <f t="shared" si="17"/>
        <v>2</v>
      </c>
    </row>
    <row r="542" spans="1:20">
      <c r="A542" s="117">
        <v>13</v>
      </c>
      <c r="B542" s="102" t="s">
        <v>257</v>
      </c>
      <c r="C542" s="216">
        <v>43571</v>
      </c>
      <c r="D542">
        <v>5.2</v>
      </c>
      <c r="E542" s="116">
        <v>12.3</v>
      </c>
      <c r="F542" s="101">
        <v>97</v>
      </c>
      <c r="G542">
        <v>8.2899999999999991</v>
      </c>
      <c r="H542" s="116">
        <v>1.2</v>
      </c>
      <c r="J542">
        <v>2.5999999999999996</v>
      </c>
      <c r="K542">
        <v>2.1</v>
      </c>
      <c r="L542">
        <v>9</v>
      </c>
      <c r="M542">
        <v>4200</v>
      </c>
      <c r="N542" t="s">
        <v>148</v>
      </c>
      <c r="O542">
        <v>5000</v>
      </c>
      <c r="Q542">
        <f t="shared" si="16"/>
        <v>2019</v>
      </c>
      <c r="R542">
        <f t="shared" si="17"/>
        <v>4</v>
      </c>
    </row>
    <row r="543" spans="1:20">
      <c r="A543" s="117">
        <v>13</v>
      </c>
      <c r="B543" s="102" t="s">
        <v>257</v>
      </c>
      <c r="C543" s="216">
        <v>43635</v>
      </c>
      <c r="D543">
        <v>18.399999999999999</v>
      </c>
      <c r="E543" s="116">
        <v>8.1999999999999993</v>
      </c>
      <c r="F543" s="101">
        <v>87</v>
      </c>
      <c r="G543">
        <v>7.88</v>
      </c>
      <c r="H543" s="116">
        <v>2.1</v>
      </c>
      <c r="J543">
        <v>1.4000000000000004</v>
      </c>
      <c r="K543">
        <v>71</v>
      </c>
      <c r="L543">
        <v>110</v>
      </c>
      <c r="M543">
        <v>1600</v>
      </c>
      <c r="N543">
        <v>35</v>
      </c>
      <c r="O543">
        <v>2600</v>
      </c>
      <c r="Q543">
        <f t="shared" si="16"/>
        <v>2019</v>
      </c>
      <c r="R543">
        <f t="shared" si="17"/>
        <v>6</v>
      </c>
    </row>
    <row r="544" spans="1:20">
      <c r="A544" s="117">
        <v>13</v>
      </c>
      <c r="B544" s="102" t="s">
        <v>257</v>
      </c>
      <c r="C544" s="216">
        <v>43698</v>
      </c>
      <c r="D544">
        <v>15.4</v>
      </c>
      <c r="E544" s="116">
        <v>9.6999999999999993</v>
      </c>
      <c r="F544" s="101">
        <v>97</v>
      </c>
      <c r="G544">
        <v>8.06</v>
      </c>
      <c r="H544" s="116">
        <v>1.1000000000000001</v>
      </c>
      <c r="J544">
        <v>3.8999999999999995</v>
      </c>
      <c r="K544">
        <v>91</v>
      </c>
      <c r="L544">
        <v>120</v>
      </c>
      <c r="M544">
        <v>860</v>
      </c>
      <c r="N544">
        <v>30</v>
      </c>
      <c r="O544">
        <v>1200</v>
      </c>
      <c r="Q544">
        <f t="shared" si="16"/>
        <v>2019</v>
      </c>
      <c r="R544">
        <f t="shared" si="17"/>
        <v>8</v>
      </c>
    </row>
    <row r="545" spans="1:20">
      <c r="A545" s="117">
        <v>13</v>
      </c>
      <c r="B545" s="102" t="s">
        <v>257</v>
      </c>
      <c r="C545" s="216">
        <v>43748</v>
      </c>
      <c r="D545">
        <v>8.6</v>
      </c>
      <c r="E545" s="116">
        <v>10.3</v>
      </c>
      <c r="F545" s="101">
        <v>89</v>
      </c>
      <c r="G545">
        <v>8.0500000000000007</v>
      </c>
      <c r="H545" s="116">
        <v>1</v>
      </c>
      <c r="J545">
        <v>1.9</v>
      </c>
      <c r="K545">
        <v>30</v>
      </c>
      <c r="L545">
        <v>36</v>
      </c>
      <c r="M545">
        <v>1400</v>
      </c>
      <c r="N545">
        <v>16</v>
      </c>
      <c r="O545">
        <v>2100</v>
      </c>
      <c r="Q545">
        <f t="shared" si="16"/>
        <v>2019</v>
      </c>
      <c r="R545">
        <f t="shared" si="17"/>
        <v>10</v>
      </c>
    </row>
    <row r="546" spans="1:20">
      <c r="A546" s="117">
        <v>13</v>
      </c>
      <c r="B546" s="102" t="s">
        <v>257</v>
      </c>
      <c r="C546" s="216">
        <v>43812</v>
      </c>
      <c r="D546">
        <v>4.7</v>
      </c>
      <c r="E546" s="116">
        <v>12.3</v>
      </c>
      <c r="F546" s="101">
        <v>96</v>
      </c>
      <c r="G546">
        <v>7.78</v>
      </c>
      <c r="H546" s="116">
        <v>8.6</v>
      </c>
      <c r="J546">
        <v>2.6</v>
      </c>
      <c r="K546">
        <v>39</v>
      </c>
      <c r="L546">
        <v>82</v>
      </c>
      <c r="M546">
        <v>8500</v>
      </c>
      <c r="N546">
        <v>35</v>
      </c>
      <c r="O546">
        <v>9000</v>
      </c>
      <c r="Q546">
        <f t="shared" si="16"/>
        <v>2019</v>
      </c>
      <c r="R546">
        <f t="shared" si="17"/>
        <v>12</v>
      </c>
    </row>
    <row r="547" spans="1:20">
      <c r="A547" s="117">
        <v>15</v>
      </c>
      <c r="B547" s="102" t="s">
        <v>258</v>
      </c>
      <c r="C547" s="206">
        <v>40225</v>
      </c>
      <c r="D547" s="102">
        <v>0</v>
      </c>
      <c r="E547" s="102">
        <v>11.6</v>
      </c>
      <c r="F547" s="218">
        <v>79</v>
      </c>
      <c r="G547" s="102">
        <v>7.82</v>
      </c>
      <c r="H547" s="218">
        <v>5.7</v>
      </c>
      <c r="I547" s="102"/>
      <c r="J547" s="102">
        <v>8.1</v>
      </c>
      <c r="K547" s="218">
        <v>37</v>
      </c>
      <c r="L547" s="218">
        <v>56</v>
      </c>
      <c r="M547" s="218">
        <v>3000</v>
      </c>
      <c r="N547" s="218">
        <v>390</v>
      </c>
      <c r="O547" s="218">
        <v>4300</v>
      </c>
      <c r="P547" s="112"/>
      <c r="Q547">
        <f t="shared" si="16"/>
        <v>2010</v>
      </c>
      <c r="R547">
        <f t="shared" si="17"/>
        <v>2</v>
      </c>
      <c r="S547" s="112"/>
      <c r="T547" s="102"/>
    </row>
    <row r="548" spans="1:20">
      <c r="A548" s="117">
        <v>15</v>
      </c>
      <c r="B548" s="102" t="s">
        <v>258</v>
      </c>
      <c r="C548" s="206">
        <v>40290</v>
      </c>
      <c r="D548" s="102">
        <v>5.9</v>
      </c>
      <c r="E548" s="102">
        <v>8.8000000000000007</v>
      </c>
      <c r="F548" s="218">
        <v>71</v>
      </c>
      <c r="G548" s="102">
        <v>8.2799999999999994</v>
      </c>
      <c r="H548" s="218">
        <v>1.9</v>
      </c>
      <c r="I548" s="102"/>
      <c r="J548" s="102">
        <v>4.9000000000000004</v>
      </c>
      <c r="K548" s="218">
        <v>3</v>
      </c>
      <c r="L548" s="218">
        <v>9</v>
      </c>
      <c r="M548" s="218">
        <v>3700</v>
      </c>
      <c r="N548" s="218">
        <v>23</v>
      </c>
      <c r="O548" s="218">
        <v>4100</v>
      </c>
      <c r="P548" s="112"/>
      <c r="Q548">
        <f t="shared" si="16"/>
        <v>2010</v>
      </c>
      <c r="R548">
        <f t="shared" si="17"/>
        <v>4</v>
      </c>
      <c r="S548" s="112"/>
      <c r="T548" s="102"/>
    </row>
    <row r="549" spans="1:20">
      <c r="A549" s="117">
        <v>15</v>
      </c>
      <c r="B549" s="102" t="s">
        <v>258</v>
      </c>
      <c r="C549" s="206">
        <v>40346</v>
      </c>
      <c r="D549" s="102">
        <v>17.600000000000001</v>
      </c>
      <c r="E549" s="102">
        <v>11</v>
      </c>
      <c r="F549" s="218">
        <v>115</v>
      </c>
      <c r="G549" s="102">
        <v>8.34</v>
      </c>
      <c r="H549" s="218">
        <v>4.5</v>
      </c>
      <c r="I549" s="102"/>
      <c r="J549" s="102">
        <v>2.2000000000000002</v>
      </c>
      <c r="K549" s="218">
        <v>38</v>
      </c>
      <c r="L549" s="218">
        <v>55</v>
      </c>
      <c r="M549" s="218">
        <v>2000</v>
      </c>
      <c r="N549" s="218">
        <v>35</v>
      </c>
      <c r="O549" s="218">
        <v>2400</v>
      </c>
      <c r="P549" s="112"/>
      <c r="Q549">
        <f t="shared" si="16"/>
        <v>2010</v>
      </c>
      <c r="R549">
        <f t="shared" si="17"/>
        <v>6</v>
      </c>
      <c r="S549" s="112"/>
      <c r="T549" s="102"/>
    </row>
    <row r="550" spans="1:20">
      <c r="A550" s="117">
        <v>15</v>
      </c>
      <c r="B550" s="102" t="s">
        <v>258</v>
      </c>
      <c r="C550" s="206">
        <v>40416</v>
      </c>
      <c r="D550" s="102">
        <v>13.2</v>
      </c>
      <c r="E550" s="102">
        <v>9.61</v>
      </c>
      <c r="F550" s="218">
        <v>92</v>
      </c>
      <c r="G550" s="102">
        <v>8.0299999999999994</v>
      </c>
      <c r="H550" s="218">
        <v>4.5</v>
      </c>
      <c r="I550" s="102"/>
      <c r="J550" s="102">
        <v>1.5</v>
      </c>
      <c r="K550" s="218">
        <v>83</v>
      </c>
      <c r="L550" s="218">
        <v>110</v>
      </c>
      <c r="M550" s="218">
        <v>1500</v>
      </c>
      <c r="N550" s="218">
        <v>17</v>
      </c>
      <c r="O550" s="218">
        <v>1900</v>
      </c>
      <c r="P550" s="112"/>
      <c r="Q550">
        <f t="shared" si="16"/>
        <v>2010</v>
      </c>
      <c r="R550">
        <f t="shared" si="17"/>
        <v>8</v>
      </c>
      <c r="S550" s="112"/>
      <c r="T550" s="102"/>
    </row>
    <row r="551" spans="1:20">
      <c r="A551" s="117">
        <v>15</v>
      </c>
      <c r="B551" s="102" t="s">
        <v>258</v>
      </c>
      <c r="C551" s="206">
        <v>40471</v>
      </c>
      <c r="D551" s="102">
        <v>7.5</v>
      </c>
      <c r="E551" s="102">
        <v>9.8000000000000007</v>
      </c>
      <c r="F551" s="218">
        <v>82</v>
      </c>
      <c r="G551" s="102">
        <v>7.87</v>
      </c>
      <c r="H551" s="218">
        <v>7.2</v>
      </c>
      <c r="I551" s="102"/>
      <c r="J551" s="102">
        <v>3.2</v>
      </c>
      <c r="K551" s="218">
        <v>24</v>
      </c>
      <c r="L551" s="218">
        <v>56</v>
      </c>
      <c r="M551" s="218">
        <v>1700</v>
      </c>
      <c r="N551" s="218" t="s">
        <v>148</v>
      </c>
      <c r="O551" s="218">
        <v>2100</v>
      </c>
      <c r="P551" s="112"/>
      <c r="Q551">
        <f t="shared" si="16"/>
        <v>2010</v>
      </c>
      <c r="R551">
        <f t="shared" si="17"/>
        <v>10</v>
      </c>
      <c r="S551" s="112"/>
      <c r="T551" s="102"/>
    </row>
    <row r="552" spans="1:20">
      <c r="A552" s="117">
        <v>15</v>
      </c>
      <c r="B552" s="102" t="s">
        <v>258</v>
      </c>
      <c r="C552" s="206">
        <v>40526</v>
      </c>
      <c r="D552" s="102">
        <v>0.9</v>
      </c>
      <c r="E552" s="102">
        <v>12.9</v>
      </c>
      <c r="F552" s="218">
        <v>90</v>
      </c>
      <c r="G552" s="102">
        <v>7.72</v>
      </c>
      <c r="H552" s="218">
        <v>6.3</v>
      </c>
      <c r="I552" s="102"/>
      <c r="J552" s="102">
        <v>4</v>
      </c>
      <c r="K552" s="218">
        <v>34</v>
      </c>
      <c r="L552" s="218">
        <v>48</v>
      </c>
      <c r="M552" s="218">
        <v>7100</v>
      </c>
      <c r="N552" s="218">
        <v>84</v>
      </c>
      <c r="O552" s="218">
        <v>8000</v>
      </c>
      <c r="P552" s="112"/>
      <c r="Q552">
        <f t="shared" si="16"/>
        <v>2010</v>
      </c>
      <c r="R552">
        <f t="shared" si="17"/>
        <v>12</v>
      </c>
      <c r="S552" s="112"/>
      <c r="T552" s="102"/>
    </row>
    <row r="553" spans="1:20">
      <c r="A553" s="117">
        <v>15</v>
      </c>
      <c r="B553" s="102" t="s">
        <v>258</v>
      </c>
      <c r="C553" s="206">
        <v>40589</v>
      </c>
      <c r="D553" s="102">
        <v>0.1</v>
      </c>
      <c r="E553" s="102">
        <v>13.2</v>
      </c>
      <c r="F553" s="218">
        <v>90</v>
      </c>
      <c r="G553" s="102">
        <v>7.86</v>
      </c>
      <c r="H553" s="218">
        <v>8.1999999999999993</v>
      </c>
      <c r="I553" s="102"/>
      <c r="J553" s="102">
        <v>3.4</v>
      </c>
      <c r="K553" s="218">
        <v>27</v>
      </c>
      <c r="L553" s="218">
        <v>41</v>
      </c>
      <c r="M553" s="218">
        <v>5400</v>
      </c>
      <c r="N553" s="218">
        <v>90</v>
      </c>
      <c r="O553" s="218">
        <v>6300</v>
      </c>
      <c r="P553" s="112"/>
      <c r="Q553">
        <f t="shared" si="16"/>
        <v>2011</v>
      </c>
      <c r="R553">
        <f t="shared" si="17"/>
        <v>2</v>
      </c>
      <c r="S553" s="112"/>
      <c r="T553" s="102"/>
    </row>
    <row r="554" spans="1:20">
      <c r="A554" s="117">
        <v>15</v>
      </c>
      <c r="B554" s="102" t="s">
        <v>258</v>
      </c>
      <c r="C554" s="206">
        <v>40646</v>
      </c>
      <c r="D554" s="102">
        <v>6.4</v>
      </c>
      <c r="E554" s="102">
        <v>11.4</v>
      </c>
      <c r="F554" s="218">
        <v>93</v>
      </c>
      <c r="G554" s="102">
        <v>7.99</v>
      </c>
      <c r="H554" s="218">
        <v>3.4</v>
      </c>
      <c r="I554" s="102"/>
      <c r="J554" s="102">
        <v>2.8</v>
      </c>
      <c r="K554" s="218">
        <v>13</v>
      </c>
      <c r="L554" s="218">
        <v>32</v>
      </c>
      <c r="M554" s="218">
        <v>3800</v>
      </c>
      <c r="N554" s="218">
        <v>81</v>
      </c>
      <c r="O554" s="218">
        <v>4700</v>
      </c>
      <c r="P554" s="112"/>
      <c r="Q554">
        <f t="shared" si="16"/>
        <v>2011</v>
      </c>
      <c r="R554">
        <f t="shared" si="17"/>
        <v>4</v>
      </c>
      <c r="S554" s="112"/>
      <c r="T554" s="102"/>
    </row>
    <row r="555" spans="1:20">
      <c r="A555" s="117">
        <v>15</v>
      </c>
      <c r="B555" s="102" t="s">
        <v>258</v>
      </c>
      <c r="C555" s="206">
        <v>40710</v>
      </c>
      <c r="D555" s="102">
        <v>15.6</v>
      </c>
      <c r="E555" s="102">
        <v>10.5</v>
      </c>
      <c r="F555" s="218">
        <v>106</v>
      </c>
      <c r="G555" s="102">
        <v>8.1199999999999992</v>
      </c>
      <c r="H555" s="218">
        <v>4.5</v>
      </c>
      <c r="I555" s="102"/>
      <c r="J555" s="102">
        <v>1.7</v>
      </c>
      <c r="K555" s="218">
        <v>35</v>
      </c>
      <c r="L555" s="218">
        <v>60</v>
      </c>
      <c r="M555" s="218">
        <v>1500</v>
      </c>
      <c r="N555" s="218">
        <v>22</v>
      </c>
      <c r="O555" s="218">
        <v>2200</v>
      </c>
      <c r="P555" s="112"/>
      <c r="Q555">
        <f t="shared" si="16"/>
        <v>2011</v>
      </c>
      <c r="R555">
        <f t="shared" si="17"/>
        <v>6</v>
      </c>
      <c r="S555" s="112"/>
      <c r="T555" s="102"/>
    </row>
    <row r="556" spans="1:20">
      <c r="A556" s="117">
        <v>15</v>
      </c>
      <c r="B556" s="102" t="s">
        <v>258</v>
      </c>
      <c r="C556" s="206">
        <v>40778</v>
      </c>
      <c r="D556" s="102">
        <v>16.2</v>
      </c>
      <c r="E556" s="102">
        <v>9.8000000000000007</v>
      </c>
      <c r="F556" s="218">
        <v>100</v>
      </c>
      <c r="G556" s="102">
        <v>7.95</v>
      </c>
      <c r="H556" s="218">
        <v>2.4</v>
      </c>
      <c r="I556" s="102"/>
      <c r="J556" s="102">
        <v>1.9</v>
      </c>
      <c r="K556" s="218">
        <v>50</v>
      </c>
      <c r="L556" s="218">
        <v>66</v>
      </c>
      <c r="M556" s="218">
        <v>2500</v>
      </c>
      <c r="N556" s="218">
        <v>25</v>
      </c>
      <c r="O556" s="218">
        <v>3400</v>
      </c>
      <c r="P556" s="112"/>
      <c r="Q556">
        <f t="shared" si="16"/>
        <v>2011</v>
      </c>
      <c r="R556">
        <f t="shared" si="17"/>
        <v>8</v>
      </c>
      <c r="S556" s="112"/>
      <c r="T556" s="102"/>
    </row>
    <row r="557" spans="1:20">
      <c r="A557" s="117">
        <v>15</v>
      </c>
      <c r="B557" s="102" t="s">
        <v>258</v>
      </c>
      <c r="C557" s="206">
        <v>40834</v>
      </c>
      <c r="D557" s="102">
        <v>8.4</v>
      </c>
      <c r="E557" s="102">
        <v>10.7</v>
      </c>
      <c r="F557" s="218">
        <v>91</v>
      </c>
      <c r="G557" s="102">
        <v>8.02</v>
      </c>
      <c r="H557" s="218">
        <v>3.3</v>
      </c>
      <c r="I557" s="102"/>
      <c r="J557" s="102">
        <v>1</v>
      </c>
      <c r="K557" s="218">
        <v>28</v>
      </c>
      <c r="L557" s="218">
        <v>41</v>
      </c>
      <c r="M557" s="218">
        <v>2600</v>
      </c>
      <c r="N557" s="218">
        <v>33</v>
      </c>
      <c r="O557" s="218">
        <v>3100</v>
      </c>
      <c r="P557" s="112"/>
      <c r="Q557">
        <f t="shared" si="16"/>
        <v>2011</v>
      </c>
      <c r="R557">
        <f t="shared" si="17"/>
        <v>10</v>
      </c>
      <c r="S557" s="112"/>
      <c r="T557" s="102"/>
    </row>
    <row r="558" spans="1:20">
      <c r="A558" s="117">
        <v>15</v>
      </c>
      <c r="B558" s="102" t="s">
        <v>258</v>
      </c>
      <c r="C558" s="206">
        <v>40896</v>
      </c>
      <c r="D558" s="102">
        <v>3.2</v>
      </c>
      <c r="E558" s="102">
        <v>11.8</v>
      </c>
      <c r="F558" s="218">
        <v>88</v>
      </c>
      <c r="G558" s="102">
        <v>7.62</v>
      </c>
      <c r="H558" s="218">
        <v>38</v>
      </c>
      <c r="I558" s="102"/>
      <c r="J558" s="102">
        <v>2.1</v>
      </c>
      <c r="K558" s="218">
        <v>63</v>
      </c>
      <c r="L558" s="218">
        <v>120</v>
      </c>
      <c r="M558" s="218">
        <v>6700</v>
      </c>
      <c r="N558" s="218">
        <v>68</v>
      </c>
      <c r="O558" s="218">
        <v>7500</v>
      </c>
      <c r="P558" s="112"/>
      <c r="Q558">
        <f t="shared" si="16"/>
        <v>2011</v>
      </c>
      <c r="R558">
        <f t="shared" si="17"/>
        <v>12</v>
      </c>
      <c r="S558" s="112"/>
      <c r="T558" s="102"/>
    </row>
    <row r="559" spans="1:20">
      <c r="A559" s="117">
        <v>15</v>
      </c>
      <c r="B559" s="102" t="s">
        <v>258</v>
      </c>
      <c r="C559" s="206">
        <v>40949</v>
      </c>
      <c r="D559" s="102">
        <v>-0.1</v>
      </c>
      <c r="E559" s="102">
        <v>13.6</v>
      </c>
      <c r="F559" s="218">
        <v>92</v>
      </c>
      <c r="G559" s="102">
        <v>8</v>
      </c>
      <c r="H559" s="218">
        <v>15</v>
      </c>
      <c r="I559" s="102"/>
      <c r="J559" s="102" t="s">
        <v>287</v>
      </c>
      <c r="K559" s="218">
        <v>19</v>
      </c>
      <c r="L559" s="218">
        <v>83</v>
      </c>
      <c r="M559" s="218">
        <v>3800</v>
      </c>
      <c r="N559" s="218">
        <v>130</v>
      </c>
      <c r="O559" s="218">
        <v>4400</v>
      </c>
      <c r="P559" s="112"/>
      <c r="Q559">
        <f t="shared" si="16"/>
        <v>2012</v>
      </c>
      <c r="R559">
        <f t="shared" si="17"/>
        <v>2</v>
      </c>
      <c r="S559" s="112"/>
      <c r="T559" s="102"/>
    </row>
    <row r="560" spans="1:20">
      <c r="A560" s="117">
        <v>15</v>
      </c>
      <c r="B560" s="102" t="s">
        <v>258</v>
      </c>
      <c r="C560" s="206">
        <v>41012</v>
      </c>
      <c r="D560" s="102">
        <v>7.8</v>
      </c>
      <c r="E560" s="102">
        <v>10.1</v>
      </c>
      <c r="F560" s="218">
        <v>94</v>
      </c>
      <c r="G560" s="102">
        <v>8</v>
      </c>
      <c r="H560" s="218">
        <v>16</v>
      </c>
      <c r="I560" s="102"/>
      <c r="J560" s="102">
        <v>4.4000000000000004</v>
      </c>
      <c r="K560" s="218">
        <v>33</v>
      </c>
      <c r="L560" s="218">
        <v>110</v>
      </c>
      <c r="M560" s="218">
        <v>4800</v>
      </c>
      <c r="N560" s="218">
        <v>180</v>
      </c>
      <c r="O560" s="218">
        <v>6300</v>
      </c>
      <c r="P560" s="112"/>
      <c r="Q560">
        <f t="shared" si="16"/>
        <v>2012</v>
      </c>
      <c r="R560">
        <f t="shared" si="17"/>
        <v>4</v>
      </c>
      <c r="S560" s="112"/>
      <c r="T560" s="102"/>
    </row>
    <row r="561" spans="1:20">
      <c r="A561" s="117">
        <v>15</v>
      </c>
      <c r="B561" s="102" t="s">
        <v>258</v>
      </c>
      <c r="C561" s="206">
        <v>41078</v>
      </c>
      <c r="D561" s="102">
        <v>19.7</v>
      </c>
      <c r="E561" s="102">
        <v>10.1</v>
      </c>
      <c r="F561" s="218">
        <v>109</v>
      </c>
      <c r="G561" s="102">
        <v>8.3000000000000007</v>
      </c>
      <c r="H561" s="218">
        <v>4.9000000000000004</v>
      </c>
      <c r="I561" s="102"/>
      <c r="J561" s="102">
        <v>2.1</v>
      </c>
      <c r="K561" s="218">
        <v>32</v>
      </c>
      <c r="L561" s="218">
        <v>62</v>
      </c>
      <c r="M561" s="218">
        <v>1400</v>
      </c>
      <c r="N561" s="218">
        <v>49</v>
      </c>
      <c r="O561" s="218">
        <v>2500</v>
      </c>
      <c r="P561" s="112"/>
      <c r="Q561">
        <f t="shared" si="16"/>
        <v>2012</v>
      </c>
      <c r="R561">
        <f t="shared" si="17"/>
        <v>6</v>
      </c>
      <c r="S561" s="112"/>
      <c r="T561" s="102"/>
    </row>
    <row r="562" spans="1:20">
      <c r="A562" s="117">
        <v>15</v>
      </c>
      <c r="B562" s="102" t="s">
        <v>258</v>
      </c>
      <c r="C562" s="206">
        <v>41136</v>
      </c>
      <c r="D562" s="102">
        <v>16.899999999999999</v>
      </c>
      <c r="E562" s="102">
        <v>11.5</v>
      </c>
      <c r="F562" s="218">
        <v>120</v>
      </c>
      <c r="G562" s="102">
        <v>8.4</v>
      </c>
      <c r="H562" s="218">
        <v>2.5</v>
      </c>
      <c r="I562" s="102"/>
      <c r="J562" s="102">
        <v>1.1000000000000001</v>
      </c>
      <c r="K562" s="218">
        <v>28</v>
      </c>
      <c r="L562" s="218">
        <v>46</v>
      </c>
      <c r="M562" s="218">
        <v>1500</v>
      </c>
      <c r="N562" s="218">
        <v>18</v>
      </c>
      <c r="O562" s="218">
        <v>1800</v>
      </c>
      <c r="P562" s="112"/>
      <c r="Q562">
        <f t="shared" si="16"/>
        <v>2012</v>
      </c>
      <c r="R562">
        <f t="shared" si="17"/>
        <v>8</v>
      </c>
      <c r="S562" s="112"/>
      <c r="T562" s="102"/>
    </row>
    <row r="563" spans="1:20">
      <c r="A563" s="117">
        <v>15</v>
      </c>
      <c r="B563" s="102" t="s">
        <v>258</v>
      </c>
      <c r="C563" s="206">
        <v>41193</v>
      </c>
      <c r="D563" s="102">
        <v>9</v>
      </c>
      <c r="E563" s="102">
        <v>11.5</v>
      </c>
      <c r="F563" s="218">
        <v>100</v>
      </c>
      <c r="G563" s="102">
        <v>8.1</v>
      </c>
      <c r="H563" s="218">
        <v>4.7</v>
      </c>
      <c r="I563" s="102"/>
      <c r="J563" s="102">
        <v>1.6</v>
      </c>
      <c r="K563" s="218">
        <v>40</v>
      </c>
      <c r="L563" s="218">
        <v>59</v>
      </c>
      <c r="M563" s="218">
        <v>3800</v>
      </c>
      <c r="N563" s="218">
        <v>13</v>
      </c>
      <c r="O563" s="218">
        <v>4700</v>
      </c>
      <c r="P563" s="112"/>
      <c r="Q563">
        <f t="shared" si="16"/>
        <v>2012</v>
      </c>
      <c r="R563">
        <f t="shared" si="17"/>
        <v>10</v>
      </c>
      <c r="S563" s="112"/>
      <c r="T563" s="102"/>
    </row>
    <row r="564" spans="1:20">
      <c r="A564" s="117">
        <v>15</v>
      </c>
      <c r="B564" s="102" t="s">
        <v>258</v>
      </c>
      <c r="C564" s="206">
        <v>41263</v>
      </c>
      <c r="D564" s="102">
        <v>2.2000000000000002</v>
      </c>
      <c r="E564" s="102">
        <v>12.2</v>
      </c>
      <c r="F564" s="218">
        <v>88</v>
      </c>
      <c r="G564" s="102">
        <v>7.9</v>
      </c>
      <c r="H564" s="218">
        <v>11</v>
      </c>
      <c r="I564" s="102"/>
      <c r="J564" s="102">
        <v>2</v>
      </c>
      <c r="K564" s="218">
        <v>44</v>
      </c>
      <c r="L564" s="218">
        <v>81</v>
      </c>
      <c r="M564" s="218">
        <v>7000</v>
      </c>
      <c r="N564" s="218">
        <v>48</v>
      </c>
      <c r="O564" s="218">
        <v>7900</v>
      </c>
      <c r="P564" s="112"/>
      <c r="Q564">
        <f t="shared" si="16"/>
        <v>2012</v>
      </c>
      <c r="R564">
        <f t="shared" si="17"/>
        <v>12</v>
      </c>
      <c r="S564" s="112"/>
      <c r="T564" s="102"/>
    </row>
    <row r="565" spans="1:20" ht="13">
      <c r="A565" s="118">
        <v>15</v>
      </c>
      <c r="B565" s="102" t="s">
        <v>258</v>
      </c>
      <c r="C565" s="206">
        <v>41323</v>
      </c>
      <c r="D565" s="102">
        <v>2.7</v>
      </c>
      <c r="E565" s="102">
        <v>12.4</v>
      </c>
      <c r="F565" s="102">
        <v>93</v>
      </c>
      <c r="G565" s="222">
        <v>8</v>
      </c>
      <c r="H565" s="102">
        <v>2.2000000000000002</v>
      </c>
      <c r="I565" s="102"/>
      <c r="J565" s="102">
        <v>2</v>
      </c>
      <c r="K565" s="102">
        <v>17</v>
      </c>
      <c r="L565" s="102">
        <v>34</v>
      </c>
      <c r="M565" s="102">
        <v>4300</v>
      </c>
      <c r="N565" s="102">
        <v>100</v>
      </c>
      <c r="O565" s="102">
        <v>4800</v>
      </c>
      <c r="P565" s="112"/>
      <c r="Q565">
        <f t="shared" si="16"/>
        <v>2013</v>
      </c>
      <c r="R565">
        <f t="shared" si="17"/>
        <v>2</v>
      </c>
      <c r="S565" s="103"/>
      <c r="T565" s="102"/>
    </row>
    <row r="566" spans="1:20" ht="13">
      <c r="A566" s="117">
        <v>15</v>
      </c>
      <c r="B566" s="102" t="s">
        <v>258</v>
      </c>
      <c r="C566" s="206">
        <v>41379</v>
      </c>
      <c r="D566" s="102">
        <v>7.2</v>
      </c>
      <c r="E566" s="102">
        <v>16.600000000000001</v>
      </c>
      <c r="F566" s="102">
        <v>138</v>
      </c>
      <c r="G566" s="222">
        <v>8.5</v>
      </c>
      <c r="H566" s="102">
        <v>4.2</v>
      </c>
      <c r="I566" s="102"/>
      <c r="J566" s="102">
        <v>3.6</v>
      </c>
      <c r="K566" s="102">
        <v>6</v>
      </c>
      <c r="L566" s="102">
        <v>27</v>
      </c>
      <c r="M566" s="102">
        <v>3900</v>
      </c>
      <c r="N566" s="102" t="s">
        <v>148</v>
      </c>
      <c r="O566" s="102">
        <v>4700</v>
      </c>
      <c r="P566" s="121"/>
      <c r="Q566">
        <f t="shared" si="16"/>
        <v>2013</v>
      </c>
      <c r="R566">
        <f t="shared" si="17"/>
        <v>4</v>
      </c>
      <c r="S566" s="103"/>
      <c r="T566" s="102"/>
    </row>
    <row r="567" spans="1:20">
      <c r="A567" s="117">
        <v>15</v>
      </c>
      <c r="B567" s="102" t="s">
        <v>258</v>
      </c>
      <c r="C567" s="206">
        <v>41443</v>
      </c>
      <c r="D567" s="102">
        <v>17.899999999999999</v>
      </c>
      <c r="E567" s="102">
        <v>10.9</v>
      </c>
      <c r="F567" s="102">
        <v>109</v>
      </c>
      <c r="G567" s="222">
        <v>8.3000000000000007</v>
      </c>
      <c r="H567" s="102">
        <v>2.6</v>
      </c>
      <c r="I567" s="102"/>
      <c r="J567" s="102">
        <v>1.7</v>
      </c>
      <c r="K567" s="102">
        <v>46</v>
      </c>
      <c r="L567" s="102">
        <v>70</v>
      </c>
      <c r="M567" s="102">
        <v>1400</v>
      </c>
      <c r="N567" s="102">
        <v>21</v>
      </c>
      <c r="O567" s="102">
        <v>1800</v>
      </c>
      <c r="P567" s="102"/>
      <c r="Q567">
        <f t="shared" si="16"/>
        <v>2013</v>
      </c>
      <c r="R567">
        <f t="shared" si="17"/>
        <v>6</v>
      </c>
      <c r="S567" s="102"/>
      <c r="T567" s="102"/>
    </row>
    <row r="568" spans="1:20">
      <c r="A568" s="117">
        <v>15</v>
      </c>
      <c r="B568" s="102" t="s">
        <v>258</v>
      </c>
      <c r="C568" s="206">
        <v>41500</v>
      </c>
      <c r="D568" s="102">
        <v>14.9</v>
      </c>
      <c r="E568" s="102">
        <v>9.3000000000000007</v>
      </c>
      <c r="F568" s="102">
        <v>93</v>
      </c>
      <c r="G568" s="222">
        <v>8.1</v>
      </c>
      <c r="H568" s="102">
        <v>1.6</v>
      </c>
      <c r="I568" s="102"/>
      <c r="J568" s="102">
        <v>1.5</v>
      </c>
      <c r="K568" s="102">
        <v>39</v>
      </c>
      <c r="L568" s="102">
        <v>66</v>
      </c>
      <c r="M568" s="102">
        <v>1200</v>
      </c>
      <c r="N568" s="102">
        <v>17</v>
      </c>
      <c r="O568" s="102">
        <v>1600</v>
      </c>
      <c r="P568" s="111"/>
      <c r="Q568">
        <f t="shared" si="16"/>
        <v>2013</v>
      </c>
      <c r="R568">
        <f t="shared" si="17"/>
        <v>8</v>
      </c>
      <c r="S568" s="119"/>
      <c r="T568" s="102"/>
    </row>
    <row r="569" spans="1:20">
      <c r="A569" s="117">
        <v>15</v>
      </c>
      <c r="B569" s="102" t="s">
        <v>258</v>
      </c>
      <c r="C569" s="206">
        <v>41572</v>
      </c>
      <c r="D569" s="102">
        <v>10.8</v>
      </c>
      <c r="E569" s="102">
        <v>8.6999999999999993</v>
      </c>
      <c r="F569" s="102">
        <v>83</v>
      </c>
      <c r="G569" s="222">
        <v>8</v>
      </c>
      <c r="H569" s="102">
        <v>4.9000000000000004</v>
      </c>
      <c r="I569" s="102"/>
      <c r="J569" s="102" t="s">
        <v>287</v>
      </c>
      <c r="K569" s="102">
        <v>68</v>
      </c>
      <c r="L569" s="102">
        <v>94</v>
      </c>
      <c r="M569" s="102">
        <v>6700</v>
      </c>
      <c r="N569" s="102">
        <v>33</v>
      </c>
      <c r="O569" s="102">
        <v>7800</v>
      </c>
      <c r="P569" s="123"/>
      <c r="Q569">
        <f t="shared" si="16"/>
        <v>2013</v>
      </c>
      <c r="R569">
        <f t="shared" si="17"/>
        <v>10</v>
      </c>
      <c r="S569" s="112"/>
      <c r="T569" s="102"/>
    </row>
    <row r="570" spans="1:20">
      <c r="A570" s="117">
        <v>15</v>
      </c>
      <c r="B570" s="102" t="s">
        <v>258</v>
      </c>
      <c r="C570" s="206">
        <v>41619</v>
      </c>
      <c r="D570" s="102">
        <v>6.5</v>
      </c>
      <c r="E570" s="102">
        <v>10.6</v>
      </c>
      <c r="F570" s="102">
        <v>87</v>
      </c>
      <c r="G570" s="222">
        <v>8</v>
      </c>
      <c r="H570" s="102">
        <v>3.8</v>
      </c>
      <c r="I570" s="102"/>
      <c r="J570" s="102">
        <v>1.4</v>
      </c>
      <c r="K570" s="102">
        <v>30</v>
      </c>
      <c r="L570" s="102">
        <v>56</v>
      </c>
      <c r="M570" s="102">
        <v>7300</v>
      </c>
      <c r="N570" s="102">
        <v>41</v>
      </c>
      <c r="O570" s="102">
        <v>8600</v>
      </c>
      <c r="P570" s="112"/>
      <c r="Q570">
        <f t="shared" si="16"/>
        <v>2013</v>
      </c>
      <c r="R570">
        <f t="shared" si="17"/>
        <v>12</v>
      </c>
      <c r="S570" s="112"/>
      <c r="T570" s="102"/>
    </row>
    <row r="571" spans="1:20">
      <c r="A571" s="117">
        <v>15</v>
      </c>
      <c r="B571" s="102" t="s">
        <v>258</v>
      </c>
      <c r="C571" s="206">
        <v>41681</v>
      </c>
      <c r="D571" s="102">
        <v>2.6</v>
      </c>
      <c r="E571" s="102">
        <v>11.5</v>
      </c>
      <c r="F571" s="218">
        <v>88</v>
      </c>
      <c r="G571" s="102">
        <v>7.7</v>
      </c>
      <c r="H571" s="218">
        <v>16</v>
      </c>
      <c r="I571" s="102"/>
      <c r="J571" s="102">
        <v>2.2000000000000002</v>
      </c>
      <c r="K571" s="218">
        <v>46</v>
      </c>
      <c r="L571" s="218">
        <v>90</v>
      </c>
      <c r="M571" s="218">
        <v>6800</v>
      </c>
      <c r="N571" s="218">
        <v>59</v>
      </c>
      <c r="O571" s="218">
        <v>8500</v>
      </c>
      <c r="P571" s="112"/>
      <c r="Q571">
        <f t="shared" si="16"/>
        <v>2014</v>
      </c>
      <c r="R571">
        <f t="shared" si="17"/>
        <v>2</v>
      </c>
      <c r="S571" s="112"/>
      <c r="T571" s="102"/>
    </row>
    <row r="572" spans="1:20">
      <c r="A572" s="117">
        <v>15</v>
      </c>
      <c r="B572" s="102" t="s">
        <v>258</v>
      </c>
      <c r="C572" s="206">
        <v>41743</v>
      </c>
      <c r="D572" s="102">
        <v>8</v>
      </c>
      <c r="E572" s="102">
        <v>11.9</v>
      </c>
      <c r="F572" s="218">
        <v>101</v>
      </c>
      <c r="G572" s="102">
        <v>8.1</v>
      </c>
      <c r="H572" s="218">
        <v>13</v>
      </c>
      <c r="I572" s="102"/>
      <c r="J572" s="102">
        <v>2</v>
      </c>
      <c r="K572" s="218">
        <v>12</v>
      </c>
      <c r="L572" s="218">
        <v>44</v>
      </c>
      <c r="M572" s="218">
        <v>3000</v>
      </c>
      <c r="N572" s="218">
        <v>66</v>
      </c>
      <c r="O572" s="218">
        <v>4200</v>
      </c>
      <c r="P572" s="112"/>
      <c r="Q572">
        <f t="shared" si="16"/>
        <v>2014</v>
      </c>
      <c r="R572">
        <f t="shared" si="17"/>
        <v>4</v>
      </c>
      <c r="S572" s="112"/>
      <c r="T572" s="102"/>
    </row>
    <row r="573" spans="1:20">
      <c r="A573" s="117">
        <v>15</v>
      </c>
      <c r="B573" s="102" t="s">
        <v>258</v>
      </c>
      <c r="C573" s="206">
        <v>41807</v>
      </c>
      <c r="D573" s="102">
        <v>19.8</v>
      </c>
      <c r="E573" s="102">
        <v>9.6999999999999993</v>
      </c>
      <c r="F573" s="218">
        <v>106</v>
      </c>
      <c r="G573" s="102">
        <v>8.3000000000000007</v>
      </c>
      <c r="H573" s="218">
        <v>3.3</v>
      </c>
      <c r="I573" s="102"/>
      <c r="J573" s="102">
        <v>1.7</v>
      </c>
      <c r="K573" s="218">
        <v>3</v>
      </c>
      <c r="L573" s="218">
        <v>68</v>
      </c>
      <c r="M573" s="218">
        <v>1800</v>
      </c>
      <c r="N573" s="218">
        <v>33</v>
      </c>
      <c r="O573" s="218">
        <v>2700</v>
      </c>
      <c r="P573" s="112"/>
      <c r="Q573">
        <f t="shared" si="16"/>
        <v>2014</v>
      </c>
      <c r="R573">
        <f t="shared" si="17"/>
        <v>6</v>
      </c>
      <c r="S573" s="112"/>
      <c r="T573" s="102"/>
    </row>
    <row r="574" spans="1:20">
      <c r="A574" s="117">
        <v>15</v>
      </c>
      <c r="B574" s="102" t="s">
        <v>258</v>
      </c>
      <c r="C574" s="206">
        <v>41863</v>
      </c>
      <c r="D574" s="102">
        <v>17</v>
      </c>
      <c r="E574" s="102">
        <v>9.1999999999999993</v>
      </c>
      <c r="F574" s="218">
        <v>97</v>
      </c>
      <c r="G574" s="102">
        <v>8.1</v>
      </c>
      <c r="H574" s="218">
        <v>2.9</v>
      </c>
      <c r="I574" s="102"/>
      <c r="J574" s="102">
        <v>1.6</v>
      </c>
      <c r="K574" s="218">
        <v>40</v>
      </c>
      <c r="L574" s="218">
        <v>57</v>
      </c>
      <c r="M574" s="218">
        <v>1200</v>
      </c>
      <c r="N574" s="218">
        <v>26</v>
      </c>
      <c r="O574" s="218">
        <v>1900</v>
      </c>
      <c r="P574" s="112"/>
      <c r="Q574">
        <f t="shared" si="16"/>
        <v>2014</v>
      </c>
      <c r="R574">
        <f t="shared" si="17"/>
        <v>8</v>
      </c>
      <c r="S574" s="112"/>
      <c r="T574" s="102"/>
    </row>
    <row r="575" spans="1:20">
      <c r="A575" s="117">
        <v>15</v>
      </c>
      <c r="B575" s="102" t="s">
        <v>258</v>
      </c>
      <c r="C575" s="206">
        <v>41929</v>
      </c>
      <c r="D575" s="102">
        <v>12.2</v>
      </c>
      <c r="E575" s="102">
        <v>8.9</v>
      </c>
      <c r="F575" s="218">
        <v>86</v>
      </c>
      <c r="G575" s="102">
        <v>7.7</v>
      </c>
      <c r="H575" s="218">
        <v>32</v>
      </c>
      <c r="I575" s="102"/>
      <c r="J575" s="102">
        <v>1.6</v>
      </c>
      <c r="K575" s="218">
        <v>77</v>
      </c>
      <c r="L575" s="218">
        <v>180</v>
      </c>
      <c r="M575" s="218">
        <v>7400</v>
      </c>
      <c r="N575" s="218">
        <v>37</v>
      </c>
      <c r="O575" s="218">
        <v>8600</v>
      </c>
      <c r="P575" s="112"/>
      <c r="Q575">
        <f t="shared" si="16"/>
        <v>2014</v>
      </c>
      <c r="R575">
        <f t="shared" si="17"/>
        <v>10</v>
      </c>
      <c r="S575" s="112"/>
      <c r="T575" s="102"/>
    </row>
    <row r="576" spans="1:20">
      <c r="A576" s="117">
        <v>15</v>
      </c>
      <c r="B576" s="102" t="s">
        <v>258</v>
      </c>
      <c r="C576" s="206">
        <v>41985</v>
      </c>
      <c r="D576" s="102">
        <v>4.2</v>
      </c>
      <c r="E576" s="102">
        <v>12.1</v>
      </c>
      <c r="F576" s="218">
        <v>97</v>
      </c>
      <c r="G576" s="102">
        <v>7.9</v>
      </c>
      <c r="H576" s="218">
        <v>18</v>
      </c>
      <c r="I576" s="102"/>
      <c r="J576" s="102" t="s">
        <v>287</v>
      </c>
      <c r="K576" s="218">
        <v>57</v>
      </c>
      <c r="L576" s="218">
        <v>78</v>
      </c>
      <c r="M576" s="218">
        <v>8000</v>
      </c>
      <c r="N576" s="218">
        <v>40</v>
      </c>
      <c r="O576" s="218">
        <v>8500</v>
      </c>
      <c r="P576" s="112"/>
      <c r="Q576">
        <f t="shared" si="16"/>
        <v>2014</v>
      </c>
      <c r="R576">
        <f t="shared" si="17"/>
        <v>12</v>
      </c>
      <c r="S576" s="112"/>
      <c r="T576" s="102"/>
    </row>
    <row r="577" spans="1:20">
      <c r="A577" s="117">
        <v>15</v>
      </c>
      <c r="B577" s="102" t="s">
        <v>258</v>
      </c>
      <c r="C577" s="206">
        <v>42045</v>
      </c>
      <c r="D577" s="102">
        <v>3.3</v>
      </c>
      <c r="E577" s="102">
        <v>13.1</v>
      </c>
      <c r="F577" s="102">
        <v>98</v>
      </c>
      <c r="G577" s="222">
        <v>8</v>
      </c>
      <c r="H577" s="102">
        <v>7.9</v>
      </c>
      <c r="I577" s="102"/>
      <c r="J577" s="102">
        <v>1.8</v>
      </c>
      <c r="K577" s="102" t="s">
        <v>147</v>
      </c>
      <c r="L577" s="102">
        <v>47</v>
      </c>
      <c r="M577" s="102">
        <v>5600</v>
      </c>
      <c r="N577" s="102">
        <v>84</v>
      </c>
      <c r="O577" s="102">
        <v>6600</v>
      </c>
      <c r="P577" s="112"/>
      <c r="Q577">
        <f t="shared" si="16"/>
        <v>2015</v>
      </c>
      <c r="R577">
        <f t="shared" si="17"/>
        <v>2</v>
      </c>
      <c r="S577" s="112"/>
      <c r="T577" s="102"/>
    </row>
    <row r="578" spans="1:20">
      <c r="A578" s="117">
        <v>15</v>
      </c>
      <c r="B578" s="102" t="s">
        <v>258</v>
      </c>
      <c r="C578" s="206">
        <v>42107</v>
      </c>
      <c r="D578" s="102">
        <v>7.9</v>
      </c>
      <c r="E578" s="102">
        <v>11.9</v>
      </c>
      <c r="F578" s="102">
        <v>96</v>
      </c>
      <c r="G578" s="222">
        <v>8.3000000000000007</v>
      </c>
      <c r="H578" s="102">
        <v>2.4</v>
      </c>
      <c r="I578" s="102"/>
      <c r="J578" s="102">
        <v>1.9</v>
      </c>
      <c r="K578" s="102">
        <v>8.4</v>
      </c>
      <c r="L578" s="102">
        <v>27</v>
      </c>
      <c r="M578" s="102">
        <v>4200</v>
      </c>
      <c r="N578" s="102">
        <v>36</v>
      </c>
      <c r="O578" s="102">
        <v>4500</v>
      </c>
      <c r="P578" s="112"/>
      <c r="Q578">
        <f t="shared" si="16"/>
        <v>2015</v>
      </c>
      <c r="R578">
        <f t="shared" si="17"/>
        <v>4</v>
      </c>
      <c r="S578" s="112"/>
      <c r="T578" s="102"/>
    </row>
    <row r="579" spans="1:20">
      <c r="A579" s="117">
        <v>15</v>
      </c>
      <c r="B579" s="102" t="s">
        <v>258</v>
      </c>
      <c r="C579" s="206">
        <v>42172</v>
      </c>
      <c r="D579" s="102">
        <v>14.1</v>
      </c>
      <c r="E579" s="102">
        <v>12.4</v>
      </c>
      <c r="F579" s="102">
        <v>124</v>
      </c>
      <c r="G579" s="222">
        <v>8.4</v>
      </c>
      <c r="H579" s="102">
        <v>3.5</v>
      </c>
      <c r="I579" s="102"/>
      <c r="J579" s="102">
        <v>1.8</v>
      </c>
      <c r="K579" s="102">
        <v>23</v>
      </c>
      <c r="L579" s="102">
        <v>47</v>
      </c>
      <c r="M579" s="102">
        <v>1900</v>
      </c>
      <c r="N579" s="102">
        <v>18</v>
      </c>
      <c r="O579" s="102">
        <v>2300</v>
      </c>
      <c r="P579" s="112"/>
      <c r="Q579">
        <f t="shared" si="16"/>
        <v>2015</v>
      </c>
      <c r="R579">
        <f t="shared" si="17"/>
        <v>6</v>
      </c>
      <c r="S579" s="112"/>
      <c r="T579" s="102"/>
    </row>
    <row r="580" spans="1:20">
      <c r="A580" s="117">
        <v>15</v>
      </c>
      <c r="B580" s="102" t="s">
        <v>258</v>
      </c>
      <c r="C580" s="206">
        <v>42234</v>
      </c>
      <c r="D580" s="102">
        <v>17.100000000000001</v>
      </c>
      <c r="E580" s="102">
        <v>9.5</v>
      </c>
      <c r="F580" s="102">
        <v>98</v>
      </c>
      <c r="G580" s="222">
        <v>8.1</v>
      </c>
      <c r="H580" s="102">
        <v>2.1</v>
      </c>
      <c r="I580" s="102"/>
      <c r="J580" s="102">
        <v>1</v>
      </c>
      <c r="K580" s="102">
        <v>29</v>
      </c>
      <c r="L580" s="102">
        <v>56</v>
      </c>
      <c r="M580" s="102">
        <v>820</v>
      </c>
      <c r="N580" s="102">
        <v>23</v>
      </c>
      <c r="O580" s="102">
        <v>1300</v>
      </c>
      <c r="P580" s="112"/>
      <c r="Q580">
        <f t="shared" si="16"/>
        <v>2015</v>
      </c>
      <c r="R580">
        <f t="shared" si="17"/>
        <v>8</v>
      </c>
      <c r="S580" s="112"/>
      <c r="T580" s="102"/>
    </row>
    <row r="581" spans="1:20">
      <c r="A581" s="117">
        <v>15</v>
      </c>
      <c r="B581" s="122" t="s">
        <v>258</v>
      </c>
      <c r="C581" s="216">
        <v>42290</v>
      </c>
      <c r="D581">
        <v>7.5</v>
      </c>
      <c r="E581" s="116">
        <v>12.4</v>
      </c>
      <c r="F581" s="101">
        <v>103</v>
      </c>
      <c r="G581">
        <v>8.1</v>
      </c>
      <c r="H581" s="116">
        <v>2.7</v>
      </c>
      <c r="J581">
        <v>1.6</v>
      </c>
      <c r="K581">
        <v>22</v>
      </c>
      <c r="L581">
        <v>45</v>
      </c>
      <c r="M581">
        <v>600</v>
      </c>
      <c r="N581">
        <v>18</v>
      </c>
      <c r="O581">
        <v>2000</v>
      </c>
      <c r="Q581">
        <f t="shared" si="16"/>
        <v>2015</v>
      </c>
      <c r="R581">
        <f t="shared" si="17"/>
        <v>10</v>
      </c>
    </row>
    <row r="582" spans="1:20">
      <c r="A582" s="117">
        <v>15</v>
      </c>
      <c r="B582" s="102" t="s">
        <v>258</v>
      </c>
      <c r="C582" s="206">
        <v>42352</v>
      </c>
      <c r="D582" s="102">
        <v>3.7</v>
      </c>
      <c r="E582" s="102">
        <v>12.2</v>
      </c>
      <c r="F582" s="102">
        <v>92</v>
      </c>
      <c r="G582" s="222">
        <v>8</v>
      </c>
      <c r="H582" s="102">
        <v>11</v>
      </c>
      <c r="I582" s="102"/>
      <c r="J582" s="102">
        <v>1.5</v>
      </c>
      <c r="K582" s="102">
        <v>26</v>
      </c>
      <c r="L582" s="102">
        <v>57</v>
      </c>
      <c r="M582" s="102">
        <v>5300</v>
      </c>
      <c r="N582" s="102">
        <v>42</v>
      </c>
      <c r="O582" s="102">
        <v>7500</v>
      </c>
      <c r="P582" s="112"/>
      <c r="Q582">
        <f t="shared" si="16"/>
        <v>2015</v>
      </c>
      <c r="R582">
        <f t="shared" si="17"/>
        <v>12</v>
      </c>
      <c r="S582" s="112"/>
      <c r="T582" s="102"/>
    </row>
    <row r="583" spans="1:20">
      <c r="A583" s="117">
        <v>15</v>
      </c>
      <c r="B583" s="102" t="s">
        <v>258</v>
      </c>
      <c r="C583" s="206">
        <v>42416</v>
      </c>
      <c r="D583" s="102">
        <v>2.2000000000000002</v>
      </c>
      <c r="E583" s="102">
        <v>13</v>
      </c>
      <c r="F583" s="102">
        <v>93</v>
      </c>
      <c r="G583" s="222">
        <v>8</v>
      </c>
      <c r="H583" s="102">
        <v>6.6</v>
      </c>
      <c r="I583" s="102"/>
      <c r="J583" s="102">
        <v>2</v>
      </c>
      <c r="K583" s="102">
        <v>19</v>
      </c>
      <c r="L583" s="102">
        <v>48</v>
      </c>
      <c r="M583" s="102">
        <v>5600</v>
      </c>
      <c r="N583" s="102">
        <v>66</v>
      </c>
      <c r="O583" s="102">
        <v>5700</v>
      </c>
      <c r="P583" s="112"/>
      <c r="Q583">
        <f t="shared" ref="Q583:Q646" si="18">YEAR(C583)</f>
        <v>2016</v>
      </c>
      <c r="R583">
        <f t="shared" ref="R583:R646" si="19">MONTH(C583)</f>
        <v>2</v>
      </c>
      <c r="S583" s="112"/>
      <c r="T583" s="102"/>
    </row>
    <row r="584" spans="1:20">
      <c r="A584" s="117">
        <v>15</v>
      </c>
      <c r="B584" s="102" t="s">
        <v>258</v>
      </c>
      <c r="C584" s="216">
        <v>42472</v>
      </c>
      <c r="D584">
        <v>9.6999999999999993</v>
      </c>
      <c r="E584" s="116">
        <v>14.3</v>
      </c>
      <c r="F584" s="101">
        <v>127</v>
      </c>
      <c r="G584">
        <v>8.4</v>
      </c>
      <c r="H584" s="116">
        <v>2.5</v>
      </c>
      <c r="J584">
        <v>1.7</v>
      </c>
      <c r="K584">
        <v>7.4</v>
      </c>
      <c r="L584">
        <v>29</v>
      </c>
      <c r="M584">
        <v>3000</v>
      </c>
      <c r="N584">
        <v>16</v>
      </c>
      <c r="O584">
        <v>3500</v>
      </c>
      <c r="Q584">
        <f t="shared" si="18"/>
        <v>2016</v>
      </c>
      <c r="R584">
        <f t="shared" si="19"/>
        <v>4</v>
      </c>
    </row>
    <row r="585" spans="1:20">
      <c r="A585" s="117">
        <v>15</v>
      </c>
      <c r="B585" s="102" t="s">
        <v>258</v>
      </c>
      <c r="C585" s="216">
        <v>42536</v>
      </c>
      <c r="D585">
        <v>17.899999999999999</v>
      </c>
      <c r="E585" s="116">
        <v>12</v>
      </c>
      <c r="F585" s="101">
        <v>129</v>
      </c>
      <c r="G585">
        <v>8.5</v>
      </c>
      <c r="H585" s="116">
        <v>2.7</v>
      </c>
      <c r="J585">
        <v>1.3</v>
      </c>
      <c r="K585">
        <v>31</v>
      </c>
      <c r="L585">
        <v>52</v>
      </c>
      <c r="M585">
        <v>2700</v>
      </c>
      <c r="N585">
        <v>23</v>
      </c>
      <c r="O585">
        <v>3200</v>
      </c>
      <c r="Q585">
        <f t="shared" si="18"/>
        <v>2016</v>
      </c>
      <c r="R585">
        <f t="shared" si="19"/>
        <v>6</v>
      </c>
    </row>
    <row r="586" spans="1:20">
      <c r="A586" s="117">
        <v>15</v>
      </c>
      <c r="B586" s="102" t="s">
        <v>258</v>
      </c>
      <c r="C586" s="216">
        <v>42592</v>
      </c>
      <c r="D586">
        <v>14.9</v>
      </c>
      <c r="E586" s="116">
        <v>10.8</v>
      </c>
      <c r="F586" s="101">
        <v>108</v>
      </c>
      <c r="G586">
        <v>8.3000000000000007</v>
      </c>
      <c r="H586" s="116">
        <v>1.5</v>
      </c>
      <c r="J586" t="s">
        <v>287</v>
      </c>
      <c r="K586">
        <v>38</v>
      </c>
      <c r="L586">
        <v>57</v>
      </c>
      <c r="M586">
        <v>1400</v>
      </c>
      <c r="N586">
        <v>16</v>
      </c>
      <c r="O586">
        <v>1600</v>
      </c>
      <c r="Q586">
        <f t="shared" si="18"/>
        <v>2016</v>
      </c>
      <c r="R586">
        <f t="shared" si="19"/>
        <v>8</v>
      </c>
    </row>
    <row r="587" spans="1:20">
      <c r="A587" s="117">
        <v>15</v>
      </c>
      <c r="B587" s="102" t="s">
        <v>258</v>
      </c>
      <c r="C587" s="216">
        <v>42661</v>
      </c>
      <c r="D587">
        <v>8.3000000000000007</v>
      </c>
      <c r="E587" s="116">
        <v>10.3</v>
      </c>
      <c r="F587" s="101">
        <v>88</v>
      </c>
      <c r="G587">
        <v>8</v>
      </c>
      <c r="H587" s="116">
        <v>1.9</v>
      </c>
      <c r="J587">
        <v>0.8</v>
      </c>
      <c r="K587">
        <v>25</v>
      </c>
      <c r="L587">
        <v>55</v>
      </c>
      <c r="M587">
        <v>2400</v>
      </c>
      <c r="N587">
        <v>22</v>
      </c>
      <c r="O587">
        <v>2500</v>
      </c>
      <c r="Q587">
        <f t="shared" si="18"/>
        <v>2016</v>
      </c>
      <c r="R587">
        <f t="shared" si="19"/>
        <v>10</v>
      </c>
    </row>
    <row r="588" spans="1:20">
      <c r="A588" s="117">
        <v>15</v>
      </c>
      <c r="B588" s="102" t="s">
        <v>258</v>
      </c>
      <c r="C588" s="216">
        <v>42724</v>
      </c>
      <c r="D588">
        <v>4.5999999999999996</v>
      </c>
      <c r="E588" s="116">
        <v>12.3</v>
      </c>
      <c r="F588" s="101">
        <v>94</v>
      </c>
      <c r="G588">
        <v>8</v>
      </c>
      <c r="H588" s="116">
        <v>2.8</v>
      </c>
      <c r="J588">
        <v>1.6</v>
      </c>
      <c r="K588">
        <v>27</v>
      </c>
      <c r="L588">
        <v>42</v>
      </c>
      <c r="M588">
        <v>5400</v>
      </c>
      <c r="N588">
        <v>58</v>
      </c>
      <c r="O588">
        <v>5500</v>
      </c>
      <c r="Q588">
        <f t="shared" si="18"/>
        <v>2016</v>
      </c>
      <c r="R588">
        <f t="shared" si="19"/>
        <v>12</v>
      </c>
    </row>
    <row r="589" spans="1:20">
      <c r="A589" s="117">
        <v>15</v>
      </c>
      <c r="B589" s="102" t="s">
        <v>258</v>
      </c>
      <c r="C589" s="216">
        <v>42773</v>
      </c>
      <c r="D589">
        <v>0.5</v>
      </c>
      <c r="E589" s="116">
        <v>14.3</v>
      </c>
      <c r="F589" s="101">
        <v>98</v>
      </c>
      <c r="G589">
        <v>8.1999999999999993</v>
      </c>
      <c r="H589" s="116">
        <v>3</v>
      </c>
      <c r="J589">
        <v>2.1</v>
      </c>
      <c r="K589">
        <v>21</v>
      </c>
      <c r="L589">
        <v>50</v>
      </c>
      <c r="M589">
        <v>5400</v>
      </c>
      <c r="N589">
        <v>95</v>
      </c>
      <c r="O589">
        <v>5600</v>
      </c>
      <c r="Q589">
        <f t="shared" si="18"/>
        <v>2017</v>
      </c>
      <c r="R589">
        <f t="shared" si="19"/>
        <v>2</v>
      </c>
    </row>
    <row r="590" spans="1:20">
      <c r="A590" s="117">
        <v>15</v>
      </c>
      <c r="B590" s="102" t="s">
        <v>258</v>
      </c>
      <c r="C590" s="206">
        <v>42837</v>
      </c>
      <c r="D590" s="102">
        <v>7.6</v>
      </c>
      <c r="E590" s="102">
        <v>12</v>
      </c>
      <c r="F590" s="218">
        <v>103</v>
      </c>
      <c r="G590" s="102">
        <v>8.1</v>
      </c>
      <c r="H590" s="218">
        <v>2</v>
      </c>
      <c r="I590" s="102"/>
      <c r="J590" s="102">
        <v>1.4</v>
      </c>
      <c r="K590" s="218">
        <v>7.4</v>
      </c>
      <c r="L590" s="218">
        <v>26</v>
      </c>
      <c r="M590" s="218">
        <v>3500</v>
      </c>
      <c r="N590" s="218">
        <v>45</v>
      </c>
      <c r="O590" s="218">
        <v>4000</v>
      </c>
      <c r="P590" s="112"/>
      <c r="Q590">
        <f t="shared" si="18"/>
        <v>2017</v>
      </c>
      <c r="R590">
        <f t="shared" si="19"/>
        <v>4</v>
      </c>
      <c r="S590" s="112"/>
      <c r="T590" s="102"/>
    </row>
    <row r="591" spans="1:20">
      <c r="A591" s="117">
        <v>15</v>
      </c>
      <c r="B591" s="102" t="s">
        <v>258</v>
      </c>
      <c r="C591" s="206">
        <v>42901</v>
      </c>
      <c r="D591" s="102">
        <v>16.899999999999999</v>
      </c>
      <c r="E591" s="102">
        <v>11.1</v>
      </c>
      <c r="F591" s="218">
        <v>115</v>
      </c>
      <c r="G591" s="102">
        <v>8.3000000000000007</v>
      </c>
      <c r="H591" s="218">
        <v>2.6</v>
      </c>
      <c r="I591" s="102"/>
      <c r="J591" s="102">
        <v>1.31</v>
      </c>
      <c r="K591" s="218">
        <v>44</v>
      </c>
      <c r="L591" s="218">
        <v>70</v>
      </c>
      <c r="M591" s="218">
        <v>1500</v>
      </c>
      <c r="N591" s="218">
        <v>27</v>
      </c>
      <c r="O591" s="218">
        <v>2100</v>
      </c>
      <c r="P591" s="112"/>
      <c r="Q591">
        <f t="shared" si="18"/>
        <v>2017</v>
      </c>
      <c r="R591">
        <f t="shared" si="19"/>
        <v>6</v>
      </c>
      <c r="S591" s="112"/>
      <c r="T591" s="102"/>
    </row>
    <row r="592" spans="1:20">
      <c r="A592" s="117">
        <v>15</v>
      </c>
      <c r="B592" s="102" t="s">
        <v>258</v>
      </c>
      <c r="C592" s="206">
        <v>42963</v>
      </c>
      <c r="D592" s="102">
        <v>16.7</v>
      </c>
      <c r="E592" s="102">
        <v>9.5</v>
      </c>
      <c r="F592" s="218">
        <v>98</v>
      </c>
      <c r="G592" s="102">
        <v>8.1</v>
      </c>
      <c r="H592" s="218">
        <v>2.6</v>
      </c>
      <c r="I592" s="102"/>
      <c r="J592" s="102">
        <v>0.78</v>
      </c>
      <c r="K592" s="218">
        <v>25</v>
      </c>
      <c r="L592" s="218">
        <v>66</v>
      </c>
      <c r="M592" s="218">
        <v>1200</v>
      </c>
      <c r="N592" s="218">
        <v>26</v>
      </c>
      <c r="O592" s="218">
        <v>1700</v>
      </c>
      <c r="P592" s="112"/>
      <c r="Q592">
        <f t="shared" si="18"/>
        <v>2017</v>
      </c>
      <c r="R592">
        <f t="shared" si="19"/>
        <v>8</v>
      </c>
      <c r="S592" s="112"/>
      <c r="T592" s="102"/>
    </row>
    <row r="593" spans="1:20">
      <c r="A593" s="117">
        <v>15</v>
      </c>
      <c r="B593" s="102" t="s">
        <v>258</v>
      </c>
      <c r="C593" s="206">
        <v>43027</v>
      </c>
      <c r="D593" s="102">
        <v>11.3</v>
      </c>
      <c r="E593" s="102">
        <v>9.5</v>
      </c>
      <c r="F593" s="218">
        <v>87</v>
      </c>
      <c r="G593" s="102">
        <v>8</v>
      </c>
      <c r="H593" s="218">
        <v>5.6</v>
      </c>
      <c r="I593" s="102"/>
      <c r="J593" s="102">
        <v>1.3</v>
      </c>
      <c r="K593" s="218">
        <v>31</v>
      </c>
      <c r="L593" s="218">
        <v>74</v>
      </c>
      <c r="M593" s="218">
        <v>3500</v>
      </c>
      <c r="N593" s="218">
        <v>16</v>
      </c>
      <c r="O593" s="218">
        <v>3900</v>
      </c>
      <c r="P593" s="112"/>
      <c r="Q593">
        <f t="shared" si="18"/>
        <v>2017</v>
      </c>
      <c r="R593">
        <f t="shared" si="19"/>
        <v>10</v>
      </c>
      <c r="S593" s="112"/>
      <c r="T593" s="102"/>
    </row>
    <row r="594" spans="1:20">
      <c r="A594" s="117">
        <v>15</v>
      </c>
      <c r="B594" s="102" t="s">
        <v>258</v>
      </c>
      <c r="C594" s="206">
        <v>43081</v>
      </c>
      <c r="D594" s="102">
        <v>4.3</v>
      </c>
      <c r="E594" s="102">
        <v>11.3</v>
      </c>
      <c r="F594" s="218">
        <v>90</v>
      </c>
      <c r="G594" s="102">
        <v>7.8</v>
      </c>
      <c r="H594" s="218">
        <v>30</v>
      </c>
      <c r="I594" s="102"/>
      <c r="J594" s="102">
        <v>2</v>
      </c>
      <c r="K594" s="218">
        <v>46</v>
      </c>
      <c r="L594" s="218">
        <v>87</v>
      </c>
      <c r="M594" s="218">
        <v>5400</v>
      </c>
      <c r="N594" s="218">
        <v>98</v>
      </c>
      <c r="O594" s="218">
        <v>6100</v>
      </c>
      <c r="P594" s="112"/>
      <c r="Q594">
        <f t="shared" si="18"/>
        <v>2017</v>
      </c>
      <c r="R594">
        <f t="shared" si="19"/>
        <v>12</v>
      </c>
      <c r="S594" s="112"/>
      <c r="T594" s="102"/>
    </row>
    <row r="595" spans="1:20">
      <c r="A595" s="117">
        <v>15</v>
      </c>
      <c r="B595" s="102" t="s">
        <v>258</v>
      </c>
      <c r="C595" s="206">
        <v>43151</v>
      </c>
      <c r="D595" s="102">
        <v>3.2</v>
      </c>
      <c r="E595" s="102">
        <v>11.7</v>
      </c>
      <c r="F595" s="218">
        <v>87</v>
      </c>
      <c r="G595" s="102">
        <v>7.9</v>
      </c>
      <c r="H595" s="218">
        <v>9.8000000000000007</v>
      </c>
      <c r="I595" s="102"/>
      <c r="J595" s="102">
        <v>2.4</v>
      </c>
      <c r="K595" s="218">
        <v>23</v>
      </c>
      <c r="L595" s="218">
        <v>47</v>
      </c>
      <c r="M595" s="218">
        <v>5500</v>
      </c>
      <c r="N595" s="218">
        <v>78</v>
      </c>
      <c r="O595" s="218">
        <v>5500</v>
      </c>
      <c r="P595" s="112"/>
      <c r="Q595">
        <f t="shared" si="18"/>
        <v>2018</v>
      </c>
      <c r="R595">
        <f t="shared" si="19"/>
        <v>2</v>
      </c>
      <c r="S595" s="112"/>
      <c r="T595" s="102"/>
    </row>
    <row r="596" spans="1:20">
      <c r="A596" s="117">
        <v>15</v>
      </c>
      <c r="B596" s="102" t="s">
        <v>258</v>
      </c>
      <c r="C596" s="216">
        <v>43200</v>
      </c>
      <c r="D596">
        <v>7.1</v>
      </c>
      <c r="E596" s="116">
        <v>11.2</v>
      </c>
      <c r="F596" s="101">
        <v>93</v>
      </c>
      <c r="G596">
        <v>7.91</v>
      </c>
      <c r="H596" s="116">
        <v>9.1</v>
      </c>
      <c r="J596">
        <v>2.2999999999999998</v>
      </c>
      <c r="K596">
        <v>24</v>
      </c>
      <c r="L596">
        <v>48</v>
      </c>
      <c r="M596">
        <v>4400</v>
      </c>
      <c r="N596">
        <v>48</v>
      </c>
      <c r="O596">
        <v>4500</v>
      </c>
      <c r="Q596">
        <f t="shared" si="18"/>
        <v>2018</v>
      </c>
      <c r="R596">
        <f t="shared" si="19"/>
        <v>4</v>
      </c>
    </row>
    <row r="597" spans="1:20">
      <c r="A597" s="117">
        <v>15</v>
      </c>
      <c r="B597" s="102" t="s">
        <v>258</v>
      </c>
      <c r="C597" s="216">
        <v>43270</v>
      </c>
      <c r="D597">
        <v>15</v>
      </c>
      <c r="E597" s="116">
        <v>8.6999999999999993</v>
      </c>
      <c r="F597" s="101">
        <v>87</v>
      </c>
      <c r="G597">
        <v>7.9</v>
      </c>
      <c r="H597" s="116">
        <v>2.9</v>
      </c>
      <c r="J597">
        <v>2.2999999999999998</v>
      </c>
      <c r="K597">
        <v>16</v>
      </c>
      <c r="L597">
        <v>50</v>
      </c>
      <c r="M597">
        <v>1600</v>
      </c>
      <c r="N597">
        <v>30</v>
      </c>
      <c r="O597">
        <v>2200</v>
      </c>
      <c r="Q597">
        <f t="shared" si="18"/>
        <v>2018</v>
      </c>
      <c r="R597">
        <f t="shared" si="19"/>
        <v>6</v>
      </c>
    </row>
    <row r="598" spans="1:20">
      <c r="A598" s="117">
        <v>15</v>
      </c>
      <c r="B598" s="102" t="s">
        <v>258</v>
      </c>
      <c r="C598" s="216">
        <v>43333</v>
      </c>
      <c r="D598">
        <v>15</v>
      </c>
      <c r="E598" s="116">
        <v>7.5</v>
      </c>
      <c r="F598" s="101">
        <v>75</v>
      </c>
      <c r="G598">
        <v>7.78</v>
      </c>
      <c r="H598" s="116">
        <v>2</v>
      </c>
      <c r="J598">
        <v>1.9</v>
      </c>
      <c r="K598">
        <v>17</v>
      </c>
      <c r="L598">
        <v>33</v>
      </c>
      <c r="M598">
        <v>910</v>
      </c>
      <c r="N598">
        <v>16</v>
      </c>
      <c r="O598">
        <v>1100</v>
      </c>
      <c r="Q598">
        <f t="shared" si="18"/>
        <v>2018</v>
      </c>
      <c r="R598">
        <f t="shared" si="19"/>
        <v>8</v>
      </c>
    </row>
    <row r="599" spans="1:20">
      <c r="A599" s="117">
        <v>15</v>
      </c>
      <c r="B599" s="102" t="s">
        <v>258</v>
      </c>
      <c r="C599" s="216">
        <v>43389</v>
      </c>
      <c r="D599">
        <v>9.6</v>
      </c>
      <c r="E599" s="116">
        <v>9.4</v>
      </c>
      <c r="F599" s="101">
        <v>83</v>
      </c>
      <c r="G599">
        <v>7.77</v>
      </c>
      <c r="H599" s="116">
        <v>2.6</v>
      </c>
      <c r="J599">
        <v>2.7</v>
      </c>
      <c r="K599">
        <v>9.8000000000000007</v>
      </c>
      <c r="L599">
        <v>32</v>
      </c>
      <c r="M599">
        <v>1100</v>
      </c>
      <c r="N599">
        <v>21</v>
      </c>
      <c r="O599">
        <v>1200</v>
      </c>
      <c r="Q599">
        <f t="shared" si="18"/>
        <v>2018</v>
      </c>
      <c r="R599">
        <f t="shared" si="19"/>
        <v>10</v>
      </c>
    </row>
    <row r="600" spans="1:20">
      <c r="A600" s="117">
        <v>15</v>
      </c>
      <c r="B600" s="102" t="s">
        <v>258</v>
      </c>
      <c r="C600" s="216">
        <v>43447</v>
      </c>
      <c r="D600">
        <v>3.2</v>
      </c>
      <c r="E600" s="116">
        <v>12.8</v>
      </c>
      <c r="F600" s="101">
        <v>96</v>
      </c>
      <c r="G600">
        <v>7.79</v>
      </c>
      <c r="H600" s="116">
        <v>5.3</v>
      </c>
      <c r="J600">
        <v>2.6</v>
      </c>
      <c r="K600">
        <v>30</v>
      </c>
      <c r="L600">
        <v>63</v>
      </c>
      <c r="M600">
        <v>13000</v>
      </c>
      <c r="N600">
        <v>110</v>
      </c>
      <c r="O600">
        <v>13000</v>
      </c>
      <c r="Q600">
        <f t="shared" si="18"/>
        <v>2018</v>
      </c>
      <c r="R600">
        <f t="shared" si="19"/>
        <v>12</v>
      </c>
    </row>
    <row r="601" spans="1:20">
      <c r="A601" s="117">
        <v>15</v>
      </c>
      <c r="B601" s="102" t="s">
        <v>258</v>
      </c>
      <c r="C601" s="216">
        <v>43515</v>
      </c>
      <c r="D601">
        <v>4.7</v>
      </c>
      <c r="E601" s="116">
        <v>12.2</v>
      </c>
      <c r="F601" s="101">
        <v>95</v>
      </c>
      <c r="G601">
        <v>7.88</v>
      </c>
      <c r="H601" s="116">
        <v>2.8</v>
      </c>
      <c r="J601">
        <v>2.1</v>
      </c>
      <c r="K601">
        <v>16</v>
      </c>
      <c r="L601">
        <v>33</v>
      </c>
      <c r="M601">
        <v>11000</v>
      </c>
      <c r="N601">
        <v>130</v>
      </c>
      <c r="O601">
        <v>11000</v>
      </c>
      <c r="Q601">
        <f t="shared" si="18"/>
        <v>2019</v>
      </c>
      <c r="R601">
        <f t="shared" si="19"/>
        <v>2</v>
      </c>
    </row>
    <row r="602" spans="1:20">
      <c r="A602" s="117">
        <v>15</v>
      </c>
      <c r="B602" s="102" t="s">
        <v>258</v>
      </c>
      <c r="C602" s="206">
        <v>43571</v>
      </c>
      <c r="D602" s="102">
        <v>4.9000000000000004</v>
      </c>
      <c r="E602" s="102">
        <v>12</v>
      </c>
      <c r="F602" s="218">
        <v>94</v>
      </c>
      <c r="G602" s="102">
        <v>8.02</v>
      </c>
      <c r="H602" s="218">
        <v>2.8</v>
      </c>
      <c r="I602" s="102"/>
      <c r="J602" s="102">
        <v>2.4000000000000004</v>
      </c>
      <c r="K602" s="218">
        <v>4.8</v>
      </c>
      <c r="L602" s="218">
        <v>13</v>
      </c>
      <c r="M602" s="218">
        <v>4900</v>
      </c>
      <c r="N602" s="218">
        <v>58</v>
      </c>
      <c r="O602" s="218">
        <v>5100</v>
      </c>
      <c r="P602" s="112"/>
      <c r="Q602">
        <f t="shared" si="18"/>
        <v>2019</v>
      </c>
      <c r="R602">
        <f t="shared" si="19"/>
        <v>4</v>
      </c>
      <c r="S602" s="112"/>
      <c r="T602" s="102"/>
    </row>
    <row r="603" spans="1:20">
      <c r="A603" s="117">
        <v>15</v>
      </c>
      <c r="B603" s="102" t="s">
        <v>258</v>
      </c>
      <c r="C603" s="206">
        <v>43635</v>
      </c>
      <c r="D603" s="102">
        <v>19.3</v>
      </c>
      <c r="E603" s="102">
        <v>8</v>
      </c>
      <c r="F603" s="218">
        <v>87</v>
      </c>
      <c r="G603" s="102">
        <v>7.84</v>
      </c>
      <c r="H603" s="218">
        <v>5.5</v>
      </c>
      <c r="I603" s="102"/>
      <c r="J603" s="102">
        <v>2.2000000000000002</v>
      </c>
      <c r="K603" s="218">
        <v>50</v>
      </c>
      <c r="L603" s="218">
        <v>100</v>
      </c>
      <c r="M603" s="218">
        <v>3600</v>
      </c>
      <c r="N603" s="218">
        <v>38</v>
      </c>
      <c r="O603" s="218">
        <v>3800</v>
      </c>
      <c r="P603" s="112"/>
      <c r="Q603">
        <f t="shared" si="18"/>
        <v>2019</v>
      </c>
      <c r="R603">
        <f t="shared" si="19"/>
        <v>6</v>
      </c>
      <c r="S603" s="112"/>
      <c r="T603" s="102"/>
    </row>
    <row r="604" spans="1:20">
      <c r="A604" s="117">
        <v>15</v>
      </c>
      <c r="B604" s="102" t="s">
        <v>258</v>
      </c>
      <c r="C604" s="206">
        <v>43698</v>
      </c>
      <c r="D604" s="102">
        <v>14</v>
      </c>
      <c r="E604" s="102">
        <v>8.8000000000000007</v>
      </c>
      <c r="F604" s="218">
        <v>86</v>
      </c>
      <c r="G604" s="102">
        <v>7.91</v>
      </c>
      <c r="H604" s="218">
        <v>2.6</v>
      </c>
      <c r="I604" s="102"/>
      <c r="J604" s="102">
        <v>4.0999999999999996</v>
      </c>
      <c r="K604" s="218">
        <v>36</v>
      </c>
      <c r="L604" s="218">
        <v>56</v>
      </c>
      <c r="M604" s="218">
        <v>1100</v>
      </c>
      <c r="N604" s="218">
        <v>21</v>
      </c>
      <c r="O604" s="218">
        <v>1500</v>
      </c>
      <c r="P604" s="112"/>
      <c r="Q604">
        <f t="shared" si="18"/>
        <v>2019</v>
      </c>
      <c r="R604">
        <f t="shared" si="19"/>
        <v>8</v>
      </c>
      <c r="S604" s="112"/>
      <c r="T604" s="102"/>
    </row>
    <row r="605" spans="1:20">
      <c r="A605" s="117">
        <v>15</v>
      </c>
      <c r="B605" s="102" t="s">
        <v>258</v>
      </c>
      <c r="C605" s="206">
        <v>43748</v>
      </c>
      <c r="D605" s="102">
        <v>8.6</v>
      </c>
      <c r="E605" s="102">
        <v>9.3000000000000007</v>
      </c>
      <c r="F605" s="218">
        <v>80</v>
      </c>
      <c r="G605" s="102">
        <v>7.92</v>
      </c>
      <c r="H605" s="218">
        <v>1.9</v>
      </c>
      <c r="I605" s="102"/>
      <c r="J605" s="102">
        <v>1.7</v>
      </c>
      <c r="K605" s="218">
        <v>21</v>
      </c>
      <c r="L605" s="218">
        <v>29</v>
      </c>
      <c r="M605" s="218">
        <v>1500</v>
      </c>
      <c r="N605" s="218">
        <v>15</v>
      </c>
      <c r="O605" s="218">
        <v>2200</v>
      </c>
      <c r="P605" s="112"/>
      <c r="Q605">
        <f t="shared" si="18"/>
        <v>2019</v>
      </c>
      <c r="R605">
        <f t="shared" si="19"/>
        <v>10</v>
      </c>
      <c r="S605" s="112"/>
      <c r="T605" s="102"/>
    </row>
    <row r="606" spans="1:20">
      <c r="A606" s="117">
        <v>15</v>
      </c>
      <c r="B606" s="102" t="s">
        <v>258</v>
      </c>
      <c r="C606" s="206">
        <v>43812</v>
      </c>
      <c r="D606" s="102">
        <v>5.3</v>
      </c>
      <c r="E606" s="102">
        <v>11.2</v>
      </c>
      <c r="F606" s="218">
        <v>89</v>
      </c>
      <c r="G606" s="102">
        <v>7.69</v>
      </c>
      <c r="H606" s="218">
        <v>28.8</v>
      </c>
      <c r="I606" s="102"/>
      <c r="J606" s="102">
        <v>2.2999999999999998</v>
      </c>
      <c r="K606" s="218">
        <v>45</v>
      </c>
      <c r="L606" s="218">
        <v>120</v>
      </c>
      <c r="M606" s="218">
        <v>12000</v>
      </c>
      <c r="N606" s="218">
        <v>62</v>
      </c>
      <c r="O606" s="218">
        <v>13000</v>
      </c>
      <c r="P606" s="112"/>
      <c r="Q606">
        <f t="shared" si="18"/>
        <v>2019</v>
      </c>
      <c r="R606">
        <f t="shared" si="19"/>
        <v>12</v>
      </c>
      <c r="S606" s="112"/>
      <c r="T606" s="102"/>
    </row>
    <row r="607" spans="1:20">
      <c r="A607" s="117">
        <v>17</v>
      </c>
      <c r="B607" s="102" t="s">
        <v>259</v>
      </c>
      <c r="C607" s="206">
        <v>40225</v>
      </c>
      <c r="D607" s="102">
        <v>0</v>
      </c>
      <c r="E607" s="102">
        <v>9.5</v>
      </c>
      <c r="F607" s="218">
        <v>65</v>
      </c>
      <c r="G607" s="102">
        <v>7.86</v>
      </c>
      <c r="H607" s="218">
        <v>6.1</v>
      </c>
      <c r="I607" s="102"/>
      <c r="J607" s="102">
        <v>3.9</v>
      </c>
      <c r="K607" s="218">
        <v>18</v>
      </c>
      <c r="L607" s="218">
        <v>30</v>
      </c>
      <c r="M607" s="218">
        <v>1700</v>
      </c>
      <c r="N607" s="218">
        <v>95</v>
      </c>
      <c r="O607" s="218">
        <v>2500</v>
      </c>
      <c r="P607" s="112"/>
      <c r="Q607">
        <f t="shared" si="18"/>
        <v>2010</v>
      </c>
      <c r="R607">
        <f t="shared" si="19"/>
        <v>2</v>
      </c>
      <c r="S607" s="112"/>
      <c r="T607" s="102"/>
    </row>
    <row r="608" spans="1:20" ht="13">
      <c r="A608" s="117">
        <v>17</v>
      </c>
      <c r="B608" s="102" t="s">
        <v>259</v>
      </c>
      <c r="C608" s="206">
        <v>40290</v>
      </c>
      <c r="D608" s="102">
        <v>6.1</v>
      </c>
      <c r="E608" s="102">
        <v>7.5</v>
      </c>
      <c r="F608" s="218">
        <v>61</v>
      </c>
      <c r="G608" s="102">
        <v>8.0500000000000007</v>
      </c>
      <c r="H608" s="102">
        <v>2.9</v>
      </c>
      <c r="I608" s="102"/>
      <c r="J608" s="102">
        <v>4.5999999999999996</v>
      </c>
      <c r="K608" s="218">
        <v>6</v>
      </c>
      <c r="L608" s="218">
        <v>11</v>
      </c>
      <c r="M608" s="218">
        <v>1600</v>
      </c>
      <c r="N608" s="218">
        <v>28</v>
      </c>
      <c r="O608" s="218">
        <v>2200</v>
      </c>
      <c r="P608" s="121"/>
      <c r="Q608">
        <f t="shared" si="18"/>
        <v>2010</v>
      </c>
      <c r="R608">
        <f t="shared" si="19"/>
        <v>4</v>
      </c>
      <c r="S608" s="103"/>
      <c r="T608" s="102"/>
    </row>
    <row r="609" spans="1:20">
      <c r="A609" s="117">
        <v>17</v>
      </c>
      <c r="B609" s="102" t="s">
        <v>259</v>
      </c>
      <c r="C609" s="206">
        <v>40346</v>
      </c>
      <c r="D609" s="102">
        <v>15.6</v>
      </c>
      <c r="E609" s="102">
        <v>9.8000000000000007</v>
      </c>
      <c r="F609" s="218">
        <v>99</v>
      </c>
      <c r="G609" s="102">
        <v>8.11</v>
      </c>
      <c r="H609" s="102">
        <v>9.1999999999999993</v>
      </c>
      <c r="I609" s="102"/>
      <c r="J609" s="102">
        <v>1.9</v>
      </c>
      <c r="K609" s="218">
        <v>25</v>
      </c>
      <c r="L609" s="218">
        <v>46</v>
      </c>
      <c r="M609" s="218">
        <v>1100</v>
      </c>
      <c r="N609" s="218">
        <v>28</v>
      </c>
      <c r="O609" s="218">
        <v>1600</v>
      </c>
      <c r="P609" s="111"/>
      <c r="Q609">
        <f t="shared" si="18"/>
        <v>2010</v>
      </c>
      <c r="R609">
        <f t="shared" si="19"/>
        <v>6</v>
      </c>
      <c r="S609" s="119"/>
      <c r="T609" s="102"/>
    </row>
    <row r="610" spans="1:20">
      <c r="A610" s="117">
        <v>17</v>
      </c>
      <c r="B610" s="102" t="s">
        <v>259</v>
      </c>
      <c r="C610" s="206">
        <v>40416</v>
      </c>
      <c r="D610" s="102">
        <v>13.9</v>
      </c>
      <c r="E610" s="102">
        <v>9.86</v>
      </c>
      <c r="F610" s="218">
        <v>96</v>
      </c>
      <c r="G610" s="102">
        <v>8.08</v>
      </c>
      <c r="H610" s="102">
        <v>5.7</v>
      </c>
      <c r="I610" s="102"/>
      <c r="J610" s="102">
        <v>1.7</v>
      </c>
      <c r="K610" s="218">
        <v>44</v>
      </c>
      <c r="L610" s="218">
        <v>64</v>
      </c>
      <c r="M610" s="218">
        <v>830</v>
      </c>
      <c r="N610" s="218">
        <v>23</v>
      </c>
      <c r="O610" s="218">
        <v>1100</v>
      </c>
      <c r="P610" s="112"/>
      <c r="Q610">
        <f t="shared" si="18"/>
        <v>2010</v>
      </c>
      <c r="R610">
        <f t="shared" si="19"/>
        <v>8</v>
      </c>
      <c r="S610" s="112"/>
      <c r="T610" s="102"/>
    </row>
    <row r="611" spans="1:20">
      <c r="A611" s="117">
        <v>17</v>
      </c>
      <c r="B611" s="102" t="s">
        <v>259</v>
      </c>
      <c r="C611" s="206">
        <v>40471</v>
      </c>
      <c r="D611" s="102">
        <v>7.6</v>
      </c>
      <c r="E611" s="102">
        <v>9.9</v>
      </c>
      <c r="F611" s="218">
        <v>83</v>
      </c>
      <c r="G611" s="102">
        <v>7.89</v>
      </c>
      <c r="H611" s="102">
        <v>3.9</v>
      </c>
      <c r="I611" s="102"/>
      <c r="J611" s="102">
        <v>2.6</v>
      </c>
      <c r="K611" s="218">
        <v>6</v>
      </c>
      <c r="L611" s="218">
        <v>26</v>
      </c>
      <c r="M611" s="218">
        <v>620</v>
      </c>
      <c r="N611" s="218" t="s">
        <v>148</v>
      </c>
      <c r="O611" s="218">
        <v>1000</v>
      </c>
      <c r="P611" s="112"/>
      <c r="Q611">
        <f t="shared" si="18"/>
        <v>2010</v>
      </c>
      <c r="R611">
        <f t="shared" si="19"/>
        <v>10</v>
      </c>
      <c r="S611" s="112"/>
      <c r="T611" s="102"/>
    </row>
    <row r="612" spans="1:20">
      <c r="A612" s="117">
        <v>17</v>
      </c>
      <c r="B612" s="102" t="s">
        <v>259</v>
      </c>
      <c r="C612" s="206">
        <v>40526</v>
      </c>
      <c r="D612" s="102">
        <v>0.1</v>
      </c>
      <c r="E612" s="102">
        <v>13.1</v>
      </c>
      <c r="F612" s="218">
        <v>90</v>
      </c>
      <c r="G612" s="102">
        <v>7.5</v>
      </c>
      <c r="H612" s="102">
        <v>2.8</v>
      </c>
      <c r="I612" s="102"/>
      <c r="J612" s="102">
        <v>3.4</v>
      </c>
      <c r="K612" s="218">
        <v>19</v>
      </c>
      <c r="L612" s="218">
        <v>32</v>
      </c>
      <c r="M612" s="218">
        <v>3900</v>
      </c>
      <c r="N612" s="218">
        <v>44</v>
      </c>
      <c r="O612" s="218">
        <v>4700</v>
      </c>
      <c r="P612" s="112"/>
      <c r="Q612">
        <f t="shared" si="18"/>
        <v>2010</v>
      </c>
      <c r="R612">
        <f t="shared" si="19"/>
        <v>12</v>
      </c>
      <c r="S612" s="112"/>
      <c r="T612" s="102"/>
    </row>
    <row r="613" spans="1:20">
      <c r="A613" s="117">
        <v>17</v>
      </c>
      <c r="B613" s="102" t="s">
        <v>259</v>
      </c>
      <c r="C613" s="206">
        <v>40589</v>
      </c>
      <c r="D613" s="102">
        <v>0</v>
      </c>
      <c r="E613" s="102">
        <v>13.4</v>
      </c>
      <c r="F613" s="218">
        <v>92</v>
      </c>
      <c r="G613" s="102">
        <v>7.75</v>
      </c>
      <c r="H613" s="102">
        <v>3.5</v>
      </c>
      <c r="I613" s="102"/>
      <c r="J613" s="102">
        <v>3.2</v>
      </c>
      <c r="K613" s="218">
        <v>19</v>
      </c>
      <c r="L613" s="218">
        <v>31</v>
      </c>
      <c r="M613" s="218">
        <v>3200</v>
      </c>
      <c r="N613" s="218">
        <v>40</v>
      </c>
      <c r="O613" s="218">
        <v>4200</v>
      </c>
      <c r="P613" s="112"/>
      <c r="Q613">
        <f t="shared" si="18"/>
        <v>2011</v>
      </c>
      <c r="R613">
        <f t="shared" si="19"/>
        <v>2</v>
      </c>
      <c r="S613" s="112"/>
      <c r="T613" s="102"/>
    </row>
    <row r="614" spans="1:20">
      <c r="A614" s="117">
        <v>17</v>
      </c>
      <c r="B614" s="122" t="s">
        <v>259</v>
      </c>
      <c r="C614" s="216">
        <v>40646</v>
      </c>
      <c r="D614">
        <v>7.1</v>
      </c>
      <c r="E614" s="116">
        <v>11.1</v>
      </c>
      <c r="F614" s="101">
        <v>92</v>
      </c>
      <c r="G614">
        <v>7.92</v>
      </c>
      <c r="H614" s="116">
        <v>4.5999999999999996</v>
      </c>
      <c r="J614">
        <v>2.1</v>
      </c>
      <c r="K614">
        <v>12</v>
      </c>
      <c r="L614">
        <v>32</v>
      </c>
      <c r="M614">
        <v>1900</v>
      </c>
      <c r="N614">
        <v>27</v>
      </c>
      <c r="O614">
        <v>2500</v>
      </c>
      <c r="Q614">
        <f t="shared" si="18"/>
        <v>2011</v>
      </c>
      <c r="R614">
        <f t="shared" si="19"/>
        <v>4</v>
      </c>
    </row>
    <row r="615" spans="1:20">
      <c r="A615" s="117">
        <v>17</v>
      </c>
      <c r="B615" s="122" t="s">
        <v>259</v>
      </c>
      <c r="C615" s="216">
        <v>40710</v>
      </c>
      <c r="D615">
        <v>16.8</v>
      </c>
      <c r="E615" s="116">
        <v>10.4</v>
      </c>
      <c r="F615" s="101">
        <v>107</v>
      </c>
      <c r="G615">
        <v>8.09</v>
      </c>
      <c r="H615" s="116">
        <v>6.7</v>
      </c>
      <c r="J615">
        <v>2</v>
      </c>
      <c r="K615">
        <v>19</v>
      </c>
      <c r="L615">
        <v>76</v>
      </c>
      <c r="M615">
        <v>940</v>
      </c>
      <c r="N615">
        <v>26</v>
      </c>
      <c r="O615">
        <v>1400</v>
      </c>
      <c r="Q615">
        <f t="shared" si="18"/>
        <v>2011</v>
      </c>
      <c r="R615">
        <f t="shared" si="19"/>
        <v>6</v>
      </c>
    </row>
    <row r="616" spans="1:20">
      <c r="A616" s="117">
        <v>17</v>
      </c>
      <c r="B616" s="122" t="s">
        <v>259</v>
      </c>
      <c r="C616" s="216">
        <v>40778</v>
      </c>
      <c r="D616">
        <v>15.8</v>
      </c>
      <c r="E616" s="116">
        <v>9.8000000000000007</v>
      </c>
      <c r="F616" s="101">
        <v>99</v>
      </c>
      <c r="G616">
        <v>7.97</v>
      </c>
      <c r="H616" s="116">
        <v>3.6</v>
      </c>
      <c r="J616">
        <v>1.4</v>
      </c>
      <c r="K616">
        <v>25</v>
      </c>
      <c r="L616">
        <v>43</v>
      </c>
      <c r="M616">
        <v>1500</v>
      </c>
      <c r="N616">
        <v>20</v>
      </c>
      <c r="O616">
        <v>2300</v>
      </c>
      <c r="Q616">
        <f t="shared" si="18"/>
        <v>2011</v>
      </c>
      <c r="R616">
        <f t="shared" si="19"/>
        <v>8</v>
      </c>
    </row>
    <row r="617" spans="1:20">
      <c r="A617" s="117">
        <v>17</v>
      </c>
      <c r="B617" s="122" t="s">
        <v>259</v>
      </c>
      <c r="C617" s="216">
        <v>40834</v>
      </c>
      <c r="D617">
        <v>7.8</v>
      </c>
      <c r="E617" s="116">
        <v>10.9</v>
      </c>
      <c r="F617" s="101">
        <v>92</v>
      </c>
      <c r="G617">
        <v>7.95</v>
      </c>
      <c r="H617" s="116">
        <v>4</v>
      </c>
      <c r="J617">
        <v>1.2</v>
      </c>
      <c r="K617">
        <v>13</v>
      </c>
      <c r="L617" s="218">
        <v>27</v>
      </c>
      <c r="M617">
        <v>1400</v>
      </c>
      <c r="N617">
        <v>20</v>
      </c>
      <c r="O617">
        <v>1900</v>
      </c>
      <c r="Q617">
        <f t="shared" si="18"/>
        <v>2011</v>
      </c>
      <c r="R617">
        <f t="shared" si="19"/>
        <v>10</v>
      </c>
    </row>
    <row r="618" spans="1:20">
      <c r="A618" s="117">
        <v>17</v>
      </c>
      <c r="B618" s="122" t="s">
        <v>259</v>
      </c>
      <c r="C618" s="216">
        <v>40896</v>
      </c>
      <c r="D618">
        <v>3.1</v>
      </c>
      <c r="E618" s="116">
        <v>12.5</v>
      </c>
      <c r="F618" s="101">
        <v>93</v>
      </c>
      <c r="G618">
        <v>7.69</v>
      </c>
      <c r="H618" s="116">
        <v>6.7</v>
      </c>
      <c r="J618">
        <v>1.2</v>
      </c>
      <c r="K618">
        <v>26</v>
      </c>
      <c r="L618">
        <v>48</v>
      </c>
      <c r="M618">
        <v>5000</v>
      </c>
      <c r="N618">
        <v>31</v>
      </c>
      <c r="O618">
        <v>6100</v>
      </c>
      <c r="Q618">
        <f t="shared" si="18"/>
        <v>2011</v>
      </c>
      <c r="R618">
        <f t="shared" si="19"/>
        <v>12</v>
      </c>
    </row>
    <row r="619" spans="1:20">
      <c r="A619" s="117">
        <v>17</v>
      </c>
      <c r="B619" s="102" t="s">
        <v>259</v>
      </c>
      <c r="C619" s="206">
        <v>40949</v>
      </c>
      <c r="D619" s="102">
        <v>0</v>
      </c>
      <c r="E619" s="102">
        <v>11.9</v>
      </c>
      <c r="F619" s="218">
        <v>82</v>
      </c>
      <c r="G619" s="102">
        <v>8</v>
      </c>
      <c r="H619" s="218">
        <v>3.9</v>
      </c>
      <c r="I619" s="102"/>
      <c r="J619" s="102" t="s">
        <v>287</v>
      </c>
      <c r="K619" s="218">
        <v>12</v>
      </c>
      <c r="L619" s="218">
        <v>31</v>
      </c>
      <c r="M619" s="218">
        <v>2400</v>
      </c>
      <c r="N619" s="218">
        <v>41</v>
      </c>
      <c r="O619" s="218">
        <v>2700</v>
      </c>
      <c r="P619" s="112"/>
      <c r="Q619">
        <f t="shared" si="18"/>
        <v>2012</v>
      </c>
      <c r="R619">
        <f t="shared" si="19"/>
        <v>2</v>
      </c>
      <c r="S619" s="112"/>
      <c r="T619" s="102"/>
    </row>
    <row r="620" spans="1:20">
      <c r="A620" s="117">
        <v>17</v>
      </c>
      <c r="B620" s="102" t="s">
        <v>259</v>
      </c>
      <c r="C620" s="206">
        <v>41012</v>
      </c>
      <c r="D620" s="102">
        <v>7.7</v>
      </c>
      <c r="E620" s="102">
        <v>10.4</v>
      </c>
      <c r="F620" s="218">
        <v>93</v>
      </c>
      <c r="G620" s="102">
        <v>7.9</v>
      </c>
      <c r="H620" s="218">
        <v>9.6</v>
      </c>
      <c r="I620" s="102"/>
      <c r="J620" s="102">
        <v>3.1</v>
      </c>
      <c r="K620" s="218">
        <v>19</v>
      </c>
      <c r="L620" s="218">
        <v>61</v>
      </c>
      <c r="M620" s="218">
        <v>1700</v>
      </c>
      <c r="N620" s="218">
        <v>130</v>
      </c>
      <c r="O620" s="218">
        <v>2500</v>
      </c>
      <c r="P620" s="112"/>
      <c r="Q620">
        <f t="shared" si="18"/>
        <v>2012</v>
      </c>
      <c r="R620">
        <f t="shared" si="19"/>
        <v>4</v>
      </c>
      <c r="S620" s="112"/>
      <c r="T620" s="102"/>
    </row>
    <row r="621" spans="1:20">
      <c r="A621" s="117">
        <v>17</v>
      </c>
      <c r="B621" s="102" t="s">
        <v>259</v>
      </c>
      <c r="C621" s="206">
        <v>41078</v>
      </c>
      <c r="D621" s="102">
        <v>17</v>
      </c>
      <c r="E621" s="102">
        <v>8.8000000000000007</v>
      </c>
      <c r="F621" s="218">
        <v>93</v>
      </c>
      <c r="G621" s="102">
        <v>8.1999999999999993</v>
      </c>
      <c r="H621" s="218">
        <v>5.4</v>
      </c>
      <c r="I621" s="102"/>
      <c r="J621" s="102">
        <v>1.8</v>
      </c>
      <c r="K621" s="218">
        <v>17</v>
      </c>
      <c r="L621" s="218">
        <v>40</v>
      </c>
      <c r="M621" s="218">
        <v>670</v>
      </c>
      <c r="N621" s="218">
        <v>34</v>
      </c>
      <c r="O621" s="218">
        <v>1100</v>
      </c>
      <c r="P621" s="112"/>
      <c r="Q621">
        <f t="shared" si="18"/>
        <v>2012</v>
      </c>
      <c r="R621">
        <f t="shared" si="19"/>
        <v>6</v>
      </c>
      <c r="S621" s="112"/>
      <c r="T621" s="102"/>
    </row>
    <row r="622" spans="1:20">
      <c r="A622" s="117">
        <v>17</v>
      </c>
      <c r="B622" s="102" t="s">
        <v>259</v>
      </c>
      <c r="C622" s="206">
        <v>41136</v>
      </c>
      <c r="D622" s="102">
        <v>16.899999999999999</v>
      </c>
      <c r="E622" s="102">
        <v>9.4</v>
      </c>
      <c r="F622" s="218">
        <v>99</v>
      </c>
      <c r="G622" s="102">
        <v>8.1999999999999993</v>
      </c>
      <c r="H622" s="218">
        <v>7.1</v>
      </c>
      <c r="I622" s="102"/>
      <c r="J622" s="102">
        <v>1.5</v>
      </c>
      <c r="K622" s="218">
        <v>27</v>
      </c>
      <c r="L622" s="218">
        <v>60</v>
      </c>
      <c r="M622" s="218">
        <v>980</v>
      </c>
      <c r="N622" s="218">
        <v>20</v>
      </c>
      <c r="O622" s="218">
        <v>1500</v>
      </c>
      <c r="P622" s="112"/>
      <c r="Q622">
        <f t="shared" si="18"/>
        <v>2012</v>
      </c>
      <c r="R622">
        <f t="shared" si="19"/>
        <v>8</v>
      </c>
      <c r="S622" s="112"/>
      <c r="T622" s="102"/>
    </row>
    <row r="623" spans="1:20">
      <c r="A623" s="117">
        <v>17</v>
      </c>
      <c r="B623" s="102" t="s">
        <v>259</v>
      </c>
      <c r="C623" s="206">
        <v>41193</v>
      </c>
      <c r="D623" s="102">
        <v>7.9</v>
      </c>
      <c r="E623" s="102">
        <v>11.6</v>
      </c>
      <c r="F623" s="218">
        <v>98</v>
      </c>
      <c r="G623" s="102">
        <v>8.1</v>
      </c>
      <c r="H623" s="218">
        <v>11</v>
      </c>
      <c r="I623" s="102"/>
      <c r="J623" s="102">
        <v>2</v>
      </c>
      <c r="K623" s="218">
        <v>20</v>
      </c>
      <c r="L623" s="218">
        <v>38</v>
      </c>
      <c r="M623" s="218">
        <v>1700</v>
      </c>
      <c r="N623" s="218" t="s">
        <v>148</v>
      </c>
      <c r="O623" s="218">
        <v>2100</v>
      </c>
      <c r="P623" s="112"/>
      <c r="Q623">
        <f t="shared" si="18"/>
        <v>2012</v>
      </c>
      <c r="R623">
        <f t="shared" si="19"/>
        <v>10</v>
      </c>
      <c r="S623" s="112"/>
      <c r="T623" s="102"/>
    </row>
    <row r="624" spans="1:20">
      <c r="A624" s="117">
        <v>17</v>
      </c>
      <c r="B624" s="102" t="s">
        <v>259</v>
      </c>
      <c r="C624" s="206">
        <v>41263</v>
      </c>
      <c r="D624" s="102">
        <v>1.6</v>
      </c>
      <c r="E624" s="102">
        <v>13.1</v>
      </c>
      <c r="F624" s="218">
        <v>92</v>
      </c>
      <c r="G624" s="102">
        <v>7.9</v>
      </c>
      <c r="H624" s="218">
        <v>4</v>
      </c>
      <c r="I624" s="102"/>
      <c r="J624" s="102">
        <v>2.1</v>
      </c>
      <c r="K624" s="218">
        <v>19</v>
      </c>
      <c r="L624" s="218">
        <v>48</v>
      </c>
      <c r="M624" s="218">
        <v>4400</v>
      </c>
      <c r="N624" s="218">
        <v>55</v>
      </c>
      <c r="O624" s="218">
        <v>5400</v>
      </c>
      <c r="P624" s="112"/>
      <c r="Q624">
        <f t="shared" si="18"/>
        <v>2012</v>
      </c>
      <c r="R624">
        <f t="shared" si="19"/>
        <v>12</v>
      </c>
      <c r="S624" s="112"/>
      <c r="T624" s="102"/>
    </row>
    <row r="625" spans="1:20">
      <c r="A625" s="117">
        <v>17</v>
      </c>
      <c r="B625" s="102" t="s">
        <v>259</v>
      </c>
      <c r="C625" s="206">
        <v>41323</v>
      </c>
      <c r="D625" s="102">
        <v>1.8</v>
      </c>
      <c r="E625" s="102">
        <v>12.6</v>
      </c>
      <c r="F625" s="218">
        <v>92</v>
      </c>
      <c r="G625" s="102">
        <v>8</v>
      </c>
      <c r="H625" s="218">
        <v>1.8</v>
      </c>
      <c r="I625" s="102"/>
      <c r="J625" s="102">
        <v>2</v>
      </c>
      <c r="K625" s="218">
        <v>14</v>
      </c>
      <c r="L625" s="218">
        <v>33</v>
      </c>
      <c r="M625" s="218">
        <v>2700</v>
      </c>
      <c r="N625" s="218">
        <v>52</v>
      </c>
      <c r="O625" s="218">
        <v>3300</v>
      </c>
      <c r="P625" s="112"/>
      <c r="Q625">
        <f t="shared" si="18"/>
        <v>2013</v>
      </c>
      <c r="R625">
        <f t="shared" si="19"/>
        <v>2</v>
      </c>
      <c r="S625" s="112"/>
      <c r="T625" s="102"/>
    </row>
    <row r="626" spans="1:20">
      <c r="A626" s="117">
        <v>17</v>
      </c>
      <c r="B626" s="102" t="s">
        <v>259</v>
      </c>
      <c r="C626" s="206">
        <v>41379</v>
      </c>
      <c r="D626" s="102">
        <v>7.1</v>
      </c>
      <c r="E626" s="102">
        <v>13.2</v>
      </c>
      <c r="F626" s="218">
        <v>110</v>
      </c>
      <c r="G626" s="102">
        <v>8.1999999999999993</v>
      </c>
      <c r="H626" s="218">
        <v>2.6</v>
      </c>
      <c r="I626" s="102"/>
      <c r="J626" s="102">
        <v>2.2000000000000002</v>
      </c>
      <c r="K626" s="218">
        <v>5</v>
      </c>
      <c r="L626" s="218">
        <v>20</v>
      </c>
      <c r="M626" s="218">
        <v>2300</v>
      </c>
      <c r="N626" s="218">
        <v>12</v>
      </c>
      <c r="O626" s="218">
        <v>3000</v>
      </c>
      <c r="P626" s="112"/>
      <c r="Q626">
        <f t="shared" si="18"/>
        <v>2013</v>
      </c>
      <c r="R626">
        <f t="shared" si="19"/>
        <v>4</v>
      </c>
      <c r="S626" s="112"/>
      <c r="T626" s="102"/>
    </row>
    <row r="627" spans="1:20">
      <c r="A627" s="117">
        <v>17</v>
      </c>
      <c r="B627" s="102" t="s">
        <v>259</v>
      </c>
      <c r="C627" s="206">
        <v>41443</v>
      </c>
      <c r="D627" s="102">
        <v>17.5</v>
      </c>
      <c r="E627" s="102">
        <v>9.6</v>
      </c>
      <c r="F627" s="218">
        <v>101</v>
      </c>
      <c r="G627" s="102">
        <v>8.1999999999999993</v>
      </c>
      <c r="H627" s="218">
        <v>7.2</v>
      </c>
      <c r="I627" s="102"/>
      <c r="J627" s="102">
        <v>1.9</v>
      </c>
      <c r="K627" s="218">
        <v>32</v>
      </c>
      <c r="L627" s="218">
        <v>59</v>
      </c>
      <c r="M627" s="218">
        <v>740</v>
      </c>
      <c r="N627" s="218">
        <v>18</v>
      </c>
      <c r="O627" s="218">
        <v>1300</v>
      </c>
      <c r="P627" s="112"/>
      <c r="Q627">
        <f t="shared" si="18"/>
        <v>2013</v>
      </c>
      <c r="R627">
        <f t="shared" si="19"/>
        <v>6</v>
      </c>
      <c r="S627" s="112"/>
      <c r="T627" s="102"/>
    </row>
    <row r="628" spans="1:20">
      <c r="A628" s="117">
        <v>17</v>
      </c>
      <c r="B628" s="102" t="s">
        <v>259</v>
      </c>
      <c r="C628" s="206">
        <v>41500</v>
      </c>
      <c r="D628" s="102">
        <v>14.7</v>
      </c>
      <c r="E628" s="102">
        <v>9</v>
      </c>
      <c r="F628" s="218">
        <v>89</v>
      </c>
      <c r="G628" s="102">
        <v>8</v>
      </c>
      <c r="H628" s="218">
        <v>3</v>
      </c>
      <c r="I628" s="102"/>
      <c r="J628" s="102">
        <v>1.7</v>
      </c>
      <c r="K628" s="218">
        <v>31</v>
      </c>
      <c r="L628" s="218">
        <v>70</v>
      </c>
      <c r="M628" s="218">
        <v>680</v>
      </c>
      <c r="N628" s="218" t="s">
        <v>148</v>
      </c>
      <c r="O628" s="218">
        <v>1200</v>
      </c>
      <c r="P628" s="112"/>
      <c r="Q628">
        <f t="shared" si="18"/>
        <v>2013</v>
      </c>
      <c r="R628">
        <f t="shared" si="19"/>
        <v>8</v>
      </c>
      <c r="S628" s="112"/>
      <c r="T628" s="102"/>
    </row>
    <row r="629" spans="1:20">
      <c r="A629" s="117">
        <v>17</v>
      </c>
      <c r="B629" s="102" t="s">
        <v>259</v>
      </c>
      <c r="C629" s="206">
        <v>41572</v>
      </c>
      <c r="D629" s="102">
        <v>10.3</v>
      </c>
      <c r="E629" s="102">
        <v>9.1</v>
      </c>
      <c r="F629" s="218">
        <v>89</v>
      </c>
      <c r="G629" s="102">
        <v>7.9</v>
      </c>
      <c r="H629" s="218">
        <v>2.6</v>
      </c>
      <c r="I629" s="102"/>
      <c r="J629" s="102">
        <v>0.52</v>
      </c>
      <c r="K629" s="218">
        <v>14</v>
      </c>
      <c r="L629" s="218">
        <v>30</v>
      </c>
      <c r="M629" s="218">
        <v>3800</v>
      </c>
      <c r="N629" s="218">
        <v>15</v>
      </c>
      <c r="O629" s="218">
        <v>4700</v>
      </c>
      <c r="P629" s="112"/>
      <c r="Q629">
        <f t="shared" si="18"/>
        <v>2013</v>
      </c>
      <c r="R629">
        <f t="shared" si="19"/>
        <v>10</v>
      </c>
      <c r="S629" s="112"/>
      <c r="T629" s="102"/>
    </row>
    <row r="630" spans="1:20">
      <c r="A630" s="117">
        <v>17</v>
      </c>
      <c r="B630" s="102" t="s">
        <v>259</v>
      </c>
      <c r="C630" s="206">
        <v>41619</v>
      </c>
      <c r="D630" s="102">
        <v>5.8</v>
      </c>
      <c r="E630" s="102">
        <v>11.3</v>
      </c>
      <c r="F630" s="218">
        <v>91</v>
      </c>
      <c r="G630" s="102">
        <v>8</v>
      </c>
      <c r="H630" s="218">
        <v>2.2000000000000002</v>
      </c>
      <c r="I630" s="102"/>
      <c r="J630" s="102">
        <v>1.5</v>
      </c>
      <c r="K630" s="218">
        <v>16</v>
      </c>
      <c r="L630" s="218">
        <v>40</v>
      </c>
      <c r="M630" s="218">
        <v>4300</v>
      </c>
      <c r="N630" s="218">
        <v>17</v>
      </c>
      <c r="O630" s="218">
        <v>5300</v>
      </c>
      <c r="P630" s="112"/>
      <c r="Q630">
        <f t="shared" si="18"/>
        <v>2013</v>
      </c>
      <c r="R630">
        <f t="shared" si="19"/>
        <v>12</v>
      </c>
      <c r="S630" s="112"/>
      <c r="T630" s="102"/>
    </row>
    <row r="631" spans="1:20">
      <c r="A631" s="117">
        <v>17</v>
      </c>
      <c r="B631" s="102" t="s">
        <v>259</v>
      </c>
      <c r="C631" s="206">
        <v>41681</v>
      </c>
      <c r="D631" s="102">
        <v>2.2000000000000002</v>
      </c>
      <c r="E631" s="102">
        <v>12.1</v>
      </c>
      <c r="F631" s="218">
        <v>92</v>
      </c>
      <c r="G631" s="102">
        <v>7.8</v>
      </c>
      <c r="H631" s="218">
        <v>4.4000000000000004</v>
      </c>
      <c r="I631" s="102"/>
      <c r="J631" s="102">
        <v>1.9</v>
      </c>
      <c r="K631" s="218">
        <v>16</v>
      </c>
      <c r="L631" s="218">
        <v>42</v>
      </c>
      <c r="M631" s="218">
        <v>4300</v>
      </c>
      <c r="N631" s="218">
        <v>36</v>
      </c>
      <c r="O631" s="218">
        <v>4400</v>
      </c>
      <c r="P631" s="112"/>
      <c r="Q631">
        <f t="shared" si="18"/>
        <v>2014</v>
      </c>
      <c r="R631">
        <f t="shared" si="19"/>
        <v>2</v>
      </c>
      <c r="S631" s="112"/>
      <c r="T631" s="102"/>
    </row>
    <row r="632" spans="1:20">
      <c r="A632" s="117">
        <v>17</v>
      </c>
      <c r="B632" s="102" t="s">
        <v>259</v>
      </c>
      <c r="C632" s="206">
        <v>41743</v>
      </c>
      <c r="D632" s="102">
        <v>7.8</v>
      </c>
      <c r="E632" s="102">
        <v>11.3</v>
      </c>
      <c r="F632" s="218">
        <v>98</v>
      </c>
      <c r="G632" s="102">
        <v>8</v>
      </c>
      <c r="H632" s="218">
        <v>5.4</v>
      </c>
      <c r="I632" s="102"/>
      <c r="J632" s="102">
        <v>1.8</v>
      </c>
      <c r="K632" s="218">
        <v>12</v>
      </c>
      <c r="L632" s="218">
        <v>36</v>
      </c>
      <c r="M632" s="218">
        <v>1700</v>
      </c>
      <c r="N632" s="218">
        <v>22</v>
      </c>
      <c r="O632" s="218">
        <v>2500</v>
      </c>
      <c r="P632" s="112"/>
      <c r="Q632">
        <f t="shared" si="18"/>
        <v>2014</v>
      </c>
      <c r="R632">
        <f t="shared" si="19"/>
        <v>4</v>
      </c>
      <c r="S632" s="112"/>
      <c r="T632" s="102"/>
    </row>
    <row r="633" spans="1:20">
      <c r="A633" s="117">
        <v>17</v>
      </c>
      <c r="B633" s="102" t="s">
        <v>259</v>
      </c>
      <c r="C633" s="206">
        <v>41807</v>
      </c>
      <c r="D633" s="102">
        <v>18.7</v>
      </c>
      <c r="E633" s="102">
        <v>9</v>
      </c>
      <c r="F633" s="218">
        <v>95</v>
      </c>
      <c r="G633" s="102">
        <v>8.1</v>
      </c>
      <c r="H633" s="218">
        <v>18</v>
      </c>
      <c r="I633" s="102"/>
      <c r="J633" s="102">
        <v>2.4</v>
      </c>
      <c r="K633" s="218">
        <v>10</v>
      </c>
      <c r="L633" s="218">
        <v>110</v>
      </c>
      <c r="M633" s="218">
        <v>800</v>
      </c>
      <c r="N633" s="218">
        <v>19</v>
      </c>
      <c r="O633" s="218">
        <v>1700</v>
      </c>
      <c r="P633" s="112"/>
      <c r="Q633">
        <f t="shared" si="18"/>
        <v>2014</v>
      </c>
      <c r="R633">
        <f t="shared" si="19"/>
        <v>6</v>
      </c>
      <c r="S633" s="112"/>
      <c r="T633" s="102"/>
    </row>
    <row r="634" spans="1:20">
      <c r="A634" s="117">
        <v>17</v>
      </c>
      <c r="B634" s="102" t="s">
        <v>259</v>
      </c>
      <c r="C634" s="206">
        <v>41863</v>
      </c>
      <c r="D634" s="102">
        <v>15.9</v>
      </c>
      <c r="E634" s="102">
        <v>6.3</v>
      </c>
      <c r="F634" s="218">
        <v>69</v>
      </c>
      <c r="G634" s="102">
        <v>8.1</v>
      </c>
      <c r="H634" s="218">
        <v>6.3</v>
      </c>
      <c r="I634" s="102"/>
      <c r="J634" s="102">
        <v>1.5</v>
      </c>
      <c r="K634" s="218">
        <v>36</v>
      </c>
      <c r="L634" s="218">
        <v>57</v>
      </c>
      <c r="M634" s="218">
        <v>520</v>
      </c>
      <c r="N634" s="218">
        <v>17</v>
      </c>
      <c r="O634" s="218">
        <v>1100</v>
      </c>
      <c r="P634" s="112"/>
      <c r="Q634">
        <f t="shared" si="18"/>
        <v>2014</v>
      </c>
      <c r="R634">
        <f t="shared" si="19"/>
        <v>8</v>
      </c>
      <c r="S634" s="112"/>
      <c r="T634" s="102"/>
    </row>
    <row r="635" spans="1:20">
      <c r="A635" s="117">
        <v>17</v>
      </c>
      <c r="B635" s="102" t="s">
        <v>259</v>
      </c>
      <c r="C635" s="206">
        <v>41929</v>
      </c>
      <c r="D635" s="102">
        <v>12.2</v>
      </c>
      <c r="E635" s="102">
        <v>8.6999999999999993</v>
      </c>
      <c r="F635" s="218">
        <v>86</v>
      </c>
      <c r="G635" s="102">
        <v>7.7</v>
      </c>
      <c r="H635" s="218">
        <v>23</v>
      </c>
      <c r="I635" s="102"/>
      <c r="J635" s="102">
        <v>1.9</v>
      </c>
      <c r="K635" s="218">
        <v>24</v>
      </c>
      <c r="L635" s="218">
        <v>120</v>
      </c>
      <c r="M635" s="218">
        <v>3700</v>
      </c>
      <c r="N635" s="218">
        <v>40</v>
      </c>
      <c r="O635" s="218">
        <v>4300</v>
      </c>
      <c r="P635" s="112"/>
      <c r="Q635">
        <f t="shared" si="18"/>
        <v>2014</v>
      </c>
      <c r="R635">
        <f t="shared" si="19"/>
        <v>10</v>
      </c>
      <c r="S635" s="112"/>
      <c r="T635" s="102"/>
    </row>
    <row r="636" spans="1:20">
      <c r="A636" s="117">
        <v>17</v>
      </c>
      <c r="B636" s="102" t="s">
        <v>259</v>
      </c>
      <c r="C636" s="206">
        <v>41985</v>
      </c>
      <c r="D636" s="102">
        <v>4.4000000000000004</v>
      </c>
      <c r="E636" s="102">
        <v>12</v>
      </c>
      <c r="F636" s="218">
        <v>99</v>
      </c>
      <c r="G636" s="102">
        <v>7.9</v>
      </c>
      <c r="H636" s="218">
        <v>6.6</v>
      </c>
      <c r="I636" s="102"/>
      <c r="J636" s="102" t="s">
        <v>287</v>
      </c>
      <c r="K636" s="218">
        <v>25</v>
      </c>
      <c r="L636" s="218">
        <v>49</v>
      </c>
      <c r="M636" s="218">
        <v>4600</v>
      </c>
      <c r="N636" s="218">
        <v>66</v>
      </c>
      <c r="O636" s="218">
        <v>5300</v>
      </c>
      <c r="P636" s="112"/>
      <c r="Q636">
        <f t="shared" si="18"/>
        <v>2014</v>
      </c>
      <c r="R636">
        <f t="shared" si="19"/>
        <v>12</v>
      </c>
      <c r="S636" s="112"/>
      <c r="T636" s="102"/>
    </row>
    <row r="637" spans="1:20">
      <c r="A637" s="117">
        <v>17</v>
      </c>
      <c r="B637" s="102" t="s">
        <v>259</v>
      </c>
      <c r="C637" s="206">
        <v>42045</v>
      </c>
      <c r="D637" s="102">
        <v>2.5</v>
      </c>
      <c r="E637" s="102">
        <v>13.5</v>
      </c>
      <c r="F637" s="218">
        <v>99</v>
      </c>
      <c r="G637" s="102">
        <v>7.9</v>
      </c>
      <c r="H637" s="218">
        <v>5.4</v>
      </c>
      <c r="I637" s="102"/>
      <c r="J637" s="102">
        <v>1.9</v>
      </c>
      <c r="K637" s="218">
        <v>6.6</v>
      </c>
      <c r="L637" s="218">
        <v>40</v>
      </c>
      <c r="M637" s="218">
        <v>3300</v>
      </c>
      <c r="N637" s="218">
        <v>29</v>
      </c>
      <c r="O637" s="218">
        <v>4200</v>
      </c>
      <c r="P637" s="112"/>
      <c r="Q637">
        <f t="shared" si="18"/>
        <v>2015</v>
      </c>
      <c r="R637">
        <f t="shared" si="19"/>
        <v>2</v>
      </c>
      <c r="S637" s="112"/>
      <c r="T637" s="102"/>
    </row>
    <row r="638" spans="1:20">
      <c r="A638" s="117">
        <v>17</v>
      </c>
      <c r="B638" s="102" t="s">
        <v>259</v>
      </c>
      <c r="C638" s="206">
        <v>42107</v>
      </c>
      <c r="D638" s="102">
        <v>8</v>
      </c>
      <c r="E638" s="102">
        <v>12</v>
      </c>
      <c r="F638" s="218">
        <v>97</v>
      </c>
      <c r="G638" s="102">
        <v>8.1</v>
      </c>
      <c r="H638" s="218">
        <v>4.2</v>
      </c>
      <c r="I638" s="102"/>
      <c r="J638" s="102">
        <v>1.5</v>
      </c>
      <c r="K638" s="218">
        <v>11</v>
      </c>
      <c r="L638" s="218">
        <v>40</v>
      </c>
      <c r="M638" s="218">
        <v>2000</v>
      </c>
      <c r="N638" s="218">
        <v>14</v>
      </c>
      <c r="O638" s="218">
        <v>2700</v>
      </c>
      <c r="P638" s="112"/>
      <c r="Q638">
        <f t="shared" si="18"/>
        <v>2015</v>
      </c>
      <c r="R638">
        <f t="shared" si="19"/>
        <v>4</v>
      </c>
      <c r="S638" s="112"/>
      <c r="T638" s="102"/>
    </row>
    <row r="639" spans="1:20">
      <c r="A639" s="117">
        <v>17</v>
      </c>
      <c r="B639" s="102" t="s">
        <v>259</v>
      </c>
      <c r="C639" s="206">
        <v>42172</v>
      </c>
      <c r="D639" s="102">
        <v>14.1</v>
      </c>
      <c r="E639" s="102">
        <v>10.3</v>
      </c>
      <c r="F639" s="218">
        <v>104</v>
      </c>
      <c r="G639" s="102">
        <v>8.1999999999999993</v>
      </c>
      <c r="H639" s="218">
        <v>5</v>
      </c>
      <c r="I639" s="102"/>
      <c r="J639" s="102">
        <v>2.2000000000000002</v>
      </c>
      <c r="K639" s="218">
        <v>8.8000000000000007</v>
      </c>
      <c r="L639" s="218">
        <v>41</v>
      </c>
      <c r="M639" s="218">
        <v>900</v>
      </c>
      <c r="N639" s="218">
        <v>15</v>
      </c>
      <c r="O639" s="218">
        <v>1600</v>
      </c>
      <c r="P639" s="112"/>
      <c r="Q639">
        <f t="shared" si="18"/>
        <v>2015</v>
      </c>
      <c r="R639">
        <f t="shared" si="19"/>
        <v>6</v>
      </c>
      <c r="S639" s="112"/>
      <c r="T639" s="102"/>
    </row>
    <row r="640" spans="1:20">
      <c r="A640" s="117">
        <v>17</v>
      </c>
      <c r="B640" s="102" t="s">
        <v>259</v>
      </c>
      <c r="C640" s="206">
        <v>42234</v>
      </c>
      <c r="D640" s="102">
        <v>18.3</v>
      </c>
      <c r="E640" s="102">
        <v>10</v>
      </c>
      <c r="F640" s="218">
        <v>106</v>
      </c>
      <c r="G640" s="102">
        <v>8.1999999999999993</v>
      </c>
      <c r="H640" s="218">
        <v>3.5</v>
      </c>
      <c r="I640" s="102"/>
      <c r="J640" s="102">
        <v>1.3</v>
      </c>
      <c r="K640" s="218">
        <v>25</v>
      </c>
      <c r="L640" s="218">
        <v>58</v>
      </c>
      <c r="M640" s="218">
        <v>570</v>
      </c>
      <c r="N640" s="218">
        <v>21</v>
      </c>
      <c r="O640" s="218">
        <v>1100</v>
      </c>
      <c r="P640" s="112"/>
      <c r="Q640">
        <f t="shared" si="18"/>
        <v>2015</v>
      </c>
      <c r="R640">
        <f t="shared" si="19"/>
        <v>8</v>
      </c>
      <c r="S640" s="112"/>
      <c r="T640" s="102"/>
    </row>
    <row r="641" spans="1:20">
      <c r="A641" s="117">
        <v>17</v>
      </c>
      <c r="B641" s="102" t="s">
        <v>259</v>
      </c>
      <c r="C641" s="206">
        <v>42290</v>
      </c>
      <c r="D641" s="102">
        <v>7.9</v>
      </c>
      <c r="E641" s="102">
        <v>13.1</v>
      </c>
      <c r="F641" s="218">
        <v>114</v>
      </c>
      <c r="G641" s="102">
        <v>8.1</v>
      </c>
      <c r="H641" s="218">
        <v>3.4</v>
      </c>
      <c r="I641" s="102"/>
      <c r="J641" s="102">
        <v>2.2999999999999998</v>
      </c>
      <c r="K641" s="218">
        <v>9.3000000000000007</v>
      </c>
      <c r="L641" s="218">
        <v>38</v>
      </c>
      <c r="M641" s="218">
        <v>320</v>
      </c>
      <c r="N641" s="218">
        <v>11</v>
      </c>
      <c r="O641" s="218">
        <v>1100</v>
      </c>
      <c r="P641" s="112"/>
      <c r="Q641">
        <f t="shared" si="18"/>
        <v>2015</v>
      </c>
      <c r="R641">
        <f t="shared" si="19"/>
        <v>10</v>
      </c>
      <c r="S641" s="112"/>
      <c r="T641" s="102"/>
    </row>
    <row r="642" spans="1:20">
      <c r="A642" s="117">
        <v>17</v>
      </c>
      <c r="B642" s="102" t="s">
        <v>259</v>
      </c>
      <c r="C642" s="206">
        <v>42352</v>
      </c>
      <c r="D642" s="102">
        <v>2.6</v>
      </c>
      <c r="E642" s="102">
        <v>13</v>
      </c>
      <c r="F642" s="218">
        <v>95</v>
      </c>
      <c r="G642" s="102">
        <v>7.9</v>
      </c>
      <c r="H642" s="218">
        <v>6.8</v>
      </c>
      <c r="I642" s="102"/>
      <c r="J642" s="102">
        <v>1.9</v>
      </c>
      <c r="K642" s="218">
        <v>21</v>
      </c>
      <c r="L642" s="218">
        <v>44</v>
      </c>
      <c r="M642" s="218">
        <v>3400</v>
      </c>
      <c r="N642" s="218">
        <v>40</v>
      </c>
      <c r="O642" s="218">
        <v>4600</v>
      </c>
      <c r="P642" s="112"/>
      <c r="Q642">
        <f t="shared" si="18"/>
        <v>2015</v>
      </c>
      <c r="R642">
        <f t="shared" si="19"/>
        <v>12</v>
      </c>
      <c r="S642" s="112"/>
      <c r="T642" s="102"/>
    </row>
    <row r="643" spans="1:20">
      <c r="A643" s="117">
        <v>17</v>
      </c>
      <c r="B643" s="102" t="s">
        <v>259</v>
      </c>
      <c r="C643" s="216">
        <v>42416</v>
      </c>
      <c r="D643">
        <v>1.4</v>
      </c>
      <c r="E643" s="116">
        <v>13.5</v>
      </c>
      <c r="F643" s="101">
        <v>95</v>
      </c>
      <c r="G643">
        <v>7.9</v>
      </c>
      <c r="H643" s="116">
        <v>4.2</v>
      </c>
      <c r="J643">
        <v>1.9</v>
      </c>
      <c r="K643">
        <v>16</v>
      </c>
      <c r="L643">
        <v>39</v>
      </c>
      <c r="M643">
        <v>3400</v>
      </c>
      <c r="N643">
        <v>26</v>
      </c>
      <c r="O643">
        <v>3900</v>
      </c>
      <c r="Q643">
        <f t="shared" si="18"/>
        <v>2016</v>
      </c>
      <c r="R643">
        <f t="shared" si="19"/>
        <v>2</v>
      </c>
    </row>
    <row r="644" spans="1:20">
      <c r="A644" s="117">
        <v>17</v>
      </c>
      <c r="B644" s="102" t="s">
        <v>259</v>
      </c>
      <c r="C644" s="216">
        <v>42472</v>
      </c>
      <c r="D644">
        <v>8.9</v>
      </c>
      <c r="E644" s="116">
        <v>12.6</v>
      </c>
      <c r="F644" s="101">
        <v>110</v>
      </c>
      <c r="G644">
        <v>8.1999999999999993</v>
      </c>
      <c r="H644" s="116">
        <v>2.8</v>
      </c>
      <c r="J644">
        <v>1.5</v>
      </c>
      <c r="K644">
        <v>12</v>
      </c>
      <c r="L644">
        <v>36</v>
      </c>
      <c r="M644">
        <v>1300</v>
      </c>
      <c r="N644">
        <v>11</v>
      </c>
      <c r="O644">
        <v>1800</v>
      </c>
      <c r="Q644">
        <f t="shared" si="18"/>
        <v>2016</v>
      </c>
      <c r="R644">
        <f t="shared" si="19"/>
        <v>4</v>
      </c>
    </row>
    <row r="645" spans="1:20">
      <c r="A645" s="117">
        <v>17</v>
      </c>
      <c r="B645" s="102" t="s">
        <v>259</v>
      </c>
      <c r="C645" s="216">
        <v>42536</v>
      </c>
      <c r="D645">
        <v>16.5</v>
      </c>
      <c r="E645" s="116">
        <v>9.9</v>
      </c>
      <c r="F645" s="101">
        <v>104</v>
      </c>
      <c r="G645">
        <v>8.1999999999999993</v>
      </c>
      <c r="H645" s="116">
        <v>4</v>
      </c>
      <c r="J645">
        <v>1.6</v>
      </c>
      <c r="K645">
        <v>27</v>
      </c>
      <c r="L645">
        <v>46</v>
      </c>
      <c r="M645">
        <v>1200</v>
      </c>
      <c r="N645">
        <v>15</v>
      </c>
      <c r="O645">
        <v>1700</v>
      </c>
      <c r="Q645">
        <f t="shared" si="18"/>
        <v>2016</v>
      </c>
      <c r="R645">
        <f t="shared" si="19"/>
        <v>6</v>
      </c>
    </row>
    <row r="646" spans="1:20">
      <c r="A646" s="117">
        <v>17</v>
      </c>
      <c r="B646" s="102" t="s">
        <v>259</v>
      </c>
      <c r="C646" s="216">
        <v>42592</v>
      </c>
      <c r="D646">
        <v>14.1</v>
      </c>
      <c r="E646" s="116">
        <v>10.3</v>
      </c>
      <c r="F646" s="101">
        <v>101</v>
      </c>
      <c r="G646">
        <v>8.1999999999999993</v>
      </c>
      <c r="H646" s="116">
        <v>2.2999999999999998</v>
      </c>
      <c r="J646" t="s">
        <v>287</v>
      </c>
      <c r="K646">
        <v>26</v>
      </c>
      <c r="L646">
        <v>44</v>
      </c>
      <c r="M646">
        <v>700</v>
      </c>
      <c r="N646">
        <v>13</v>
      </c>
      <c r="O646">
        <v>1000</v>
      </c>
      <c r="Q646">
        <f t="shared" si="18"/>
        <v>2016</v>
      </c>
      <c r="R646">
        <f t="shared" si="19"/>
        <v>8</v>
      </c>
    </row>
    <row r="647" spans="1:20">
      <c r="A647" s="117">
        <v>17</v>
      </c>
      <c r="B647" s="102" t="s">
        <v>259</v>
      </c>
      <c r="C647" s="216">
        <v>42661</v>
      </c>
      <c r="D647">
        <v>8</v>
      </c>
      <c r="E647" s="116">
        <v>10.5</v>
      </c>
      <c r="F647" s="101">
        <v>89</v>
      </c>
      <c r="G647">
        <v>8</v>
      </c>
      <c r="H647" s="116">
        <v>1.7</v>
      </c>
      <c r="J647">
        <v>1.3</v>
      </c>
      <c r="K647">
        <v>13</v>
      </c>
      <c r="L647">
        <v>30</v>
      </c>
      <c r="M647">
        <v>870</v>
      </c>
      <c r="N647">
        <v>17</v>
      </c>
      <c r="O647">
        <v>1200</v>
      </c>
      <c r="Q647">
        <f t="shared" ref="Q647:Q710" si="20">YEAR(C647)</f>
        <v>2016</v>
      </c>
      <c r="R647">
        <f t="shared" ref="R647:R710" si="21">MONTH(C647)</f>
        <v>10</v>
      </c>
    </row>
    <row r="648" spans="1:20">
      <c r="A648" s="117">
        <v>17</v>
      </c>
      <c r="B648" s="102" t="s">
        <v>259</v>
      </c>
      <c r="C648" s="216">
        <v>42724</v>
      </c>
      <c r="D648">
        <v>3.6</v>
      </c>
      <c r="E648" s="116">
        <v>12.8</v>
      </c>
      <c r="F648" s="101">
        <v>96</v>
      </c>
      <c r="G648">
        <v>8</v>
      </c>
      <c r="H648" s="116">
        <v>2.1</v>
      </c>
      <c r="J648">
        <v>1.4</v>
      </c>
      <c r="K648">
        <v>18</v>
      </c>
      <c r="L648">
        <v>30</v>
      </c>
      <c r="M648">
        <v>3100</v>
      </c>
      <c r="N648">
        <v>38</v>
      </c>
      <c r="O648">
        <v>3600</v>
      </c>
      <c r="Q648">
        <f t="shared" si="20"/>
        <v>2016</v>
      </c>
      <c r="R648">
        <f t="shared" si="21"/>
        <v>12</v>
      </c>
    </row>
    <row r="649" spans="1:20">
      <c r="A649" s="117">
        <v>17</v>
      </c>
      <c r="B649" s="102" t="s">
        <v>259</v>
      </c>
      <c r="C649" s="206">
        <v>42773</v>
      </c>
      <c r="D649" s="102">
        <v>0</v>
      </c>
      <c r="E649" s="102">
        <v>14.3</v>
      </c>
      <c r="F649" s="218">
        <v>97</v>
      </c>
      <c r="G649" s="102">
        <v>8.1</v>
      </c>
      <c r="H649" s="218">
        <v>2.1</v>
      </c>
      <c r="I649" s="102"/>
      <c r="J649" s="102">
        <v>1.7</v>
      </c>
      <c r="K649" s="218">
        <v>13</v>
      </c>
      <c r="L649" s="218">
        <v>36</v>
      </c>
      <c r="M649" s="218">
        <v>3100</v>
      </c>
      <c r="N649" s="218">
        <v>32</v>
      </c>
      <c r="O649" s="218">
        <v>3500</v>
      </c>
      <c r="P649" s="112"/>
      <c r="Q649">
        <f t="shared" si="20"/>
        <v>2017</v>
      </c>
      <c r="R649">
        <f t="shared" si="21"/>
        <v>2</v>
      </c>
      <c r="S649" s="112"/>
      <c r="T649" s="102"/>
    </row>
    <row r="650" spans="1:20">
      <c r="A650" s="117">
        <v>17</v>
      </c>
      <c r="B650" s="102" t="s">
        <v>259</v>
      </c>
      <c r="C650" s="206">
        <v>42837</v>
      </c>
      <c r="D650" s="102">
        <v>7.7</v>
      </c>
      <c r="E650" s="102">
        <v>11.5</v>
      </c>
      <c r="F650" s="218">
        <v>98</v>
      </c>
      <c r="G650" s="102">
        <v>8</v>
      </c>
      <c r="H650" s="218">
        <v>3.4</v>
      </c>
      <c r="I650" s="102"/>
      <c r="J650" s="102">
        <v>1.7</v>
      </c>
      <c r="K650" s="218">
        <v>7.5</v>
      </c>
      <c r="L650" s="218">
        <v>33</v>
      </c>
      <c r="M650" s="218">
        <v>1800</v>
      </c>
      <c r="N650" s="218">
        <v>21</v>
      </c>
      <c r="O650" s="218">
        <v>2400</v>
      </c>
      <c r="P650" s="112"/>
      <c r="Q650">
        <f t="shared" si="20"/>
        <v>2017</v>
      </c>
      <c r="R650">
        <f t="shared" si="21"/>
        <v>4</v>
      </c>
      <c r="S650" s="112"/>
      <c r="T650" s="102"/>
    </row>
    <row r="651" spans="1:20">
      <c r="A651" s="117">
        <v>17</v>
      </c>
      <c r="B651" s="102" t="s">
        <v>259</v>
      </c>
      <c r="C651" s="206">
        <v>42901</v>
      </c>
      <c r="D651" s="102">
        <v>16.8</v>
      </c>
      <c r="E651" s="102">
        <v>9.8000000000000007</v>
      </c>
      <c r="F651" s="218">
        <v>102</v>
      </c>
      <c r="G651" s="102">
        <v>8.1</v>
      </c>
      <c r="H651" s="218">
        <v>4.5999999999999996</v>
      </c>
      <c r="I651" s="102"/>
      <c r="J651" s="102">
        <v>1.18</v>
      </c>
      <c r="K651" s="218">
        <v>26</v>
      </c>
      <c r="L651" s="218">
        <v>53</v>
      </c>
      <c r="M651" s="218">
        <v>970</v>
      </c>
      <c r="N651" s="218">
        <v>32</v>
      </c>
      <c r="O651" s="218">
        <v>1500</v>
      </c>
      <c r="P651" s="112"/>
      <c r="Q651">
        <f t="shared" si="20"/>
        <v>2017</v>
      </c>
      <c r="R651">
        <f t="shared" si="21"/>
        <v>6</v>
      </c>
      <c r="S651" s="112"/>
      <c r="T651" s="102"/>
    </row>
    <row r="652" spans="1:20">
      <c r="A652" s="117">
        <v>17</v>
      </c>
      <c r="B652" s="102" t="s">
        <v>259</v>
      </c>
      <c r="C652" s="206">
        <v>42963</v>
      </c>
      <c r="D652" s="102">
        <v>17.100000000000001</v>
      </c>
      <c r="E652" s="102">
        <v>9.1</v>
      </c>
      <c r="F652" s="218">
        <v>95</v>
      </c>
      <c r="G652" s="102">
        <v>8.1999999999999993</v>
      </c>
      <c r="H652" s="218">
        <v>5.6</v>
      </c>
      <c r="I652" s="102"/>
      <c r="J652" s="102">
        <v>1.1000000000000001</v>
      </c>
      <c r="K652" s="218">
        <v>9</v>
      </c>
      <c r="L652" s="218">
        <v>64</v>
      </c>
      <c r="M652" s="218">
        <v>900</v>
      </c>
      <c r="N652" s="218">
        <v>18</v>
      </c>
      <c r="O652" s="218">
        <v>1300</v>
      </c>
      <c r="P652" s="112"/>
      <c r="Q652">
        <f t="shared" si="20"/>
        <v>2017</v>
      </c>
      <c r="R652">
        <f t="shared" si="21"/>
        <v>8</v>
      </c>
      <c r="S652" s="112"/>
      <c r="T652" s="102"/>
    </row>
    <row r="653" spans="1:20">
      <c r="A653" s="117">
        <v>17</v>
      </c>
      <c r="B653" s="102" t="s">
        <v>259</v>
      </c>
      <c r="C653" s="206">
        <v>43027</v>
      </c>
      <c r="D653" s="102">
        <v>11</v>
      </c>
      <c r="E653" s="102">
        <v>9.4</v>
      </c>
      <c r="F653" s="218">
        <v>86</v>
      </c>
      <c r="G653" s="102">
        <v>8</v>
      </c>
      <c r="H653" s="218">
        <v>3.6</v>
      </c>
      <c r="I653" s="102"/>
      <c r="J653" s="102">
        <v>1.4</v>
      </c>
      <c r="K653" s="218">
        <v>14</v>
      </c>
      <c r="L653" s="218">
        <v>41</v>
      </c>
      <c r="M653" s="218">
        <v>2000</v>
      </c>
      <c r="N653" s="218" t="s">
        <v>148</v>
      </c>
      <c r="O653" s="218">
        <v>2600</v>
      </c>
      <c r="P653" s="112"/>
      <c r="Q653">
        <f t="shared" si="20"/>
        <v>2017</v>
      </c>
      <c r="R653">
        <f t="shared" si="21"/>
        <v>10</v>
      </c>
      <c r="S653" s="112"/>
      <c r="T653" s="102"/>
    </row>
    <row r="654" spans="1:20">
      <c r="A654" s="117">
        <v>17</v>
      </c>
      <c r="B654" s="102" t="s">
        <v>259</v>
      </c>
      <c r="C654" s="216">
        <v>43081</v>
      </c>
      <c r="D654">
        <v>2.8</v>
      </c>
      <c r="E654" s="116">
        <v>12.2</v>
      </c>
      <c r="F654" s="101">
        <v>93</v>
      </c>
      <c r="G654">
        <v>7.8</v>
      </c>
      <c r="H654" s="116">
        <v>12</v>
      </c>
      <c r="J654">
        <v>1.8</v>
      </c>
      <c r="K654">
        <v>34</v>
      </c>
      <c r="L654">
        <v>64</v>
      </c>
      <c r="M654">
        <v>2800</v>
      </c>
      <c r="N654">
        <v>54</v>
      </c>
      <c r="O654">
        <v>3300</v>
      </c>
      <c r="Q654">
        <f t="shared" si="20"/>
        <v>2017</v>
      </c>
      <c r="R654">
        <f t="shared" si="21"/>
        <v>12</v>
      </c>
    </row>
    <row r="655" spans="1:20">
      <c r="A655" s="117">
        <v>17</v>
      </c>
      <c r="B655" s="102" t="s">
        <v>259</v>
      </c>
      <c r="C655" s="216">
        <v>43151</v>
      </c>
      <c r="D655">
        <v>2.6</v>
      </c>
      <c r="E655" s="116">
        <v>12</v>
      </c>
      <c r="F655" s="101">
        <v>88</v>
      </c>
      <c r="G655">
        <v>7.9</v>
      </c>
      <c r="H655" s="116">
        <v>6</v>
      </c>
      <c r="J655">
        <v>2.4</v>
      </c>
      <c r="K655">
        <v>20</v>
      </c>
      <c r="L655">
        <v>41</v>
      </c>
      <c r="M655">
        <v>3000</v>
      </c>
      <c r="N655">
        <v>42</v>
      </c>
      <c r="O655">
        <v>3400</v>
      </c>
      <c r="Q655">
        <f t="shared" si="20"/>
        <v>2018</v>
      </c>
      <c r="R655">
        <f t="shared" si="21"/>
        <v>2</v>
      </c>
    </row>
    <row r="656" spans="1:20">
      <c r="A656" s="117">
        <v>17</v>
      </c>
      <c r="B656" s="102" t="s">
        <v>259</v>
      </c>
      <c r="C656" s="216">
        <v>43200</v>
      </c>
      <c r="D656">
        <v>7.9</v>
      </c>
      <c r="E656" s="116">
        <v>10.9</v>
      </c>
      <c r="F656" s="101">
        <v>92</v>
      </c>
      <c r="G656">
        <v>7.98</v>
      </c>
      <c r="H656" s="116">
        <v>5.85</v>
      </c>
      <c r="J656">
        <v>1.9</v>
      </c>
      <c r="K656">
        <v>17</v>
      </c>
      <c r="L656">
        <v>44</v>
      </c>
      <c r="M656">
        <v>2400</v>
      </c>
      <c r="N656">
        <v>29</v>
      </c>
      <c r="O656">
        <v>2600</v>
      </c>
      <c r="Q656">
        <f t="shared" si="20"/>
        <v>2018</v>
      </c>
      <c r="R656">
        <f t="shared" si="21"/>
        <v>4</v>
      </c>
    </row>
    <row r="657" spans="1:20">
      <c r="A657" s="117">
        <v>17</v>
      </c>
      <c r="B657" s="102" t="s">
        <v>259</v>
      </c>
      <c r="C657" s="216">
        <v>43270</v>
      </c>
      <c r="D657">
        <v>15.7</v>
      </c>
      <c r="E657" s="116">
        <v>9.1999999999999993</v>
      </c>
      <c r="F657" s="101">
        <v>93</v>
      </c>
      <c r="G657">
        <v>7.92</v>
      </c>
      <c r="H657" s="116">
        <v>5.6</v>
      </c>
      <c r="J657">
        <v>2.9</v>
      </c>
      <c r="K657">
        <v>7</v>
      </c>
      <c r="L657">
        <v>60</v>
      </c>
      <c r="M657">
        <v>1200</v>
      </c>
      <c r="N657">
        <v>35</v>
      </c>
      <c r="O657">
        <v>1600</v>
      </c>
      <c r="Q657">
        <f t="shared" si="20"/>
        <v>2018</v>
      </c>
      <c r="R657">
        <f t="shared" si="21"/>
        <v>6</v>
      </c>
    </row>
    <row r="658" spans="1:20">
      <c r="A658" s="117">
        <v>17</v>
      </c>
      <c r="B658" s="102" t="s">
        <v>259</v>
      </c>
      <c r="C658" s="206">
        <v>43333</v>
      </c>
      <c r="D658" s="102">
        <v>14.9</v>
      </c>
      <c r="E658" s="102">
        <v>9.4</v>
      </c>
      <c r="F658" s="218">
        <v>93</v>
      </c>
      <c r="G658" s="102">
        <v>7.97</v>
      </c>
      <c r="H658" s="218">
        <v>3</v>
      </c>
      <c r="I658" s="102"/>
      <c r="J658" s="102">
        <v>2.2000000000000002</v>
      </c>
      <c r="K658" s="218">
        <v>27</v>
      </c>
      <c r="L658" s="218">
        <v>42</v>
      </c>
      <c r="M658" s="218">
        <v>770</v>
      </c>
      <c r="N658" s="218">
        <v>27</v>
      </c>
      <c r="O658" s="218">
        <v>970</v>
      </c>
      <c r="P658" s="112"/>
      <c r="Q658">
        <f t="shared" si="20"/>
        <v>2018</v>
      </c>
      <c r="R658">
        <f t="shared" si="21"/>
        <v>8</v>
      </c>
      <c r="S658" s="112"/>
      <c r="T658" s="102"/>
    </row>
    <row r="659" spans="1:20">
      <c r="A659" s="117">
        <v>17</v>
      </c>
      <c r="B659" s="102" t="s">
        <v>259</v>
      </c>
      <c r="C659" s="206">
        <v>43389</v>
      </c>
      <c r="D659" s="102">
        <v>9.1999999999999993</v>
      </c>
      <c r="E659" s="102">
        <v>9.5</v>
      </c>
      <c r="F659" s="218">
        <v>83</v>
      </c>
      <c r="G659" s="102">
        <v>7.79</v>
      </c>
      <c r="H659" s="218">
        <v>4.0999999999999996</v>
      </c>
      <c r="I659" s="102"/>
      <c r="J659" s="102">
        <v>2.2000000000000002</v>
      </c>
      <c r="K659" s="218">
        <v>5</v>
      </c>
      <c r="L659" s="218">
        <v>45</v>
      </c>
      <c r="M659" s="218">
        <v>360</v>
      </c>
      <c r="N659" s="218" t="s">
        <v>148</v>
      </c>
      <c r="O659" s="218">
        <v>690</v>
      </c>
      <c r="P659" s="112"/>
      <c r="Q659">
        <f t="shared" si="20"/>
        <v>2018</v>
      </c>
      <c r="R659">
        <f t="shared" si="21"/>
        <v>10</v>
      </c>
      <c r="S659" s="112"/>
      <c r="T659" s="102"/>
    </row>
    <row r="660" spans="1:20">
      <c r="A660" s="117">
        <v>17</v>
      </c>
      <c r="B660" s="102" t="s">
        <v>259</v>
      </c>
      <c r="C660" s="206">
        <v>43447</v>
      </c>
      <c r="D660" s="102">
        <v>2.6</v>
      </c>
      <c r="E660" s="102">
        <v>13.3</v>
      </c>
      <c r="F660" s="218">
        <v>98</v>
      </c>
      <c r="G660" s="102">
        <v>7.84</v>
      </c>
      <c r="H660" s="218">
        <v>2</v>
      </c>
      <c r="I660" s="102"/>
      <c r="J660" s="102">
        <v>2.1</v>
      </c>
      <c r="K660" s="218">
        <v>6.1</v>
      </c>
      <c r="L660" s="218">
        <v>25</v>
      </c>
      <c r="M660" s="218">
        <v>7500</v>
      </c>
      <c r="N660" s="218">
        <v>43</v>
      </c>
      <c r="O660" s="218">
        <v>7200</v>
      </c>
      <c r="P660" s="112"/>
      <c r="Q660">
        <f t="shared" si="20"/>
        <v>2018</v>
      </c>
      <c r="R660">
        <f t="shared" si="21"/>
        <v>12</v>
      </c>
      <c r="S660" s="112"/>
      <c r="T660" s="102"/>
    </row>
    <row r="661" spans="1:20">
      <c r="A661" s="117">
        <v>17</v>
      </c>
      <c r="B661" s="102" t="s">
        <v>259</v>
      </c>
      <c r="C661" s="206">
        <v>43515</v>
      </c>
      <c r="D661" s="102">
        <v>4.5</v>
      </c>
      <c r="E661" s="102">
        <v>12.4</v>
      </c>
      <c r="F661" s="218">
        <v>96</v>
      </c>
      <c r="G661" s="102">
        <v>7.85</v>
      </c>
      <c r="H661" s="218">
        <v>1.7</v>
      </c>
      <c r="I661" s="102"/>
      <c r="J661" s="102">
        <v>1.1000000000000001</v>
      </c>
      <c r="K661" s="218">
        <v>10</v>
      </c>
      <c r="L661" s="218">
        <v>25</v>
      </c>
      <c r="M661" s="218">
        <v>6300</v>
      </c>
      <c r="N661" s="218">
        <v>15</v>
      </c>
      <c r="O661" s="218">
        <v>6400</v>
      </c>
      <c r="P661" s="112"/>
      <c r="Q661">
        <f t="shared" si="20"/>
        <v>2019</v>
      </c>
      <c r="R661">
        <f t="shared" si="21"/>
        <v>2</v>
      </c>
      <c r="S661" s="112"/>
      <c r="T661" s="102"/>
    </row>
    <row r="662" spans="1:20">
      <c r="A662" s="117">
        <v>17</v>
      </c>
      <c r="B662" s="102" t="s">
        <v>259</v>
      </c>
      <c r="C662" s="206">
        <v>43571</v>
      </c>
      <c r="D662" s="102">
        <v>4.5999999999999996</v>
      </c>
      <c r="E662" s="102">
        <v>12.2</v>
      </c>
      <c r="F662" s="218">
        <v>95</v>
      </c>
      <c r="G662" s="102">
        <v>8.0299999999999994</v>
      </c>
      <c r="H662" s="218">
        <v>2.5</v>
      </c>
      <c r="I662" s="102"/>
      <c r="J662" s="102">
        <v>2.6999999999999993</v>
      </c>
      <c r="K662" s="218">
        <v>5.3</v>
      </c>
      <c r="L662" s="218">
        <v>12</v>
      </c>
      <c r="M662" s="218">
        <v>1900</v>
      </c>
      <c r="N662" s="218">
        <v>24</v>
      </c>
      <c r="O662" s="218">
        <v>2500</v>
      </c>
      <c r="P662" s="112"/>
      <c r="Q662">
        <f t="shared" si="20"/>
        <v>2019</v>
      </c>
      <c r="R662">
        <f t="shared" si="21"/>
        <v>4</v>
      </c>
      <c r="S662" s="112"/>
      <c r="T662" s="102"/>
    </row>
    <row r="663" spans="1:20">
      <c r="A663" s="117">
        <v>17</v>
      </c>
      <c r="B663" s="102" t="s">
        <v>259</v>
      </c>
      <c r="C663" s="206">
        <v>43635</v>
      </c>
      <c r="D663" s="102">
        <v>19.3</v>
      </c>
      <c r="E663" s="102">
        <v>8.6</v>
      </c>
      <c r="F663" s="218">
        <v>93</v>
      </c>
      <c r="G663" s="102">
        <v>7.86</v>
      </c>
      <c r="H663" s="218">
        <v>3.1</v>
      </c>
      <c r="I663" s="102"/>
      <c r="J663" s="102">
        <v>1.8000000000000007</v>
      </c>
      <c r="K663" s="218">
        <v>26</v>
      </c>
      <c r="L663" s="218">
        <v>60</v>
      </c>
      <c r="M663" s="218">
        <v>1500</v>
      </c>
      <c r="N663" s="218">
        <v>29</v>
      </c>
      <c r="O663" s="218">
        <v>2300</v>
      </c>
      <c r="P663" s="112"/>
      <c r="Q663">
        <f t="shared" si="20"/>
        <v>2019</v>
      </c>
      <c r="R663">
        <f t="shared" si="21"/>
        <v>6</v>
      </c>
      <c r="S663" s="112"/>
      <c r="T663" s="102"/>
    </row>
    <row r="664" spans="1:20">
      <c r="A664" s="117">
        <v>17</v>
      </c>
      <c r="B664" s="102" t="s">
        <v>259</v>
      </c>
      <c r="C664" s="206">
        <v>43698</v>
      </c>
      <c r="D664" s="102">
        <v>15.7</v>
      </c>
      <c r="E664" s="102">
        <v>9.9</v>
      </c>
      <c r="F664" s="218">
        <v>100</v>
      </c>
      <c r="G664" s="102">
        <v>8.08</v>
      </c>
      <c r="H664" s="218">
        <v>4.0999999999999996</v>
      </c>
      <c r="I664" s="102"/>
      <c r="J664" s="102">
        <v>5.1000000000000005</v>
      </c>
      <c r="K664" s="218">
        <v>36</v>
      </c>
      <c r="L664" s="218">
        <v>63</v>
      </c>
      <c r="M664" s="218">
        <v>750</v>
      </c>
      <c r="N664" s="218">
        <v>23</v>
      </c>
      <c r="O664" s="218">
        <v>930</v>
      </c>
      <c r="P664" s="112"/>
      <c r="Q664">
        <f t="shared" si="20"/>
        <v>2019</v>
      </c>
      <c r="R664">
        <f t="shared" si="21"/>
        <v>8</v>
      </c>
      <c r="S664" s="112"/>
      <c r="T664" s="102"/>
    </row>
    <row r="665" spans="1:20">
      <c r="A665" s="117">
        <v>17</v>
      </c>
      <c r="B665" s="102" t="s">
        <v>259</v>
      </c>
      <c r="C665" s="206">
        <v>43748</v>
      </c>
      <c r="D665" s="102">
        <v>9</v>
      </c>
      <c r="E665" s="102">
        <v>10.1</v>
      </c>
      <c r="F665" s="218">
        <v>88</v>
      </c>
      <c r="G665" s="102">
        <v>7.96</v>
      </c>
      <c r="H665" s="218">
        <v>3.85</v>
      </c>
      <c r="I665" s="102"/>
      <c r="J665" s="102">
        <v>2</v>
      </c>
      <c r="K665" s="218">
        <v>13</v>
      </c>
      <c r="L665" s="218">
        <v>30</v>
      </c>
      <c r="M665" s="218">
        <v>840</v>
      </c>
      <c r="N665" s="218">
        <v>16</v>
      </c>
      <c r="O665" s="218">
        <v>1200</v>
      </c>
      <c r="P665" s="112"/>
      <c r="Q665">
        <f t="shared" si="20"/>
        <v>2019</v>
      </c>
      <c r="R665">
        <f t="shared" si="21"/>
        <v>10</v>
      </c>
      <c r="S665" s="112"/>
      <c r="T665" s="102"/>
    </row>
    <row r="666" spans="1:20">
      <c r="A666" s="117">
        <v>17</v>
      </c>
      <c r="B666" s="102" t="s">
        <v>259</v>
      </c>
      <c r="C666" s="206">
        <v>43812</v>
      </c>
      <c r="D666" s="102">
        <v>4.5</v>
      </c>
      <c r="E666" s="102">
        <v>11.6</v>
      </c>
      <c r="F666" s="218">
        <v>90</v>
      </c>
      <c r="G666" s="102">
        <v>7.71</v>
      </c>
      <c r="H666" s="218">
        <v>8</v>
      </c>
      <c r="I666" s="102"/>
      <c r="J666" s="102">
        <v>2</v>
      </c>
      <c r="K666" s="218">
        <v>26</v>
      </c>
      <c r="L666" s="218">
        <v>62</v>
      </c>
      <c r="M666" s="218">
        <v>7500</v>
      </c>
      <c r="N666" s="218">
        <v>40</v>
      </c>
      <c r="O666" s="218">
        <v>7900</v>
      </c>
      <c r="P666" s="112"/>
      <c r="Q666">
        <f t="shared" si="20"/>
        <v>2019</v>
      </c>
      <c r="R666">
        <f t="shared" si="21"/>
        <v>12</v>
      </c>
      <c r="S666" s="112"/>
      <c r="T666" s="102"/>
    </row>
    <row r="667" spans="1:20">
      <c r="A667" s="117">
        <v>19</v>
      </c>
      <c r="B667" s="102" t="s">
        <v>260</v>
      </c>
      <c r="C667" s="206">
        <v>40192</v>
      </c>
      <c r="D667" s="102">
        <v>0.3</v>
      </c>
      <c r="E667" s="102">
        <v>13</v>
      </c>
      <c r="F667" s="218">
        <v>90</v>
      </c>
      <c r="G667" s="102">
        <v>7.98</v>
      </c>
      <c r="H667" s="218">
        <v>3</v>
      </c>
      <c r="I667" s="102"/>
      <c r="J667" s="102">
        <v>11.8</v>
      </c>
      <c r="K667" s="218">
        <v>51</v>
      </c>
      <c r="L667" s="218">
        <v>390</v>
      </c>
      <c r="M667" s="218">
        <v>4900</v>
      </c>
      <c r="N667" s="218">
        <v>840</v>
      </c>
      <c r="O667" s="218">
        <v>6400</v>
      </c>
      <c r="P667" s="112"/>
      <c r="Q667">
        <f t="shared" si="20"/>
        <v>2010</v>
      </c>
      <c r="R667">
        <f t="shared" si="21"/>
        <v>1</v>
      </c>
      <c r="S667" s="112"/>
      <c r="T667" s="102"/>
    </row>
    <row r="668" spans="1:20">
      <c r="A668" s="117">
        <v>19</v>
      </c>
      <c r="B668" s="102" t="s">
        <v>260</v>
      </c>
      <c r="C668" s="206">
        <v>40225</v>
      </c>
      <c r="D668" s="102">
        <v>-0.1</v>
      </c>
      <c r="E668" s="102">
        <v>8.8000000000000007</v>
      </c>
      <c r="F668" s="218">
        <v>60</v>
      </c>
      <c r="G668" s="102">
        <v>7.93</v>
      </c>
      <c r="H668" s="218">
        <v>2.9</v>
      </c>
      <c r="I668" s="102"/>
      <c r="J668" s="102">
        <v>5.5</v>
      </c>
      <c r="K668" s="218">
        <v>32</v>
      </c>
      <c r="L668" s="218">
        <v>45</v>
      </c>
      <c r="M668" s="218">
        <v>3400</v>
      </c>
      <c r="N668" s="218">
        <v>730</v>
      </c>
      <c r="O668" s="218">
        <v>5300</v>
      </c>
      <c r="P668" s="112"/>
      <c r="Q668">
        <f t="shared" si="20"/>
        <v>2010</v>
      </c>
      <c r="R668">
        <f t="shared" si="21"/>
        <v>2</v>
      </c>
      <c r="S668" s="112"/>
      <c r="T668" s="102"/>
    </row>
    <row r="669" spans="1:20">
      <c r="A669" s="117">
        <v>19</v>
      </c>
      <c r="B669" s="102" t="s">
        <v>260</v>
      </c>
      <c r="C669" s="206">
        <v>40247</v>
      </c>
      <c r="D669" s="102">
        <v>1.2</v>
      </c>
      <c r="E669" s="102">
        <v>14.2</v>
      </c>
      <c r="F669" s="218">
        <v>100</v>
      </c>
      <c r="G669" s="102">
        <v>8.1199999999999992</v>
      </c>
      <c r="H669" s="218">
        <v>2.6</v>
      </c>
      <c r="I669" s="102"/>
      <c r="J669" s="102">
        <v>4.7</v>
      </c>
      <c r="K669" s="218">
        <v>30</v>
      </c>
      <c r="L669" s="218">
        <v>41</v>
      </c>
      <c r="M669" s="218">
        <v>5100</v>
      </c>
      <c r="N669" s="218">
        <v>240</v>
      </c>
      <c r="O669" s="218">
        <v>5800</v>
      </c>
      <c r="P669" s="112"/>
      <c r="Q669">
        <f t="shared" si="20"/>
        <v>2010</v>
      </c>
      <c r="R669">
        <f t="shared" si="21"/>
        <v>3</v>
      </c>
      <c r="S669" s="112"/>
      <c r="T669" s="102"/>
    </row>
    <row r="670" spans="1:20">
      <c r="A670" s="117">
        <v>19</v>
      </c>
      <c r="B670" s="102" t="s">
        <v>260</v>
      </c>
      <c r="C670" s="206">
        <v>40290</v>
      </c>
      <c r="D670" s="102">
        <v>6.2</v>
      </c>
      <c r="E670" s="102">
        <v>8</v>
      </c>
      <c r="F670" s="218">
        <v>65</v>
      </c>
      <c r="G670" s="102">
        <v>8.0399999999999991</v>
      </c>
      <c r="H670" s="218">
        <v>2</v>
      </c>
      <c r="I670" s="102"/>
      <c r="J670" s="102">
        <v>5.2</v>
      </c>
      <c r="K670" s="218">
        <v>9</v>
      </c>
      <c r="L670" s="218">
        <v>21</v>
      </c>
      <c r="M670" s="218">
        <v>3400</v>
      </c>
      <c r="N670" s="218">
        <v>14</v>
      </c>
      <c r="O670" s="218">
        <v>4300</v>
      </c>
      <c r="P670" s="112"/>
      <c r="Q670">
        <f t="shared" si="20"/>
        <v>2010</v>
      </c>
      <c r="R670">
        <f t="shared" si="21"/>
        <v>4</v>
      </c>
      <c r="S670" s="112"/>
      <c r="T670" s="102"/>
    </row>
    <row r="671" spans="1:20">
      <c r="A671" s="117">
        <v>19</v>
      </c>
      <c r="B671" s="102" t="s">
        <v>260</v>
      </c>
      <c r="C671" s="206">
        <v>40317</v>
      </c>
      <c r="D671" s="102">
        <v>14.8</v>
      </c>
      <c r="E671" s="102">
        <v>12.1</v>
      </c>
      <c r="F671" s="218">
        <v>120</v>
      </c>
      <c r="G671" s="102">
        <v>8.33</v>
      </c>
      <c r="H671" s="218">
        <v>2.5</v>
      </c>
      <c r="I671" s="102"/>
      <c r="J671" s="102">
        <v>2.8</v>
      </c>
      <c r="K671" s="218">
        <v>8</v>
      </c>
      <c r="L671" s="218">
        <v>31</v>
      </c>
      <c r="M671" s="218">
        <v>2500</v>
      </c>
      <c r="N671" s="218">
        <v>13</v>
      </c>
      <c r="O671" s="218">
        <v>3400</v>
      </c>
      <c r="P671" s="112"/>
      <c r="Q671">
        <f t="shared" si="20"/>
        <v>2010</v>
      </c>
      <c r="R671">
        <f t="shared" si="21"/>
        <v>5</v>
      </c>
      <c r="S671" s="112"/>
      <c r="T671" s="102"/>
    </row>
    <row r="672" spans="1:20">
      <c r="A672" s="117">
        <v>19</v>
      </c>
      <c r="B672" s="102" t="s">
        <v>260</v>
      </c>
      <c r="C672" s="206">
        <v>40346</v>
      </c>
      <c r="D672" s="102">
        <v>14.9</v>
      </c>
      <c r="E672" s="102">
        <v>8.8000000000000007</v>
      </c>
      <c r="F672" s="218">
        <v>87</v>
      </c>
      <c r="G672" s="102">
        <v>7.96</v>
      </c>
      <c r="H672" s="218">
        <v>4.2</v>
      </c>
      <c r="I672" s="102"/>
      <c r="J672" s="102">
        <v>2.8</v>
      </c>
      <c r="K672" s="218">
        <v>73</v>
      </c>
      <c r="L672" s="218">
        <v>110</v>
      </c>
      <c r="M672" s="218">
        <v>2100</v>
      </c>
      <c r="N672" s="218">
        <v>190</v>
      </c>
      <c r="O672" s="218">
        <v>3000</v>
      </c>
      <c r="P672" s="112"/>
      <c r="Q672">
        <f t="shared" si="20"/>
        <v>2010</v>
      </c>
      <c r="R672">
        <f t="shared" si="21"/>
        <v>6</v>
      </c>
      <c r="S672" s="112"/>
      <c r="T672" s="102"/>
    </row>
    <row r="673" spans="1:20">
      <c r="A673" s="117">
        <v>19</v>
      </c>
      <c r="B673" s="102" t="s">
        <v>260</v>
      </c>
      <c r="C673" s="206">
        <v>40379</v>
      </c>
      <c r="D673" s="102">
        <v>19.7</v>
      </c>
      <c r="E673" s="102">
        <v>7.87</v>
      </c>
      <c r="F673" s="218">
        <v>86</v>
      </c>
      <c r="G673" s="102">
        <v>7.96</v>
      </c>
      <c r="H673" s="218">
        <v>2.6</v>
      </c>
      <c r="I673" s="102"/>
      <c r="J673" s="102">
        <v>2.6</v>
      </c>
      <c r="K673" s="218">
        <v>97</v>
      </c>
      <c r="L673" s="218">
        <v>130</v>
      </c>
      <c r="M673" s="218">
        <v>1100</v>
      </c>
      <c r="N673" s="218">
        <v>47</v>
      </c>
      <c r="O673" s="218">
        <v>1700</v>
      </c>
      <c r="P673" s="112"/>
      <c r="Q673">
        <f t="shared" si="20"/>
        <v>2010</v>
      </c>
      <c r="R673">
        <f t="shared" si="21"/>
        <v>7</v>
      </c>
      <c r="S673" s="112"/>
      <c r="T673" s="102"/>
    </row>
    <row r="674" spans="1:20">
      <c r="A674" s="117">
        <v>19</v>
      </c>
      <c r="B674" s="102" t="s">
        <v>260</v>
      </c>
      <c r="C674" s="206">
        <v>40416</v>
      </c>
      <c r="D674" s="102">
        <v>15.7</v>
      </c>
      <c r="E674" s="102">
        <v>9.4</v>
      </c>
      <c r="F674" s="218">
        <v>95</v>
      </c>
      <c r="G674" s="102">
        <v>8.06</v>
      </c>
      <c r="H674" s="218">
        <v>5.5</v>
      </c>
      <c r="I674" s="102"/>
      <c r="J674" s="102">
        <v>1.8</v>
      </c>
      <c r="K674" s="218">
        <v>68</v>
      </c>
      <c r="L674" s="218">
        <v>96</v>
      </c>
      <c r="M674" s="218">
        <v>6000</v>
      </c>
      <c r="N674" s="218">
        <v>28</v>
      </c>
      <c r="O674" s="218">
        <v>6600</v>
      </c>
      <c r="P674" s="112"/>
      <c r="Q674">
        <f t="shared" si="20"/>
        <v>2010</v>
      </c>
      <c r="R674">
        <f t="shared" si="21"/>
        <v>8</v>
      </c>
      <c r="S674" s="112"/>
      <c r="T674" s="102"/>
    </row>
    <row r="675" spans="1:20">
      <c r="A675" s="117">
        <v>19</v>
      </c>
      <c r="B675" s="102" t="s">
        <v>260</v>
      </c>
      <c r="C675" s="206">
        <v>40444</v>
      </c>
      <c r="D675" s="102">
        <v>13.9</v>
      </c>
      <c r="E675" s="102">
        <v>10.130000000000001</v>
      </c>
      <c r="F675" s="218">
        <v>98</v>
      </c>
      <c r="G675" s="102">
        <v>8</v>
      </c>
      <c r="H675" s="218">
        <v>5</v>
      </c>
      <c r="I675" s="102"/>
      <c r="J675" s="102">
        <v>2.8</v>
      </c>
      <c r="K675" s="218">
        <v>47</v>
      </c>
      <c r="L675" s="218">
        <v>67</v>
      </c>
      <c r="M675" s="218">
        <v>7600</v>
      </c>
      <c r="N675" s="218">
        <v>160</v>
      </c>
      <c r="O675" s="218">
        <v>8100</v>
      </c>
      <c r="P675" s="112"/>
      <c r="Q675">
        <f t="shared" si="20"/>
        <v>2010</v>
      </c>
      <c r="R675">
        <f t="shared" si="21"/>
        <v>9</v>
      </c>
      <c r="S675" s="112"/>
      <c r="T675" s="102"/>
    </row>
    <row r="676" spans="1:20">
      <c r="A676" s="117">
        <v>19</v>
      </c>
      <c r="B676" s="102" t="s">
        <v>260</v>
      </c>
      <c r="C676" s="206">
        <v>40471</v>
      </c>
      <c r="D676" s="102">
        <v>9</v>
      </c>
      <c r="E676" s="102">
        <v>10.1</v>
      </c>
      <c r="F676" s="218">
        <v>88</v>
      </c>
      <c r="G676" s="102">
        <v>7.95</v>
      </c>
      <c r="H676" s="218">
        <v>3</v>
      </c>
      <c r="I676" s="102"/>
      <c r="J676" s="102">
        <v>2.2999999999999998</v>
      </c>
      <c r="K676" s="218">
        <v>34</v>
      </c>
      <c r="L676" s="218">
        <v>58</v>
      </c>
      <c r="M676" s="218">
        <v>4100</v>
      </c>
      <c r="N676" s="218">
        <v>73</v>
      </c>
      <c r="O676" s="218">
        <v>4800</v>
      </c>
      <c r="P676" s="112"/>
      <c r="Q676">
        <f t="shared" si="20"/>
        <v>2010</v>
      </c>
      <c r="R676">
        <f t="shared" si="21"/>
        <v>10</v>
      </c>
      <c r="S676" s="112"/>
      <c r="T676" s="102"/>
    </row>
    <row r="677" spans="1:20">
      <c r="A677" s="117">
        <v>19</v>
      </c>
      <c r="B677" s="102" t="s">
        <v>260</v>
      </c>
      <c r="C677" s="206">
        <v>40498</v>
      </c>
      <c r="D677" s="102">
        <v>6.3</v>
      </c>
      <c r="E677" s="102">
        <v>11.5</v>
      </c>
      <c r="F677" s="218">
        <v>93</v>
      </c>
      <c r="G677" s="102">
        <v>7.97</v>
      </c>
      <c r="H677" s="218">
        <v>6.1</v>
      </c>
      <c r="I677" s="102"/>
      <c r="J677" s="102">
        <v>1.8</v>
      </c>
      <c r="K677" s="218">
        <v>40</v>
      </c>
      <c r="L677" s="218">
        <v>88</v>
      </c>
      <c r="M677" s="218">
        <v>8800</v>
      </c>
      <c r="N677" s="218">
        <v>34</v>
      </c>
      <c r="O677" s="218">
        <v>9900</v>
      </c>
      <c r="P677" s="112"/>
      <c r="Q677">
        <f t="shared" si="20"/>
        <v>2010</v>
      </c>
      <c r="R677">
        <f t="shared" si="21"/>
        <v>11</v>
      </c>
      <c r="S677" s="112"/>
      <c r="T677" s="102"/>
    </row>
    <row r="678" spans="1:20">
      <c r="A678" s="117">
        <v>19</v>
      </c>
      <c r="B678" s="102" t="s">
        <v>260</v>
      </c>
      <c r="C678" s="206">
        <v>40526</v>
      </c>
      <c r="D678" s="102">
        <v>0.1</v>
      </c>
      <c r="E678" s="102">
        <v>14</v>
      </c>
      <c r="F678" s="218">
        <v>96</v>
      </c>
      <c r="G678" s="102">
        <v>7.95</v>
      </c>
      <c r="H678" s="218">
        <v>5.5</v>
      </c>
      <c r="I678" s="102"/>
      <c r="J678" s="102">
        <v>4.7</v>
      </c>
      <c r="K678" s="218">
        <v>47</v>
      </c>
      <c r="L678" s="218">
        <v>66</v>
      </c>
      <c r="M678" s="218">
        <v>8500</v>
      </c>
      <c r="N678" s="218">
        <v>120</v>
      </c>
      <c r="O678" s="218">
        <v>9600</v>
      </c>
      <c r="P678" s="112"/>
      <c r="Q678">
        <f t="shared" si="20"/>
        <v>2010</v>
      </c>
      <c r="R678">
        <f t="shared" si="21"/>
        <v>12</v>
      </c>
      <c r="S678" s="112"/>
      <c r="T678" s="102"/>
    </row>
    <row r="679" spans="1:20" ht="13">
      <c r="A679" s="118">
        <v>19</v>
      </c>
      <c r="B679" s="102" t="s">
        <v>260</v>
      </c>
      <c r="C679" s="124">
        <v>40554</v>
      </c>
      <c r="D679" s="193">
        <v>0.6</v>
      </c>
      <c r="E679" s="193">
        <v>13.4</v>
      </c>
      <c r="F679" s="204">
        <v>93</v>
      </c>
      <c r="G679" s="193">
        <v>7.92</v>
      </c>
      <c r="H679" s="193">
        <v>8.1</v>
      </c>
      <c r="I679" s="193"/>
      <c r="J679" s="193">
        <v>3</v>
      </c>
      <c r="K679" s="189">
        <v>41</v>
      </c>
      <c r="L679" s="189">
        <v>65</v>
      </c>
      <c r="M679" s="189">
        <v>7100</v>
      </c>
      <c r="N679" s="189">
        <v>210</v>
      </c>
      <c r="O679" s="189">
        <v>8200</v>
      </c>
      <c r="P679" s="202"/>
      <c r="Q679">
        <f t="shared" si="20"/>
        <v>2011</v>
      </c>
      <c r="R679">
        <f t="shared" si="21"/>
        <v>1</v>
      </c>
      <c r="T679" s="102"/>
    </row>
    <row r="680" spans="1:20">
      <c r="A680" s="117">
        <v>19</v>
      </c>
      <c r="B680" s="102" t="s">
        <v>260</v>
      </c>
      <c r="C680" s="124">
        <v>40589</v>
      </c>
      <c r="D680" s="192">
        <v>0</v>
      </c>
      <c r="E680" s="192">
        <v>14.1</v>
      </c>
      <c r="F680" s="204">
        <v>96</v>
      </c>
      <c r="G680" s="192">
        <v>8.01</v>
      </c>
      <c r="H680" s="192">
        <v>8.3000000000000007</v>
      </c>
      <c r="I680" s="193"/>
      <c r="J680" s="193">
        <v>4.5999999999999996</v>
      </c>
      <c r="K680" s="189">
        <v>45</v>
      </c>
      <c r="L680" s="195">
        <v>64</v>
      </c>
      <c r="M680" s="195">
        <v>6400</v>
      </c>
      <c r="N680" s="195">
        <v>250</v>
      </c>
      <c r="O680" s="195">
        <v>7600</v>
      </c>
      <c r="P680" s="200"/>
      <c r="Q680">
        <f t="shared" si="20"/>
        <v>2011</v>
      </c>
      <c r="R680">
        <f t="shared" si="21"/>
        <v>2</v>
      </c>
      <c r="T680" s="102"/>
    </row>
    <row r="681" spans="1:20">
      <c r="A681" s="117">
        <v>19</v>
      </c>
      <c r="B681" s="102" t="s">
        <v>260</v>
      </c>
      <c r="C681" s="125">
        <v>40612</v>
      </c>
      <c r="D681" s="193">
        <v>2</v>
      </c>
      <c r="E681" s="193">
        <v>13.5</v>
      </c>
      <c r="F681" s="204">
        <v>114</v>
      </c>
      <c r="G681" s="193">
        <v>8.06</v>
      </c>
      <c r="H681" s="193">
        <v>8.8000000000000007</v>
      </c>
      <c r="I681" s="193"/>
      <c r="J681" s="193">
        <v>6.5</v>
      </c>
      <c r="K681" s="189">
        <v>39</v>
      </c>
      <c r="L681" s="189">
        <v>78</v>
      </c>
      <c r="M681" s="189">
        <v>4200</v>
      </c>
      <c r="N681" s="189">
        <v>700</v>
      </c>
      <c r="O681" s="189">
        <v>5900</v>
      </c>
      <c r="P681" s="200"/>
      <c r="Q681">
        <f t="shared" si="20"/>
        <v>2011</v>
      </c>
      <c r="R681">
        <f t="shared" si="21"/>
        <v>3</v>
      </c>
      <c r="T681" s="102"/>
    </row>
    <row r="682" spans="1:20">
      <c r="A682" s="117">
        <v>19</v>
      </c>
      <c r="B682" s="102" t="s">
        <v>260</v>
      </c>
      <c r="C682" s="206">
        <v>40646</v>
      </c>
      <c r="D682" s="193">
        <v>7.1</v>
      </c>
      <c r="E682" s="193">
        <v>13.2</v>
      </c>
      <c r="F682" s="188">
        <v>109</v>
      </c>
      <c r="G682" s="193">
        <v>8.26</v>
      </c>
      <c r="H682" s="193">
        <v>3.8</v>
      </c>
      <c r="I682" s="193"/>
      <c r="J682" s="193">
        <v>4.5</v>
      </c>
      <c r="K682" s="189" t="s">
        <v>148</v>
      </c>
      <c r="L682" s="189">
        <v>38</v>
      </c>
      <c r="M682" s="189">
        <v>4600</v>
      </c>
      <c r="N682" s="189">
        <v>48</v>
      </c>
      <c r="O682" s="189">
        <v>5700</v>
      </c>
      <c r="P682" s="200"/>
      <c r="Q682">
        <f t="shared" si="20"/>
        <v>2011</v>
      </c>
      <c r="R682">
        <f t="shared" si="21"/>
        <v>4</v>
      </c>
      <c r="T682" s="102"/>
    </row>
    <row r="683" spans="1:20">
      <c r="A683" s="117">
        <v>19</v>
      </c>
      <c r="B683" s="102" t="s">
        <v>260</v>
      </c>
      <c r="C683" s="125">
        <v>40673</v>
      </c>
      <c r="D683" s="193">
        <v>12.7</v>
      </c>
      <c r="E683" s="193">
        <v>7.7</v>
      </c>
      <c r="F683" s="204">
        <v>73</v>
      </c>
      <c r="G683" s="193">
        <v>7.97</v>
      </c>
      <c r="H683" s="193">
        <v>1.4</v>
      </c>
      <c r="I683" s="193"/>
      <c r="J683" s="193">
        <v>4</v>
      </c>
      <c r="K683" s="189">
        <v>11</v>
      </c>
      <c r="L683" s="189">
        <v>38</v>
      </c>
      <c r="M683" s="189">
        <v>2500</v>
      </c>
      <c r="N683" s="189">
        <v>46</v>
      </c>
      <c r="O683" s="189">
        <v>3400</v>
      </c>
      <c r="P683" s="200"/>
      <c r="Q683">
        <f t="shared" si="20"/>
        <v>2011</v>
      </c>
      <c r="R683">
        <f t="shared" si="21"/>
        <v>5</v>
      </c>
      <c r="T683" s="102"/>
    </row>
    <row r="684" spans="1:20">
      <c r="A684" s="117">
        <v>19</v>
      </c>
      <c r="B684" s="102" t="s">
        <v>260</v>
      </c>
      <c r="C684" s="213">
        <v>40710</v>
      </c>
      <c r="D684" s="193">
        <v>19.100000000000001</v>
      </c>
      <c r="E684" s="193">
        <v>13.1</v>
      </c>
      <c r="F684" s="204">
        <v>142</v>
      </c>
      <c r="G684" s="193">
        <v>8.26</v>
      </c>
      <c r="H684" s="193">
        <v>2.7</v>
      </c>
      <c r="I684" s="193"/>
      <c r="J684" s="193">
        <v>2.7</v>
      </c>
      <c r="K684" s="189">
        <v>40</v>
      </c>
      <c r="L684" s="189">
        <v>67</v>
      </c>
      <c r="M684" s="189">
        <v>4700</v>
      </c>
      <c r="N684" s="189">
        <v>46</v>
      </c>
      <c r="O684" s="189">
        <v>5700</v>
      </c>
      <c r="P684" s="200"/>
      <c r="Q684">
        <f t="shared" si="20"/>
        <v>2011</v>
      </c>
      <c r="R684">
        <f t="shared" si="21"/>
        <v>6</v>
      </c>
      <c r="T684" s="102"/>
    </row>
    <row r="685" spans="1:20">
      <c r="A685" s="117">
        <v>19</v>
      </c>
      <c r="B685" s="102" t="s">
        <v>260</v>
      </c>
      <c r="C685" s="216">
        <v>40738</v>
      </c>
      <c r="D685">
        <v>16.100000000000001</v>
      </c>
      <c r="E685" s="116">
        <v>8.1</v>
      </c>
      <c r="F685" s="101">
        <v>82</v>
      </c>
      <c r="G685">
        <v>7.8</v>
      </c>
      <c r="H685" s="116">
        <v>2.2999999999999998</v>
      </c>
      <c r="J685">
        <v>2.8</v>
      </c>
      <c r="K685">
        <v>44</v>
      </c>
      <c r="L685">
        <v>80</v>
      </c>
      <c r="M685">
        <v>2700</v>
      </c>
      <c r="N685">
        <v>130</v>
      </c>
      <c r="O685">
        <v>3500</v>
      </c>
      <c r="Q685">
        <f t="shared" si="20"/>
        <v>2011</v>
      </c>
      <c r="R685">
        <f t="shared" si="21"/>
        <v>7</v>
      </c>
    </row>
    <row r="686" spans="1:20">
      <c r="A686" s="117">
        <v>19</v>
      </c>
      <c r="B686" s="102" t="s">
        <v>260</v>
      </c>
      <c r="C686" s="216">
        <v>40778</v>
      </c>
      <c r="D686">
        <v>16</v>
      </c>
      <c r="E686" s="116">
        <v>8.1</v>
      </c>
      <c r="F686" s="101">
        <v>82</v>
      </c>
      <c r="G686">
        <v>8.0299999999999994</v>
      </c>
      <c r="H686" s="116">
        <v>3.1</v>
      </c>
      <c r="J686">
        <v>1.8</v>
      </c>
      <c r="K686">
        <v>54</v>
      </c>
      <c r="L686">
        <v>67</v>
      </c>
      <c r="M686">
        <v>3900</v>
      </c>
      <c r="N686">
        <v>79</v>
      </c>
      <c r="O686">
        <v>5100</v>
      </c>
      <c r="Q686">
        <f t="shared" si="20"/>
        <v>2011</v>
      </c>
      <c r="R686">
        <f t="shared" si="21"/>
        <v>8</v>
      </c>
    </row>
    <row r="687" spans="1:20">
      <c r="A687" s="117">
        <v>19</v>
      </c>
      <c r="B687" s="102" t="s">
        <v>260</v>
      </c>
      <c r="C687" s="216">
        <v>40807</v>
      </c>
      <c r="D687">
        <v>14.3</v>
      </c>
      <c r="E687" s="116">
        <v>9.3000000000000007</v>
      </c>
      <c r="F687" s="101">
        <v>91</v>
      </c>
      <c r="G687">
        <v>8.0500000000000007</v>
      </c>
      <c r="H687" s="116">
        <v>3</v>
      </c>
      <c r="J687">
        <v>2.1</v>
      </c>
      <c r="K687">
        <v>47</v>
      </c>
      <c r="L687">
        <v>65</v>
      </c>
      <c r="M687">
        <v>4300</v>
      </c>
      <c r="N687">
        <v>21</v>
      </c>
      <c r="O687">
        <v>5100</v>
      </c>
      <c r="Q687">
        <f t="shared" si="20"/>
        <v>2011</v>
      </c>
      <c r="R687">
        <f t="shared" si="21"/>
        <v>9</v>
      </c>
    </row>
    <row r="688" spans="1:20">
      <c r="A688" s="117">
        <v>19</v>
      </c>
      <c r="B688" s="102" t="s">
        <v>260</v>
      </c>
      <c r="C688" s="216">
        <v>40834</v>
      </c>
      <c r="D688">
        <v>9.1</v>
      </c>
      <c r="E688" s="116">
        <v>10.6</v>
      </c>
      <c r="F688" s="101">
        <v>92</v>
      </c>
      <c r="G688">
        <v>7.99</v>
      </c>
      <c r="H688" s="116">
        <v>2.7</v>
      </c>
      <c r="J688">
        <v>1.5</v>
      </c>
      <c r="K688">
        <v>38</v>
      </c>
      <c r="L688">
        <v>76</v>
      </c>
      <c r="M688">
        <v>6100</v>
      </c>
      <c r="N688">
        <v>140</v>
      </c>
      <c r="O688">
        <v>6700</v>
      </c>
      <c r="Q688">
        <f t="shared" si="20"/>
        <v>2011</v>
      </c>
      <c r="R688">
        <f t="shared" si="21"/>
        <v>10</v>
      </c>
    </row>
    <row r="689" spans="1:20">
      <c r="A689" s="117">
        <v>19</v>
      </c>
      <c r="B689" s="102" t="s">
        <v>260</v>
      </c>
      <c r="C689" s="216">
        <v>40863</v>
      </c>
      <c r="D689">
        <v>4.2</v>
      </c>
      <c r="E689" s="116">
        <v>12.6</v>
      </c>
      <c r="F689" s="101">
        <v>97</v>
      </c>
      <c r="G689">
        <v>8.0500000000000007</v>
      </c>
      <c r="H689" s="116">
        <v>3.2</v>
      </c>
      <c r="J689">
        <v>2.8</v>
      </c>
      <c r="K689">
        <v>93</v>
      </c>
      <c r="L689">
        <v>120</v>
      </c>
      <c r="M689">
        <v>3700</v>
      </c>
      <c r="N689">
        <v>100</v>
      </c>
      <c r="O689">
        <v>4600</v>
      </c>
      <c r="Q689">
        <f t="shared" si="20"/>
        <v>2011</v>
      </c>
      <c r="R689">
        <f t="shared" si="21"/>
        <v>11</v>
      </c>
    </row>
    <row r="690" spans="1:20">
      <c r="A690" s="117">
        <v>19</v>
      </c>
      <c r="B690" s="102" t="s">
        <v>260</v>
      </c>
      <c r="C690" s="216">
        <v>40896</v>
      </c>
      <c r="D690">
        <v>3.3</v>
      </c>
      <c r="E690" s="116">
        <v>12.7</v>
      </c>
      <c r="F690" s="101">
        <v>95</v>
      </c>
      <c r="G690">
        <v>7.82</v>
      </c>
      <c r="H690" s="116">
        <v>10</v>
      </c>
      <c r="J690">
        <v>2</v>
      </c>
      <c r="K690">
        <v>46</v>
      </c>
      <c r="L690">
        <v>79</v>
      </c>
      <c r="M690">
        <v>5900</v>
      </c>
      <c r="N690">
        <v>65</v>
      </c>
      <c r="O690">
        <v>7000</v>
      </c>
      <c r="Q690">
        <f t="shared" si="20"/>
        <v>2011</v>
      </c>
      <c r="R690">
        <f t="shared" si="21"/>
        <v>12</v>
      </c>
    </row>
    <row r="691" spans="1:20">
      <c r="A691" s="117">
        <v>19</v>
      </c>
      <c r="B691" s="102" t="s">
        <v>260</v>
      </c>
      <c r="C691" s="124">
        <v>40926</v>
      </c>
      <c r="D691" s="193">
        <v>3.4</v>
      </c>
      <c r="E691" s="193">
        <v>12.3</v>
      </c>
      <c r="F691" s="204">
        <v>93</v>
      </c>
      <c r="G691" s="193">
        <v>8.1</v>
      </c>
      <c r="H691" s="193">
        <v>6.6</v>
      </c>
      <c r="I691" s="193"/>
      <c r="J691" s="193">
        <v>2.6</v>
      </c>
      <c r="K691" s="189">
        <v>44</v>
      </c>
      <c r="L691" s="189">
        <v>64</v>
      </c>
      <c r="M691" s="189">
        <v>5700</v>
      </c>
      <c r="N691" s="189">
        <v>120</v>
      </c>
      <c r="O691" s="189">
        <v>6200</v>
      </c>
      <c r="P691" s="202"/>
      <c r="Q691">
        <f t="shared" si="20"/>
        <v>2012</v>
      </c>
      <c r="R691">
        <f t="shared" si="21"/>
        <v>1</v>
      </c>
      <c r="T691" s="102"/>
    </row>
    <row r="692" spans="1:20">
      <c r="A692" s="117">
        <v>19</v>
      </c>
      <c r="B692" s="102" t="s">
        <v>260</v>
      </c>
      <c r="C692" s="124">
        <v>40949</v>
      </c>
      <c r="D692" s="192">
        <v>-0.1</v>
      </c>
      <c r="E692" s="198">
        <v>13.8</v>
      </c>
      <c r="F692" s="204">
        <v>93</v>
      </c>
      <c r="G692" s="192">
        <v>8</v>
      </c>
      <c r="H692" s="198">
        <v>4.5</v>
      </c>
      <c r="I692" s="192"/>
      <c r="J692" s="192" t="s">
        <v>287</v>
      </c>
      <c r="K692" s="195">
        <v>29</v>
      </c>
      <c r="L692" s="195">
        <v>53</v>
      </c>
      <c r="M692" s="197">
        <v>4900</v>
      </c>
      <c r="N692" s="197">
        <v>260</v>
      </c>
      <c r="O692" s="197">
        <v>5800</v>
      </c>
      <c r="P692" s="200"/>
      <c r="Q692">
        <f t="shared" si="20"/>
        <v>2012</v>
      </c>
      <c r="R692">
        <f t="shared" si="21"/>
        <v>2</v>
      </c>
      <c r="T692" s="102"/>
    </row>
    <row r="693" spans="1:20">
      <c r="A693" s="117">
        <v>19</v>
      </c>
      <c r="B693" s="102" t="s">
        <v>260</v>
      </c>
      <c r="C693" s="125">
        <v>40983</v>
      </c>
      <c r="D693" s="193">
        <v>5.2</v>
      </c>
      <c r="E693" s="193">
        <v>11.2</v>
      </c>
      <c r="F693" s="204">
        <v>91</v>
      </c>
      <c r="G693" s="193">
        <v>8.1</v>
      </c>
      <c r="H693" s="193">
        <v>4.4000000000000004</v>
      </c>
      <c r="I693" s="193"/>
      <c r="J693" s="193">
        <v>6.8</v>
      </c>
      <c r="K693" s="189">
        <v>21</v>
      </c>
      <c r="L693" s="189">
        <v>100</v>
      </c>
      <c r="M693" s="189">
        <v>4700</v>
      </c>
      <c r="N693" s="189">
        <v>590</v>
      </c>
      <c r="O693" s="189">
        <v>6000</v>
      </c>
      <c r="P693" s="200"/>
      <c r="Q693">
        <f t="shared" si="20"/>
        <v>2012</v>
      </c>
      <c r="R693">
        <f t="shared" si="21"/>
        <v>3</v>
      </c>
      <c r="T693" s="102"/>
    </row>
    <row r="694" spans="1:20">
      <c r="A694" s="117">
        <v>19</v>
      </c>
      <c r="B694" s="102" t="s">
        <v>260</v>
      </c>
      <c r="C694" s="206">
        <v>41012</v>
      </c>
      <c r="D694" s="193">
        <v>7.5</v>
      </c>
      <c r="E694" s="193">
        <v>10.199999999999999</v>
      </c>
      <c r="F694" s="188">
        <v>87</v>
      </c>
      <c r="G694" s="193">
        <v>8.1</v>
      </c>
      <c r="H694" s="193">
        <v>1.6</v>
      </c>
      <c r="I694" s="193"/>
      <c r="J694" s="193">
        <v>2.2000000000000002</v>
      </c>
      <c r="K694" s="189">
        <v>10</v>
      </c>
      <c r="L694" s="189">
        <v>21</v>
      </c>
      <c r="M694" s="189">
        <v>3000</v>
      </c>
      <c r="N694" s="189">
        <v>11</v>
      </c>
      <c r="O694" s="189">
        <v>3300</v>
      </c>
      <c r="P694" s="200"/>
      <c r="Q694">
        <f t="shared" si="20"/>
        <v>2012</v>
      </c>
      <c r="R694">
        <f t="shared" si="21"/>
        <v>4</v>
      </c>
      <c r="T694" s="102"/>
    </row>
    <row r="695" spans="1:20">
      <c r="A695" s="117">
        <v>19</v>
      </c>
      <c r="B695" s="102" t="s">
        <v>260</v>
      </c>
      <c r="C695" s="125">
        <v>41044</v>
      </c>
      <c r="D695" s="193">
        <v>13.1</v>
      </c>
      <c r="E695" s="193">
        <v>10.7</v>
      </c>
      <c r="F695" s="204">
        <v>110</v>
      </c>
      <c r="G695" s="193">
        <v>8.1999999999999993</v>
      </c>
      <c r="H695" s="193">
        <v>2.4</v>
      </c>
      <c r="I695" s="193"/>
      <c r="J695" s="193">
        <v>3.4</v>
      </c>
      <c r="K695" s="189">
        <v>14</v>
      </c>
      <c r="L695" s="189">
        <v>49</v>
      </c>
      <c r="M695" s="189">
        <v>2000</v>
      </c>
      <c r="N695" s="189">
        <v>16</v>
      </c>
      <c r="O695" s="189">
        <v>3000</v>
      </c>
      <c r="P695" s="200"/>
      <c r="Q695">
        <f t="shared" si="20"/>
        <v>2012</v>
      </c>
      <c r="R695">
        <f t="shared" si="21"/>
        <v>5</v>
      </c>
      <c r="T695" s="102"/>
    </row>
    <row r="696" spans="1:20">
      <c r="A696" s="117">
        <v>19</v>
      </c>
      <c r="B696" s="102" t="s">
        <v>260</v>
      </c>
      <c r="C696" s="213">
        <v>41078</v>
      </c>
      <c r="D696" s="193">
        <v>16</v>
      </c>
      <c r="E696" s="193">
        <v>7.2</v>
      </c>
      <c r="F696" s="204">
        <v>72</v>
      </c>
      <c r="G696" s="193">
        <v>7.9</v>
      </c>
      <c r="H696" s="193">
        <v>5.6</v>
      </c>
      <c r="I696" s="193"/>
      <c r="J696" s="193">
        <v>3.3</v>
      </c>
      <c r="K696" s="189">
        <v>53</v>
      </c>
      <c r="L696" s="189">
        <v>96</v>
      </c>
      <c r="M696" s="189">
        <v>2700</v>
      </c>
      <c r="N696" s="189">
        <v>120</v>
      </c>
      <c r="O696" s="189">
        <v>4000</v>
      </c>
      <c r="P696" s="200"/>
      <c r="Q696">
        <f t="shared" si="20"/>
        <v>2012</v>
      </c>
      <c r="R696">
        <f t="shared" si="21"/>
        <v>6</v>
      </c>
      <c r="T696" s="102"/>
    </row>
    <row r="697" spans="1:20" ht="13">
      <c r="A697" s="117">
        <v>19</v>
      </c>
      <c r="B697" s="102" t="s">
        <v>260</v>
      </c>
      <c r="C697" s="206">
        <v>41101</v>
      </c>
      <c r="D697" s="102">
        <v>16.399999999999999</v>
      </c>
      <c r="E697" s="102">
        <v>8.1</v>
      </c>
      <c r="F697" s="218">
        <v>83</v>
      </c>
      <c r="G697" s="102">
        <v>8</v>
      </c>
      <c r="H697" s="102">
        <v>2.5</v>
      </c>
      <c r="I697" s="102"/>
      <c r="J697" s="102">
        <v>1.2</v>
      </c>
      <c r="K697" s="218">
        <v>69</v>
      </c>
      <c r="L697" s="218">
        <v>110</v>
      </c>
      <c r="M697" s="218">
        <v>2300</v>
      </c>
      <c r="N697" s="218">
        <v>66</v>
      </c>
      <c r="O697" s="218">
        <v>3000</v>
      </c>
      <c r="P697" s="121"/>
      <c r="Q697">
        <f t="shared" si="20"/>
        <v>2012</v>
      </c>
      <c r="R697">
        <f t="shared" si="21"/>
        <v>7</v>
      </c>
      <c r="S697" s="103"/>
      <c r="T697" s="102"/>
    </row>
    <row r="698" spans="1:20">
      <c r="A698" s="117">
        <v>19</v>
      </c>
      <c r="B698" s="102" t="s">
        <v>260</v>
      </c>
      <c r="C698" s="206">
        <v>41136</v>
      </c>
      <c r="D698" s="102">
        <v>16.100000000000001</v>
      </c>
      <c r="E698" s="102">
        <v>10</v>
      </c>
      <c r="F698" s="218">
        <v>101</v>
      </c>
      <c r="G698" s="102">
        <v>8.1</v>
      </c>
      <c r="H698" s="102">
        <v>1</v>
      </c>
      <c r="I698" s="102"/>
      <c r="J698" s="102">
        <v>1.3</v>
      </c>
      <c r="K698" s="218">
        <v>55</v>
      </c>
      <c r="L698" s="218">
        <v>89</v>
      </c>
      <c r="M698" s="218">
        <v>3000</v>
      </c>
      <c r="N698" s="218">
        <v>29</v>
      </c>
      <c r="O698" s="218">
        <v>3700</v>
      </c>
      <c r="P698" s="111"/>
      <c r="Q698">
        <f t="shared" si="20"/>
        <v>2012</v>
      </c>
      <c r="R698">
        <f t="shared" si="21"/>
        <v>8</v>
      </c>
      <c r="S698" s="119"/>
      <c r="T698" s="102"/>
    </row>
    <row r="699" spans="1:20">
      <c r="A699" s="117">
        <v>19</v>
      </c>
      <c r="B699" s="102" t="s">
        <v>260</v>
      </c>
      <c r="C699" s="206">
        <v>41169</v>
      </c>
      <c r="D699" s="102">
        <v>14.8</v>
      </c>
      <c r="E699" s="102">
        <v>8.6999999999999993</v>
      </c>
      <c r="F699" s="218">
        <v>87</v>
      </c>
      <c r="G699" s="102">
        <v>8</v>
      </c>
      <c r="H699" s="102">
        <v>0.94</v>
      </c>
      <c r="I699" s="102"/>
      <c r="J699" s="102">
        <v>1.2</v>
      </c>
      <c r="K699" s="218">
        <v>48</v>
      </c>
      <c r="L699" s="218">
        <v>74</v>
      </c>
      <c r="M699" s="218">
        <v>2700</v>
      </c>
      <c r="N699" s="218">
        <v>23</v>
      </c>
      <c r="O699" s="218">
        <v>3400</v>
      </c>
      <c r="P699" s="112"/>
      <c r="Q699">
        <f t="shared" si="20"/>
        <v>2012</v>
      </c>
      <c r="R699">
        <f t="shared" si="21"/>
        <v>9</v>
      </c>
      <c r="S699" s="112"/>
      <c r="T699" s="102"/>
    </row>
    <row r="700" spans="1:20">
      <c r="A700" s="117">
        <v>19</v>
      </c>
      <c r="B700" s="102" t="s">
        <v>260</v>
      </c>
      <c r="C700" s="206">
        <v>41193</v>
      </c>
      <c r="D700" s="102">
        <v>7.9</v>
      </c>
      <c r="E700" s="102">
        <v>10.8</v>
      </c>
      <c r="F700" s="218">
        <v>90</v>
      </c>
      <c r="G700" s="102">
        <v>8.1</v>
      </c>
      <c r="H700" s="102">
        <v>2.4</v>
      </c>
      <c r="I700" s="102"/>
      <c r="J700" s="102">
        <v>2.5</v>
      </c>
      <c r="K700" s="218">
        <v>39</v>
      </c>
      <c r="L700" s="218">
        <v>65</v>
      </c>
      <c r="M700" s="218">
        <v>1600</v>
      </c>
      <c r="N700" s="218">
        <v>92</v>
      </c>
      <c r="O700" s="218">
        <v>2400</v>
      </c>
      <c r="P700" s="112"/>
      <c r="Q700">
        <f t="shared" si="20"/>
        <v>2012</v>
      </c>
      <c r="R700">
        <f t="shared" si="21"/>
        <v>10</v>
      </c>
      <c r="S700" s="112"/>
      <c r="T700" s="102"/>
    </row>
    <row r="701" spans="1:20">
      <c r="A701" s="117">
        <v>19</v>
      </c>
      <c r="B701" s="122" t="s">
        <v>260</v>
      </c>
      <c r="C701" s="206">
        <v>41225</v>
      </c>
      <c r="D701" s="102">
        <v>7.6</v>
      </c>
      <c r="E701" s="102">
        <v>11</v>
      </c>
      <c r="F701" s="218">
        <v>92</v>
      </c>
      <c r="G701" s="102">
        <v>8.1</v>
      </c>
      <c r="H701" s="218">
        <v>5.2</v>
      </c>
      <c r="I701" s="102"/>
      <c r="J701" s="102">
        <v>1.5</v>
      </c>
      <c r="K701" s="218">
        <v>33</v>
      </c>
      <c r="L701" s="218">
        <v>59</v>
      </c>
      <c r="M701" s="218">
        <v>7100</v>
      </c>
      <c r="N701" s="218">
        <v>86</v>
      </c>
      <c r="O701" s="218">
        <v>5900</v>
      </c>
      <c r="P701" s="112"/>
      <c r="Q701">
        <f t="shared" si="20"/>
        <v>2012</v>
      </c>
      <c r="R701">
        <f t="shared" si="21"/>
        <v>11</v>
      </c>
      <c r="S701" s="112"/>
      <c r="T701" s="102"/>
    </row>
    <row r="702" spans="1:20">
      <c r="A702" s="117">
        <v>19</v>
      </c>
      <c r="B702" s="102" t="s">
        <v>260</v>
      </c>
      <c r="C702" s="206">
        <v>41263</v>
      </c>
      <c r="D702" s="102">
        <v>2.6</v>
      </c>
      <c r="E702" s="102">
        <v>12.9</v>
      </c>
      <c r="F702" s="218">
        <v>91</v>
      </c>
      <c r="G702" s="102">
        <v>8.1</v>
      </c>
      <c r="H702" s="102">
        <v>8.1999999999999993</v>
      </c>
      <c r="I702" s="102"/>
      <c r="J702" s="102">
        <v>1.9</v>
      </c>
      <c r="K702" s="218">
        <v>36</v>
      </c>
      <c r="L702" s="218">
        <v>66</v>
      </c>
      <c r="M702" s="218">
        <v>8800</v>
      </c>
      <c r="N702" s="218">
        <v>57</v>
      </c>
      <c r="O702" s="218">
        <v>11000</v>
      </c>
      <c r="P702" s="112"/>
      <c r="Q702">
        <f t="shared" si="20"/>
        <v>2012</v>
      </c>
      <c r="R702">
        <f t="shared" si="21"/>
        <v>12</v>
      </c>
      <c r="S702" s="112"/>
      <c r="T702" s="102"/>
    </row>
    <row r="703" spans="1:20">
      <c r="A703" s="117">
        <v>19</v>
      </c>
      <c r="B703" s="102" t="s">
        <v>260</v>
      </c>
      <c r="C703" s="206">
        <v>41290</v>
      </c>
      <c r="D703" s="102">
        <v>0.4</v>
      </c>
      <c r="E703" s="102">
        <v>13.7</v>
      </c>
      <c r="F703" s="218">
        <v>94</v>
      </c>
      <c r="G703" s="102">
        <v>8.1</v>
      </c>
      <c r="H703" s="102">
        <v>3.5</v>
      </c>
      <c r="I703" s="102"/>
      <c r="J703" s="102">
        <v>1.7</v>
      </c>
      <c r="K703" s="218">
        <v>34</v>
      </c>
      <c r="L703" s="218">
        <v>48</v>
      </c>
      <c r="M703" s="218">
        <v>6500</v>
      </c>
      <c r="N703" s="218">
        <v>84</v>
      </c>
      <c r="O703" s="218">
        <v>7000</v>
      </c>
      <c r="P703" s="112"/>
      <c r="Q703">
        <f t="shared" si="20"/>
        <v>2013</v>
      </c>
      <c r="R703">
        <f t="shared" si="21"/>
        <v>1</v>
      </c>
      <c r="S703" s="112"/>
      <c r="T703" s="102"/>
    </row>
    <row r="704" spans="1:20">
      <c r="A704" s="117">
        <v>19</v>
      </c>
      <c r="B704" s="102" t="s">
        <v>260</v>
      </c>
      <c r="C704" s="206">
        <v>41323</v>
      </c>
      <c r="D704" s="102">
        <v>1.6</v>
      </c>
      <c r="E704" s="102">
        <v>12.6</v>
      </c>
      <c r="F704" s="218">
        <v>91</v>
      </c>
      <c r="G704" s="102">
        <v>8.1</v>
      </c>
      <c r="H704" s="218">
        <v>1.6</v>
      </c>
      <c r="I704" s="102"/>
      <c r="J704" s="102">
        <v>2.4</v>
      </c>
      <c r="K704" s="218">
        <v>25</v>
      </c>
      <c r="L704" s="218">
        <v>49</v>
      </c>
      <c r="M704" s="218">
        <v>5900</v>
      </c>
      <c r="N704" s="218">
        <v>82</v>
      </c>
      <c r="O704" s="218">
        <v>6500</v>
      </c>
      <c r="P704" s="112"/>
      <c r="Q704">
        <f t="shared" si="20"/>
        <v>2013</v>
      </c>
      <c r="R704">
        <f t="shared" si="21"/>
        <v>2</v>
      </c>
      <c r="S704" s="112"/>
      <c r="T704" s="102"/>
    </row>
    <row r="705" spans="1:20">
      <c r="A705" s="117">
        <v>19</v>
      </c>
      <c r="B705" s="102" t="s">
        <v>260</v>
      </c>
      <c r="C705" s="206">
        <v>41347</v>
      </c>
      <c r="D705" s="102">
        <v>0.3</v>
      </c>
      <c r="E705" s="102">
        <v>16.399999999999999</v>
      </c>
      <c r="F705" s="218">
        <v>115</v>
      </c>
      <c r="G705" s="102">
        <v>8.5</v>
      </c>
      <c r="H705" s="218">
        <v>1.7</v>
      </c>
      <c r="I705" s="102"/>
      <c r="J705" s="102">
        <v>3.1</v>
      </c>
      <c r="K705" s="218">
        <v>11</v>
      </c>
      <c r="L705" s="218">
        <v>37</v>
      </c>
      <c r="M705" s="218">
        <v>5400</v>
      </c>
      <c r="N705" s="218">
        <v>50</v>
      </c>
      <c r="O705" s="218">
        <v>5600</v>
      </c>
      <c r="P705" s="112"/>
      <c r="Q705">
        <f t="shared" si="20"/>
        <v>2013</v>
      </c>
      <c r="R705">
        <f t="shared" si="21"/>
        <v>3</v>
      </c>
      <c r="S705" s="112"/>
      <c r="T705" s="102"/>
    </row>
    <row r="706" spans="1:20">
      <c r="A706" s="117">
        <v>19</v>
      </c>
      <c r="B706" s="102" t="s">
        <v>260</v>
      </c>
      <c r="C706" s="206">
        <v>41379</v>
      </c>
      <c r="D706" s="102">
        <v>7.2</v>
      </c>
      <c r="E706" s="102">
        <v>10.4</v>
      </c>
      <c r="F706" s="218">
        <v>86</v>
      </c>
      <c r="G706" s="102">
        <v>8</v>
      </c>
      <c r="H706" s="218">
        <v>1.1000000000000001</v>
      </c>
      <c r="I706" s="102"/>
      <c r="J706" s="102">
        <v>3</v>
      </c>
      <c r="K706" s="218" t="s">
        <v>149</v>
      </c>
      <c r="L706" s="218">
        <v>26</v>
      </c>
      <c r="M706" s="218">
        <v>2700</v>
      </c>
      <c r="N706" s="218">
        <v>11</v>
      </c>
      <c r="O706" s="218">
        <v>3700</v>
      </c>
      <c r="P706" s="112"/>
      <c r="Q706">
        <f t="shared" si="20"/>
        <v>2013</v>
      </c>
      <c r="R706">
        <f t="shared" si="21"/>
        <v>4</v>
      </c>
      <c r="S706" s="112"/>
      <c r="T706" s="102"/>
    </row>
    <row r="707" spans="1:20">
      <c r="A707" s="117">
        <v>19</v>
      </c>
      <c r="B707" s="102" t="s">
        <v>260</v>
      </c>
      <c r="C707" s="206">
        <v>41408</v>
      </c>
      <c r="D707" s="102">
        <v>12.9</v>
      </c>
      <c r="E707" s="102">
        <v>7.9</v>
      </c>
      <c r="F707" s="218">
        <v>75</v>
      </c>
      <c r="G707" s="102">
        <v>8</v>
      </c>
      <c r="H707" s="218">
        <v>1.6</v>
      </c>
      <c r="I707" s="102"/>
      <c r="J707" s="102">
        <v>3.2</v>
      </c>
      <c r="K707" s="218">
        <v>26</v>
      </c>
      <c r="L707" s="218">
        <v>71</v>
      </c>
      <c r="M707" s="218">
        <v>2200</v>
      </c>
      <c r="N707" s="218">
        <v>48</v>
      </c>
      <c r="O707" s="218">
        <v>3400</v>
      </c>
      <c r="P707" s="112"/>
      <c r="Q707">
        <f t="shared" si="20"/>
        <v>2013</v>
      </c>
      <c r="R707">
        <f t="shared" si="21"/>
        <v>5</v>
      </c>
      <c r="S707" s="112"/>
      <c r="T707" s="102"/>
    </row>
    <row r="708" spans="1:20">
      <c r="A708" s="117">
        <v>19</v>
      </c>
      <c r="B708" s="102" t="s">
        <v>260</v>
      </c>
      <c r="C708" s="206">
        <v>41443</v>
      </c>
      <c r="D708" s="102">
        <v>16.100000000000001</v>
      </c>
      <c r="E708" s="102">
        <v>7.1</v>
      </c>
      <c r="F708" s="218">
        <v>74</v>
      </c>
      <c r="G708" s="102">
        <v>7.9</v>
      </c>
      <c r="H708" s="218">
        <v>2.5</v>
      </c>
      <c r="I708" s="102"/>
      <c r="J708" s="102">
        <v>1.9</v>
      </c>
      <c r="K708" s="218">
        <v>72</v>
      </c>
      <c r="L708" s="218">
        <v>99</v>
      </c>
      <c r="M708" s="218">
        <v>2500</v>
      </c>
      <c r="N708" s="218">
        <v>44</v>
      </c>
      <c r="O708" s="218">
        <v>3500</v>
      </c>
      <c r="P708" s="112"/>
      <c r="Q708">
        <f t="shared" si="20"/>
        <v>2013</v>
      </c>
      <c r="R708">
        <f t="shared" si="21"/>
        <v>6</v>
      </c>
      <c r="S708" s="112"/>
      <c r="T708" s="102"/>
    </row>
    <row r="709" spans="1:20">
      <c r="A709" s="117">
        <v>19</v>
      </c>
      <c r="B709" s="102" t="s">
        <v>260</v>
      </c>
      <c r="C709" s="206">
        <v>41465</v>
      </c>
      <c r="D709" s="102">
        <v>18</v>
      </c>
      <c r="E709" s="102">
        <v>8.6</v>
      </c>
      <c r="F709" s="218">
        <v>92</v>
      </c>
      <c r="G709" s="102">
        <v>8.1</v>
      </c>
      <c r="H709" s="218">
        <v>1.9</v>
      </c>
      <c r="I709" s="102"/>
      <c r="J709" s="102">
        <v>1.4</v>
      </c>
      <c r="K709" s="218">
        <v>73</v>
      </c>
      <c r="L709" s="218">
        <v>110</v>
      </c>
      <c r="M709" s="218">
        <v>1300</v>
      </c>
      <c r="N709" s="218">
        <v>43</v>
      </c>
      <c r="O709" s="218">
        <v>2300</v>
      </c>
      <c r="P709" s="112"/>
      <c r="Q709">
        <f t="shared" si="20"/>
        <v>2013</v>
      </c>
      <c r="R709">
        <f t="shared" si="21"/>
        <v>7</v>
      </c>
      <c r="S709" s="112"/>
      <c r="T709" s="102"/>
    </row>
    <row r="710" spans="1:20">
      <c r="A710" s="117">
        <v>19</v>
      </c>
      <c r="B710" s="102" t="s">
        <v>260</v>
      </c>
      <c r="C710" s="206">
        <v>41500</v>
      </c>
      <c r="D710" s="102">
        <v>15.7</v>
      </c>
      <c r="E710" s="102">
        <v>6.9</v>
      </c>
      <c r="F710" s="218">
        <v>70</v>
      </c>
      <c r="G710" s="102">
        <v>7.8</v>
      </c>
      <c r="H710" s="218">
        <v>3.1</v>
      </c>
      <c r="I710" s="102"/>
      <c r="J710" s="102">
        <v>3.1</v>
      </c>
      <c r="K710" s="218">
        <v>75</v>
      </c>
      <c r="L710" s="218">
        <v>120</v>
      </c>
      <c r="M710" s="218">
        <v>2600</v>
      </c>
      <c r="N710" s="218">
        <v>2000</v>
      </c>
      <c r="O710" s="218">
        <v>5800</v>
      </c>
      <c r="P710" s="112"/>
      <c r="Q710">
        <f t="shared" si="20"/>
        <v>2013</v>
      </c>
      <c r="R710">
        <f t="shared" si="21"/>
        <v>8</v>
      </c>
      <c r="S710" s="112"/>
      <c r="T710" s="102"/>
    </row>
    <row r="711" spans="1:20">
      <c r="A711" s="117">
        <v>19</v>
      </c>
      <c r="B711" s="102" t="s">
        <v>260</v>
      </c>
      <c r="C711" s="206">
        <v>41529</v>
      </c>
      <c r="D711" s="102">
        <v>15</v>
      </c>
      <c r="E711" s="102">
        <v>7.2</v>
      </c>
      <c r="F711" s="218">
        <v>75</v>
      </c>
      <c r="G711" s="102">
        <v>7.8</v>
      </c>
      <c r="H711" s="218">
        <v>2.6</v>
      </c>
      <c r="I711" s="102"/>
      <c r="J711" s="102">
        <v>1.9</v>
      </c>
      <c r="K711" s="218">
        <v>76</v>
      </c>
      <c r="L711" s="218">
        <v>98</v>
      </c>
      <c r="M711" s="218">
        <v>860</v>
      </c>
      <c r="N711" s="218">
        <v>110</v>
      </c>
      <c r="O711" s="218">
        <v>1800</v>
      </c>
      <c r="P711" s="112"/>
      <c r="Q711">
        <f t="shared" ref="Q711:Q774" si="22">YEAR(C711)</f>
        <v>2013</v>
      </c>
      <c r="R711">
        <f t="shared" ref="R711:R774" si="23">MONTH(C711)</f>
        <v>9</v>
      </c>
      <c r="S711" s="112"/>
      <c r="T711" s="102"/>
    </row>
    <row r="712" spans="1:20">
      <c r="A712" s="117">
        <v>19</v>
      </c>
      <c r="B712" s="102" t="s">
        <v>260</v>
      </c>
      <c r="C712" s="206">
        <v>41572</v>
      </c>
      <c r="D712" s="102">
        <v>10.3</v>
      </c>
      <c r="E712" s="102">
        <v>10.4</v>
      </c>
      <c r="F712" s="218">
        <v>92</v>
      </c>
      <c r="G712" s="102">
        <v>7.9</v>
      </c>
      <c r="H712" s="218">
        <v>2.1</v>
      </c>
      <c r="I712" s="102"/>
      <c r="J712" s="102" t="s">
        <v>287</v>
      </c>
      <c r="K712" s="218">
        <v>46</v>
      </c>
      <c r="L712" s="218">
        <v>72</v>
      </c>
      <c r="M712" s="218">
        <v>7700</v>
      </c>
      <c r="N712" s="218">
        <v>190</v>
      </c>
      <c r="O712" s="218">
        <v>9100</v>
      </c>
      <c r="P712" s="112"/>
      <c r="Q712">
        <f t="shared" si="22"/>
        <v>2013</v>
      </c>
      <c r="R712">
        <f t="shared" si="23"/>
        <v>10</v>
      </c>
      <c r="S712" s="112"/>
      <c r="T712" s="102"/>
    </row>
    <row r="713" spans="1:20">
      <c r="A713" s="117">
        <v>19</v>
      </c>
      <c r="B713" s="102" t="s">
        <v>260</v>
      </c>
      <c r="C713" s="206">
        <v>41591</v>
      </c>
      <c r="D713" s="102">
        <v>8</v>
      </c>
      <c r="E713" s="102">
        <v>11</v>
      </c>
      <c r="F713" s="218">
        <v>93</v>
      </c>
      <c r="G713" s="102">
        <v>8</v>
      </c>
      <c r="H713" s="218">
        <v>14</v>
      </c>
      <c r="I713" s="102"/>
      <c r="J713" s="102">
        <v>1.1000000000000001</v>
      </c>
      <c r="K713" s="218">
        <v>44</v>
      </c>
      <c r="L713" s="218">
        <v>66</v>
      </c>
      <c r="M713" s="218">
        <v>9100</v>
      </c>
      <c r="N713" s="218">
        <v>21</v>
      </c>
      <c r="O713" s="218">
        <v>10000</v>
      </c>
      <c r="P713" s="112"/>
      <c r="Q713">
        <f t="shared" si="22"/>
        <v>2013</v>
      </c>
      <c r="R713">
        <f t="shared" si="23"/>
        <v>11</v>
      </c>
      <c r="S713" s="112"/>
      <c r="T713" s="102"/>
    </row>
    <row r="714" spans="1:20">
      <c r="A714" s="117">
        <v>19</v>
      </c>
      <c r="B714" s="102" t="s">
        <v>260</v>
      </c>
      <c r="C714" s="206">
        <v>41619</v>
      </c>
      <c r="D714" s="102">
        <v>6.2</v>
      </c>
      <c r="E714" s="102">
        <v>11.4</v>
      </c>
      <c r="F714" s="218">
        <v>92</v>
      </c>
      <c r="G714" s="102">
        <v>8</v>
      </c>
      <c r="H714" s="218">
        <v>5.6</v>
      </c>
      <c r="I714" s="102"/>
      <c r="J714" s="102">
        <v>1.6</v>
      </c>
      <c r="K714" s="218">
        <v>37</v>
      </c>
      <c r="L714" s="218">
        <v>67</v>
      </c>
      <c r="M714" s="218">
        <v>9200</v>
      </c>
      <c r="N714" s="218">
        <v>51</v>
      </c>
      <c r="O714" s="218">
        <v>9700</v>
      </c>
      <c r="P714" s="112"/>
      <c r="Q714">
        <f t="shared" si="22"/>
        <v>2013</v>
      </c>
      <c r="R714">
        <f t="shared" si="23"/>
        <v>12</v>
      </c>
      <c r="S714" s="112"/>
      <c r="T714" s="102"/>
    </row>
    <row r="715" spans="1:20">
      <c r="A715" s="117">
        <v>19</v>
      </c>
      <c r="B715" s="102" t="s">
        <v>260</v>
      </c>
      <c r="C715" s="206">
        <v>41654</v>
      </c>
      <c r="D715" s="102">
        <v>3.7</v>
      </c>
      <c r="E715" s="102">
        <v>13.1</v>
      </c>
      <c r="F715" s="218">
        <v>99</v>
      </c>
      <c r="G715" s="102">
        <v>8</v>
      </c>
      <c r="H715" s="218">
        <v>4.5999999999999996</v>
      </c>
      <c r="I715" s="102"/>
      <c r="J715" s="102">
        <v>2.1</v>
      </c>
      <c r="K715" s="218">
        <v>41</v>
      </c>
      <c r="L715" s="218">
        <v>73</v>
      </c>
      <c r="M715" s="218">
        <v>6800</v>
      </c>
      <c r="N715" s="218">
        <v>81</v>
      </c>
      <c r="O715" s="218">
        <v>7900</v>
      </c>
      <c r="P715" s="112"/>
      <c r="Q715">
        <f t="shared" si="22"/>
        <v>2014</v>
      </c>
      <c r="R715">
        <f t="shared" si="23"/>
        <v>1</v>
      </c>
      <c r="S715" s="112"/>
      <c r="T715" s="102"/>
    </row>
    <row r="716" spans="1:20">
      <c r="A716" s="117">
        <v>19</v>
      </c>
      <c r="B716" s="102" t="s">
        <v>260</v>
      </c>
      <c r="C716" s="206">
        <v>41681</v>
      </c>
      <c r="D716" s="102">
        <v>2.7</v>
      </c>
      <c r="E716" s="102">
        <v>12.4</v>
      </c>
      <c r="F716" s="218">
        <v>94</v>
      </c>
      <c r="G716" s="102">
        <v>7.8</v>
      </c>
      <c r="H716" s="218">
        <v>9.6</v>
      </c>
      <c r="I716" s="102"/>
      <c r="J716" s="102">
        <v>2.1</v>
      </c>
      <c r="K716" s="218">
        <v>40</v>
      </c>
      <c r="L716" s="218">
        <v>63</v>
      </c>
      <c r="M716" s="218">
        <v>6500</v>
      </c>
      <c r="N716" s="218">
        <v>46</v>
      </c>
      <c r="O716" s="218">
        <v>7600</v>
      </c>
      <c r="P716" s="112"/>
      <c r="Q716">
        <f t="shared" si="22"/>
        <v>2014</v>
      </c>
      <c r="R716">
        <f t="shared" si="23"/>
        <v>2</v>
      </c>
      <c r="S716" s="112"/>
      <c r="T716" s="102"/>
    </row>
    <row r="717" spans="1:20">
      <c r="A717" s="117">
        <v>19</v>
      </c>
      <c r="B717" s="102" t="s">
        <v>260</v>
      </c>
      <c r="C717" s="206">
        <v>41709</v>
      </c>
      <c r="D717" s="102">
        <v>6.7</v>
      </c>
      <c r="E717" s="102">
        <v>13.1</v>
      </c>
      <c r="F717" s="218">
        <v>107</v>
      </c>
      <c r="G717" s="102">
        <v>8.1999999999999993</v>
      </c>
      <c r="H717" s="218">
        <v>1.6</v>
      </c>
      <c r="I717" s="102"/>
      <c r="J717" s="102">
        <v>2.7</v>
      </c>
      <c r="K717" s="218">
        <v>17</v>
      </c>
      <c r="L717" s="218">
        <v>32</v>
      </c>
      <c r="M717" s="218">
        <v>5300</v>
      </c>
      <c r="N717" s="218">
        <v>190</v>
      </c>
      <c r="O717" s="218">
        <v>6600</v>
      </c>
      <c r="P717" s="112"/>
      <c r="Q717">
        <f t="shared" si="22"/>
        <v>2014</v>
      </c>
      <c r="R717">
        <f t="shared" si="23"/>
        <v>3</v>
      </c>
      <c r="S717" s="112"/>
      <c r="T717" s="102"/>
    </row>
    <row r="718" spans="1:20">
      <c r="A718" s="117">
        <v>19</v>
      </c>
      <c r="B718" s="102" t="s">
        <v>260</v>
      </c>
      <c r="C718" s="206">
        <v>41743</v>
      </c>
      <c r="D718" s="102">
        <v>8.6999999999999993</v>
      </c>
      <c r="E718" s="102">
        <v>11.5</v>
      </c>
      <c r="F718" s="218">
        <v>102</v>
      </c>
      <c r="G718" s="102">
        <v>8.4</v>
      </c>
      <c r="H718" s="218">
        <v>1.8</v>
      </c>
      <c r="I718" s="102"/>
      <c r="J718" s="102">
        <v>2.2999999999999998</v>
      </c>
      <c r="K718" s="218">
        <v>7</v>
      </c>
      <c r="L718" s="218">
        <v>31</v>
      </c>
      <c r="M718" s="218">
        <v>3700</v>
      </c>
      <c r="N718" s="218">
        <v>16</v>
      </c>
      <c r="O718" s="218">
        <v>5000</v>
      </c>
      <c r="P718" s="112"/>
      <c r="Q718">
        <f t="shared" si="22"/>
        <v>2014</v>
      </c>
      <c r="R718">
        <f t="shared" si="23"/>
        <v>4</v>
      </c>
      <c r="S718" s="112"/>
      <c r="T718" s="102"/>
    </row>
    <row r="719" spans="1:20">
      <c r="A719" s="117">
        <v>19</v>
      </c>
      <c r="B719" s="102" t="s">
        <v>260</v>
      </c>
      <c r="C719" s="206">
        <v>41771</v>
      </c>
      <c r="D719" s="102">
        <v>12.4</v>
      </c>
      <c r="E719" s="102">
        <v>9.8000000000000007</v>
      </c>
      <c r="F719" s="218">
        <v>96</v>
      </c>
      <c r="G719" s="102">
        <v>8.1</v>
      </c>
      <c r="H719" s="218">
        <v>3.4</v>
      </c>
      <c r="I719" s="102"/>
      <c r="J719" s="102">
        <v>1.5</v>
      </c>
      <c r="K719" s="218">
        <v>35</v>
      </c>
      <c r="L719" s="218">
        <v>54</v>
      </c>
      <c r="M719" s="218">
        <v>4300</v>
      </c>
      <c r="N719" s="218">
        <v>48</v>
      </c>
      <c r="O719" s="218">
        <v>5800</v>
      </c>
      <c r="P719" s="112"/>
      <c r="Q719">
        <f t="shared" si="22"/>
        <v>2014</v>
      </c>
      <c r="R719">
        <f t="shared" si="23"/>
        <v>5</v>
      </c>
      <c r="S719" s="112"/>
      <c r="T719" s="102"/>
    </row>
    <row r="720" spans="1:20">
      <c r="A720" s="117">
        <v>19</v>
      </c>
      <c r="B720" s="102" t="s">
        <v>260</v>
      </c>
      <c r="C720" s="206">
        <v>41807</v>
      </c>
      <c r="D720" s="102">
        <v>16.7</v>
      </c>
      <c r="E720" s="102">
        <v>6.9</v>
      </c>
      <c r="F720" s="218">
        <v>69</v>
      </c>
      <c r="G720" s="102">
        <v>8.1</v>
      </c>
      <c r="H720" s="218">
        <v>1.2</v>
      </c>
      <c r="I720" s="102"/>
      <c r="J720" s="102">
        <v>1.3</v>
      </c>
      <c r="K720" s="218">
        <v>64</v>
      </c>
      <c r="L720" s="218">
        <v>110</v>
      </c>
      <c r="M720" s="218">
        <v>2000</v>
      </c>
      <c r="N720" s="218">
        <v>46</v>
      </c>
      <c r="O720" s="218">
        <v>3300</v>
      </c>
      <c r="P720" s="112"/>
      <c r="Q720">
        <f t="shared" si="22"/>
        <v>2014</v>
      </c>
      <c r="R720">
        <f t="shared" si="23"/>
        <v>6</v>
      </c>
      <c r="S720" s="112"/>
      <c r="T720" s="102"/>
    </row>
    <row r="721" spans="1:20">
      <c r="A721" s="117">
        <v>19</v>
      </c>
      <c r="B721" s="102" t="s">
        <v>260</v>
      </c>
      <c r="C721" s="206">
        <v>41835</v>
      </c>
      <c r="D721" s="102">
        <v>17.899999999999999</v>
      </c>
      <c r="E721" s="102">
        <v>6.3</v>
      </c>
      <c r="F721" s="218">
        <v>66</v>
      </c>
      <c r="G721" s="102"/>
      <c r="H721" s="218"/>
      <c r="I721" s="102"/>
      <c r="J721" s="102"/>
      <c r="K721" s="218">
        <v>110</v>
      </c>
      <c r="L721" s="218">
        <v>130</v>
      </c>
      <c r="M721" s="218">
        <v>1200</v>
      </c>
      <c r="N721" s="218">
        <v>44</v>
      </c>
      <c r="O721" s="218">
        <v>1900</v>
      </c>
      <c r="P721" s="112"/>
      <c r="Q721">
        <f t="shared" si="22"/>
        <v>2014</v>
      </c>
      <c r="R721">
        <f t="shared" si="23"/>
        <v>7</v>
      </c>
      <c r="S721" s="112"/>
      <c r="T721" s="102"/>
    </row>
    <row r="722" spans="1:20">
      <c r="A722" s="117">
        <v>19</v>
      </c>
      <c r="B722" s="102" t="s">
        <v>260</v>
      </c>
      <c r="C722" s="206">
        <v>41863</v>
      </c>
      <c r="D722" s="102">
        <v>17.7</v>
      </c>
      <c r="E722" s="102">
        <v>8.6</v>
      </c>
      <c r="F722" s="218">
        <v>83</v>
      </c>
      <c r="G722" s="102">
        <v>7.9</v>
      </c>
      <c r="H722" s="218">
        <v>1.3</v>
      </c>
      <c r="I722" s="102"/>
      <c r="J722" s="102">
        <v>1.3</v>
      </c>
      <c r="K722" s="218">
        <v>95</v>
      </c>
      <c r="L722" s="218">
        <v>110</v>
      </c>
      <c r="M722" s="218">
        <v>2300</v>
      </c>
      <c r="N722" s="218">
        <v>32</v>
      </c>
      <c r="O722" s="218">
        <v>3000</v>
      </c>
      <c r="P722" s="112"/>
      <c r="Q722">
        <f t="shared" si="22"/>
        <v>2014</v>
      </c>
      <c r="R722">
        <f t="shared" si="23"/>
        <v>8</v>
      </c>
      <c r="S722" s="112"/>
      <c r="T722" s="102"/>
    </row>
    <row r="723" spans="1:20">
      <c r="A723" s="117">
        <v>19</v>
      </c>
      <c r="B723" s="102" t="s">
        <v>260</v>
      </c>
      <c r="C723" s="206">
        <v>41893</v>
      </c>
      <c r="D723" s="102">
        <v>14.9</v>
      </c>
      <c r="E723" s="102">
        <v>7.1</v>
      </c>
      <c r="F723" s="218">
        <v>70</v>
      </c>
      <c r="G723" s="102">
        <v>7.9</v>
      </c>
      <c r="H723" s="218">
        <v>1.7</v>
      </c>
      <c r="I723" s="102"/>
      <c r="J723" s="102">
        <v>1.5</v>
      </c>
      <c r="K723" s="218">
        <v>51</v>
      </c>
      <c r="L723" s="218">
        <v>84</v>
      </c>
      <c r="M723" s="218">
        <v>2200</v>
      </c>
      <c r="N723" s="218">
        <v>37</v>
      </c>
      <c r="O723" s="218">
        <v>2300</v>
      </c>
      <c r="P723" s="112"/>
      <c r="Q723">
        <f t="shared" si="22"/>
        <v>2014</v>
      </c>
      <c r="R723">
        <f t="shared" si="23"/>
        <v>9</v>
      </c>
      <c r="S723" s="112"/>
      <c r="T723" s="102"/>
    </row>
    <row r="724" spans="1:20">
      <c r="A724" s="117">
        <v>19</v>
      </c>
      <c r="B724" s="102" t="s">
        <v>260</v>
      </c>
      <c r="C724" s="206">
        <v>41929</v>
      </c>
      <c r="D724" s="102">
        <v>12.6</v>
      </c>
      <c r="E724" s="102">
        <v>8</v>
      </c>
      <c r="F724" s="218">
        <v>75</v>
      </c>
      <c r="G724" s="102">
        <v>7.9</v>
      </c>
      <c r="H724" s="218">
        <v>15</v>
      </c>
      <c r="I724" s="102"/>
      <c r="J724" s="102">
        <v>0.88</v>
      </c>
      <c r="K724" s="218">
        <v>68</v>
      </c>
      <c r="L724" s="218">
        <v>110</v>
      </c>
      <c r="M724" s="218">
        <v>6000</v>
      </c>
      <c r="N724" s="218">
        <v>350</v>
      </c>
      <c r="O724" s="218">
        <v>7200</v>
      </c>
      <c r="P724" s="112"/>
      <c r="Q724">
        <f t="shared" si="22"/>
        <v>2014</v>
      </c>
      <c r="R724">
        <f t="shared" si="23"/>
        <v>10</v>
      </c>
      <c r="S724" s="112"/>
      <c r="T724" s="102"/>
    </row>
    <row r="725" spans="1:20">
      <c r="A725" s="117">
        <v>19</v>
      </c>
      <c r="B725" s="102" t="s">
        <v>260</v>
      </c>
      <c r="C725" s="206">
        <v>41954</v>
      </c>
      <c r="D725" s="102">
        <v>10</v>
      </c>
      <c r="E725" s="102">
        <v>8.9</v>
      </c>
      <c r="F725" s="218">
        <v>79</v>
      </c>
      <c r="G725" s="102">
        <v>8.1</v>
      </c>
      <c r="H725" s="218">
        <v>2</v>
      </c>
      <c r="I725" s="102"/>
      <c r="J725" s="102">
        <v>1.5</v>
      </c>
      <c r="K725" s="218">
        <v>51</v>
      </c>
      <c r="L725" s="218">
        <v>73</v>
      </c>
      <c r="M725" s="218">
        <v>6100</v>
      </c>
      <c r="N725" s="218">
        <v>53</v>
      </c>
      <c r="O725" s="218">
        <v>6900</v>
      </c>
      <c r="P725" s="112"/>
      <c r="Q725">
        <f t="shared" si="22"/>
        <v>2014</v>
      </c>
      <c r="R725">
        <f t="shared" si="23"/>
        <v>11</v>
      </c>
      <c r="S725" s="112"/>
      <c r="T725" s="102"/>
    </row>
    <row r="726" spans="1:20">
      <c r="A726" s="117">
        <v>19</v>
      </c>
      <c r="B726" s="102" t="s">
        <v>260</v>
      </c>
      <c r="C726" s="206">
        <v>41985</v>
      </c>
      <c r="D726" s="102">
        <v>3.9</v>
      </c>
      <c r="E726" s="102">
        <v>11.7</v>
      </c>
      <c r="F726" s="218">
        <v>93</v>
      </c>
      <c r="G726" s="102">
        <v>8</v>
      </c>
      <c r="H726" s="218">
        <v>11</v>
      </c>
      <c r="I726" s="102"/>
      <c r="J726" s="102" t="s">
        <v>287</v>
      </c>
      <c r="K726" s="218">
        <v>50</v>
      </c>
      <c r="L726" s="218">
        <v>84</v>
      </c>
      <c r="M726" s="218">
        <v>8000</v>
      </c>
      <c r="N726" s="218">
        <v>130</v>
      </c>
      <c r="O726" s="218">
        <v>8700</v>
      </c>
      <c r="P726" s="112"/>
      <c r="Q726">
        <f t="shared" si="22"/>
        <v>2014</v>
      </c>
      <c r="R726">
        <f t="shared" si="23"/>
        <v>12</v>
      </c>
      <c r="S726" s="112"/>
      <c r="T726" s="102"/>
    </row>
    <row r="727" spans="1:20">
      <c r="A727" s="117">
        <v>19</v>
      </c>
      <c r="B727" s="102" t="s">
        <v>260</v>
      </c>
      <c r="C727" s="206">
        <v>42019</v>
      </c>
      <c r="D727" s="102">
        <v>3.7</v>
      </c>
      <c r="E727" s="102">
        <v>12.3</v>
      </c>
      <c r="F727" s="218">
        <v>93</v>
      </c>
      <c r="G727" s="102">
        <v>7.9</v>
      </c>
      <c r="H727" s="218">
        <v>14</v>
      </c>
      <c r="I727" s="102"/>
      <c r="J727" s="102">
        <v>1.1000000000000001</v>
      </c>
      <c r="K727" s="218">
        <v>36</v>
      </c>
      <c r="L727" s="218">
        <v>77</v>
      </c>
      <c r="M727" s="218">
        <v>6600</v>
      </c>
      <c r="N727" s="218">
        <v>78</v>
      </c>
      <c r="O727" s="218">
        <v>7000</v>
      </c>
      <c r="P727" s="112"/>
      <c r="Q727">
        <f t="shared" si="22"/>
        <v>2015</v>
      </c>
      <c r="R727">
        <f t="shared" si="23"/>
        <v>1</v>
      </c>
      <c r="S727" s="112"/>
      <c r="T727" s="102"/>
    </row>
    <row r="728" spans="1:20">
      <c r="A728" s="117">
        <v>19</v>
      </c>
      <c r="B728" s="122" t="s">
        <v>260</v>
      </c>
      <c r="C728" s="216">
        <v>42045</v>
      </c>
      <c r="D728">
        <v>2.9</v>
      </c>
      <c r="E728" s="116">
        <v>13.5</v>
      </c>
      <c r="F728" s="101">
        <v>99</v>
      </c>
      <c r="G728">
        <v>8.1</v>
      </c>
      <c r="H728" s="116">
        <v>5.3</v>
      </c>
      <c r="J728">
        <v>3.8</v>
      </c>
      <c r="K728">
        <v>14</v>
      </c>
      <c r="L728">
        <v>56</v>
      </c>
      <c r="M728">
        <v>6200</v>
      </c>
      <c r="N728">
        <v>630</v>
      </c>
      <c r="O728">
        <v>7600</v>
      </c>
      <c r="Q728">
        <f t="shared" si="22"/>
        <v>2015</v>
      </c>
      <c r="R728">
        <f t="shared" si="23"/>
        <v>2</v>
      </c>
    </row>
    <row r="729" spans="1:20">
      <c r="A729" s="117">
        <v>19</v>
      </c>
      <c r="B729" s="122" t="s">
        <v>260</v>
      </c>
      <c r="C729" s="216">
        <v>42075</v>
      </c>
      <c r="D729">
        <v>5.7</v>
      </c>
      <c r="E729" s="116">
        <v>13.4</v>
      </c>
      <c r="F729" s="101">
        <v>103</v>
      </c>
      <c r="G729">
        <v>8.1999999999999993</v>
      </c>
      <c r="H729" s="116">
        <v>2.9</v>
      </c>
      <c r="J729">
        <v>2</v>
      </c>
      <c r="K729">
        <v>7</v>
      </c>
      <c r="L729">
        <v>42</v>
      </c>
      <c r="M729">
        <v>5700</v>
      </c>
      <c r="N729">
        <v>340</v>
      </c>
      <c r="O729">
        <v>6200</v>
      </c>
      <c r="Q729">
        <f t="shared" si="22"/>
        <v>2015</v>
      </c>
      <c r="R729">
        <f t="shared" si="23"/>
        <v>3</v>
      </c>
    </row>
    <row r="730" spans="1:20">
      <c r="A730" s="117">
        <v>19</v>
      </c>
      <c r="B730" s="122" t="s">
        <v>260</v>
      </c>
      <c r="C730" s="216">
        <v>42107</v>
      </c>
      <c r="D730">
        <v>9.4</v>
      </c>
      <c r="E730" s="116">
        <v>12</v>
      </c>
      <c r="F730" s="101">
        <v>101</v>
      </c>
      <c r="G730">
        <v>8.1</v>
      </c>
      <c r="H730" s="116">
        <v>2.6</v>
      </c>
      <c r="J730">
        <v>3.1</v>
      </c>
      <c r="K730">
        <v>8.4</v>
      </c>
      <c r="L730">
        <v>47</v>
      </c>
      <c r="M730">
        <v>3800</v>
      </c>
      <c r="N730">
        <v>49</v>
      </c>
      <c r="O730">
        <v>4400</v>
      </c>
      <c r="Q730">
        <f t="shared" si="22"/>
        <v>2015</v>
      </c>
      <c r="R730">
        <f t="shared" si="23"/>
        <v>4</v>
      </c>
    </row>
    <row r="731" spans="1:20">
      <c r="A731" s="117">
        <v>19</v>
      </c>
      <c r="B731" s="122" t="s">
        <v>260</v>
      </c>
      <c r="C731" s="216">
        <v>42142</v>
      </c>
      <c r="D731">
        <v>12.3</v>
      </c>
      <c r="E731" s="116">
        <v>10.6</v>
      </c>
      <c r="F731" s="101">
        <v>102</v>
      </c>
      <c r="G731">
        <v>8.1</v>
      </c>
      <c r="H731" s="116">
        <v>5.0999999999999996</v>
      </c>
      <c r="J731">
        <v>3</v>
      </c>
      <c r="K731">
        <v>18</v>
      </c>
      <c r="L731">
        <v>62</v>
      </c>
      <c r="M731">
        <v>2800</v>
      </c>
      <c r="N731">
        <v>16</v>
      </c>
      <c r="O731">
        <v>3400</v>
      </c>
      <c r="Q731">
        <f t="shared" si="22"/>
        <v>2015</v>
      </c>
      <c r="R731">
        <f t="shared" si="23"/>
        <v>5</v>
      </c>
    </row>
    <row r="732" spans="1:20">
      <c r="A732" s="117">
        <v>19</v>
      </c>
      <c r="B732" s="122" t="s">
        <v>260</v>
      </c>
      <c r="C732" s="216">
        <v>42172</v>
      </c>
      <c r="D732">
        <v>12.4</v>
      </c>
      <c r="E732" s="116">
        <v>7.7</v>
      </c>
      <c r="F732" s="101">
        <v>71</v>
      </c>
      <c r="G732">
        <v>7.9</v>
      </c>
      <c r="H732" s="116">
        <v>1.9</v>
      </c>
      <c r="J732">
        <v>1.8</v>
      </c>
      <c r="K732">
        <v>65</v>
      </c>
      <c r="L732">
        <v>96</v>
      </c>
      <c r="M732">
        <v>3000</v>
      </c>
      <c r="N732">
        <v>57</v>
      </c>
      <c r="O732">
        <v>3600</v>
      </c>
      <c r="Q732">
        <f t="shared" si="22"/>
        <v>2015</v>
      </c>
      <c r="R732">
        <f t="shared" si="23"/>
        <v>6</v>
      </c>
    </row>
    <row r="733" spans="1:20">
      <c r="A733" s="117">
        <v>19</v>
      </c>
      <c r="B733" s="122" t="s">
        <v>260</v>
      </c>
      <c r="C733" s="216">
        <v>42199</v>
      </c>
      <c r="D733">
        <v>16.3</v>
      </c>
      <c r="E733" s="116">
        <v>7.3</v>
      </c>
      <c r="F733" s="101">
        <v>74</v>
      </c>
      <c r="G733">
        <v>7.9</v>
      </c>
      <c r="H733" s="116">
        <v>1.2</v>
      </c>
      <c r="J733">
        <v>1.8</v>
      </c>
      <c r="K733">
        <v>61</v>
      </c>
      <c r="L733">
        <v>93</v>
      </c>
      <c r="M733">
        <v>2500</v>
      </c>
      <c r="N733">
        <v>45</v>
      </c>
      <c r="O733">
        <v>3400</v>
      </c>
      <c r="Q733">
        <f t="shared" si="22"/>
        <v>2015</v>
      </c>
      <c r="R733">
        <f t="shared" si="23"/>
        <v>7</v>
      </c>
    </row>
    <row r="734" spans="1:20">
      <c r="A734" s="117">
        <v>19</v>
      </c>
      <c r="B734" s="122" t="s">
        <v>260</v>
      </c>
      <c r="C734" s="206">
        <v>42234</v>
      </c>
      <c r="D734" s="102">
        <v>16.7</v>
      </c>
      <c r="E734" s="102">
        <v>5.7</v>
      </c>
      <c r="F734" s="218">
        <v>60</v>
      </c>
      <c r="G734" s="102">
        <v>7.9</v>
      </c>
      <c r="H734" s="218">
        <v>1.4</v>
      </c>
      <c r="I734" s="102"/>
      <c r="J734" s="102">
        <v>1.2</v>
      </c>
      <c r="K734" s="218">
        <v>88</v>
      </c>
      <c r="L734" s="218">
        <v>120</v>
      </c>
      <c r="M734" s="218">
        <v>1300</v>
      </c>
      <c r="N734" s="218">
        <v>34</v>
      </c>
      <c r="O734" s="218">
        <v>1600</v>
      </c>
      <c r="P734" s="112"/>
      <c r="Q734">
        <f t="shared" si="22"/>
        <v>2015</v>
      </c>
      <c r="R734">
        <f t="shared" si="23"/>
        <v>8</v>
      </c>
      <c r="S734" s="112"/>
      <c r="T734" s="102"/>
    </row>
    <row r="735" spans="1:20">
      <c r="A735" s="117">
        <v>19</v>
      </c>
      <c r="B735" s="122" t="s">
        <v>260</v>
      </c>
      <c r="C735" s="206">
        <v>42265</v>
      </c>
      <c r="D735" s="102">
        <v>15.3</v>
      </c>
      <c r="E735" s="102">
        <v>7.12</v>
      </c>
      <c r="F735" s="218">
        <v>72.2</v>
      </c>
      <c r="G735" s="102">
        <v>7.9</v>
      </c>
      <c r="H735" s="218">
        <v>0.96</v>
      </c>
      <c r="I735" s="102"/>
      <c r="J735" s="102">
        <v>0.61</v>
      </c>
      <c r="K735" s="218">
        <v>73</v>
      </c>
      <c r="L735" s="218">
        <v>100</v>
      </c>
      <c r="M735" s="218">
        <v>2000</v>
      </c>
      <c r="N735" s="218">
        <v>46</v>
      </c>
      <c r="O735" s="218">
        <v>2600</v>
      </c>
      <c r="P735" s="112"/>
      <c r="Q735">
        <f t="shared" si="22"/>
        <v>2015</v>
      </c>
      <c r="R735">
        <f t="shared" si="23"/>
        <v>9</v>
      </c>
      <c r="S735" s="112"/>
      <c r="T735" s="102"/>
    </row>
    <row r="736" spans="1:20">
      <c r="A736" s="117">
        <v>19</v>
      </c>
      <c r="B736" s="122" t="s">
        <v>260</v>
      </c>
      <c r="C736" s="206">
        <v>42290</v>
      </c>
      <c r="D736" s="102">
        <v>8.8000000000000007</v>
      </c>
      <c r="E736" s="102">
        <v>10.199999999999999</v>
      </c>
      <c r="F736" s="218">
        <v>87</v>
      </c>
      <c r="G736" s="102">
        <v>8.1</v>
      </c>
      <c r="H736" s="218">
        <v>1.2</v>
      </c>
      <c r="I736" s="102"/>
      <c r="J736" s="102">
        <v>1.1000000000000001</v>
      </c>
      <c r="K736" s="218">
        <v>36</v>
      </c>
      <c r="L736" s="218">
        <v>110</v>
      </c>
      <c r="M736" s="218">
        <v>650</v>
      </c>
      <c r="N736" s="218">
        <v>31</v>
      </c>
      <c r="O736" s="218">
        <v>3300</v>
      </c>
      <c r="P736" s="112"/>
      <c r="Q736">
        <f t="shared" si="22"/>
        <v>2015</v>
      </c>
      <c r="R736">
        <f t="shared" si="23"/>
        <v>10</v>
      </c>
      <c r="S736" s="112"/>
      <c r="T736" s="102"/>
    </row>
    <row r="737" spans="1:20">
      <c r="A737" s="117">
        <v>19</v>
      </c>
      <c r="B737" s="122" t="s">
        <v>260</v>
      </c>
      <c r="C737" s="206">
        <v>42325</v>
      </c>
      <c r="D737" s="102">
        <v>8.1</v>
      </c>
      <c r="E737" s="102">
        <v>10.4</v>
      </c>
      <c r="F737" s="218">
        <v>93</v>
      </c>
      <c r="G737" s="102">
        <v>8.1</v>
      </c>
      <c r="H737" s="218">
        <v>4.0999999999999996</v>
      </c>
      <c r="I737" s="102"/>
      <c r="J737" s="102">
        <v>1.9</v>
      </c>
      <c r="K737" s="218">
        <v>26</v>
      </c>
      <c r="L737" s="218">
        <v>62</v>
      </c>
      <c r="M737" s="218">
        <v>6500</v>
      </c>
      <c r="N737" s="218">
        <v>190</v>
      </c>
      <c r="O737" s="218">
        <v>7000</v>
      </c>
      <c r="P737" s="112"/>
      <c r="Q737">
        <f t="shared" si="22"/>
        <v>2015</v>
      </c>
      <c r="R737">
        <f t="shared" si="23"/>
        <v>11</v>
      </c>
      <c r="S737" s="112"/>
      <c r="T737" s="102"/>
    </row>
    <row r="738" spans="1:20">
      <c r="A738" s="117">
        <v>19</v>
      </c>
      <c r="B738" s="122" t="s">
        <v>260</v>
      </c>
      <c r="C738" s="206">
        <v>42352</v>
      </c>
      <c r="D738" s="102">
        <v>4.0999999999999996</v>
      </c>
      <c r="E738" s="102">
        <v>12.8</v>
      </c>
      <c r="F738" s="218">
        <v>97</v>
      </c>
      <c r="G738" s="102">
        <v>8.1</v>
      </c>
      <c r="H738" s="218">
        <v>9.3000000000000007</v>
      </c>
      <c r="I738" s="102"/>
      <c r="J738" s="102">
        <v>1.9</v>
      </c>
      <c r="K738" s="218">
        <v>43</v>
      </c>
      <c r="L738" s="218">
        <v>71</v>
      </c>
      <c r="M738" s="218">
        <v>6400</v>
      </c>
      <c r="N738" s="218">
        <v>95</v>
      </c>
      <c r="O738" s="218">
        <v>8100</v>
      </c>
      <c r="P738" s="112"/>
      <c r="Q738">
        <f t="shared" si="22"/>
        <v>2015</v>
      </c>
      <c r="R738">
        <f t="shared" si="23"/>
        <v>12</v>
      </c>
      <c r="S738" s="112"/>
      <c r="T738" s="102"/>
    </row>
    <row r="739" spans="1:20">
      <c r="A739" s="117">
        <v>19</v>
      </c>
      <c r="B739" s="102" t="s">
        <v>260</v>
      </c>
      <c r="C739" s="206">
        <v>42389</v>
      </c>
      <c r="D739" s="102">
        <v>0.6</v>
      </c>
      <c r="E739" s="102">
        <v>14.3</v>
      </c>
      <c r="F739" s="218">
        <v>101</v>
      </c>
      <c r="G739" s="102">
        <v>8</v>
      </c>
      <c r="H739" s="218">
        <v>3.5</v>
      </c>
      <c r="I739" s="102"/>
      <c r="J739" s="102">
        <v>1.7</v>
      </c>
      <c r="K739" s="218">
        <v>27</v>
      </c>
      <c r="L739" s="218">
        <v>59</v>
      </c>
      <c r="M739" s="218">
        <v>5800</v>
      </c>
      <c r="N739" s="218">
        <v>170</v>
      </c>
      <c r="O739" s="218">
        <v>6200</v>
      </c>
      <c r="P739" s="112"/>
      <c r="Q739">
        <f t="shared" si="22"/>
        <v>2016</v>
      </c>
      <c r="R739">
        <f t="shared" si="23"/>
        <v>1</v>
      </c>
      <c r="S739" s="112"/>
      <c r="T739" s="102"/>
    </row>
    <row r="740" spans="1:20">
      <c r="A740" s="117">
        <v>19</v>
      </c>
      <c r="B740" s="102" t="s">
        <v>260</v>
      </c>
      <c r="C740" s="206">
        <v>42416</v>
      </c>
      <c r="D740" s="102">
        <v>1</v>
      </c>
      <c r="E740" s="102">
        <v>13.5</v>
      </c>
      <c r="F740" s="218">
        <v>93</v>
      </c>
      <c r="G740" s="102">
        <v>8</v>
      </c>
      <c r="H740" s="218">
        <v>5.0999999999999996</v>
      </c>
      <c r="I740" s="102"/>
      <c r="J740" s="102">
        <v>2.5</v>
      </c>
      <c r="K740" s="218">
        <v>46</v>
      </c>
      <c r="L740" s="218">
        <v>64</v>
      </c>
      <c r="M740" s="218">
        <v>6100</v>
      </c>
      <c r="N740" s="218">
        <v>120</v>
      </c>
      <c r="O740" s="218">
        <v>6400</v>
      </c>
      <c r="P740" s="112"/>
      <c r="Q740">
        <f t="shared" si="22"/>
        <v>2016</v>
      </c>
      <c r="R740">
        <f t="shared" si="23"/>
        <v>2</v>
      </c>
      <c r="S740" s="112"/>
      <c r="T740" s="102"/>
    </row>
    <row r="741" spans="1:20">
      <c r="A741" s="117">
        <v>19</v>
      </c>
      <c r="B741" s="102" t="s">
        <v>260</v>
      </c>
      <c r="C741" s="206">
        <v>42444</v>
      </c>
      <c r="D741" s="102">
        <v>4.7</v>
      </c>
      <c r="E741" s="102">
        <v>12.8</v>
      </c>
      <c r="F741" s="218">
        <v>98</v>
      </c>
      <c r="G741" s="102">
        <v>8.1999999999999993</v>
      </c>
      <c r="H741" s="218">
        <v>2.1</v>
      </c>
      <c r="I741" s="102"/>
      <c r="J741" s="102">
        <v>2.2999999999999998</v>
      </c>
      <c r="K741" s="218">
        <v>13</v>
      </c>
      <c r="L741" s="218">
        <v>40</v>
      </c>
      <c r="M741" s="218">
        <v>5700</v>
      </c>
      <c r="N741" s="218">
        <v>140</v>
      </c>
      <c r="O741" s="218">
        <v>5900</v>
      </c>
      <c r="P741" s="112"/>
      <c r="Q741">
        <f t="shared" si="22"/>
        <v>2016</v>
      </c>
      <c r="R741">
        <f t="shared" si="23"/>
        <v>3</v>
      </c>
      <c r="S741" s="112"/>
      <c r="T741" s="102"/>
    </row>
    <row r="742" spans="1:20">
      <c r="A742" s="117">
        <v>19</v>
      </c>
      <c r="B742" s="102" t="s">
        <v>260</v>
      </c>
      <c r="C742" s="206">
        <v>42472</v>
      </c>
      <c r="D742" s="102">
        <v>7.2</v>
      </c>
      <c r="E742" s="102">
        <v>11.8</v>
      </c>
      <c r="F742" s="218">
        <v>97</v>
      </c>
      <c r="G742" s="102">
        <v>8.1</v>
      </c>
      <c r="H742" s="218">
        <v>1.6</v>
      </c>
      <c r="I742" s="102"/>
      <c r="J742" s="102">
        <v>2</v>
      </c>
      <c r="K742" s="218">
        <v>11</v>
      </c>
      <c r="L742" s="218">
        <v>30</v>
      </c>
      <c r="M742" s="218">
        <v>3600</v>
      </c>
      <c r="N742" s="218">
        <v>13</v>
      </c>
      <c r="O742" s="218">
        <v>3800</v>
      </c>
      <c r="P742" s="112"/>
      <c r="Q742">
        <f t="shared" si="22"/>
        <v>2016</v>
      </c>
      <c r="R742">
        <f t="shared" si="23"/>
        <v>4</v>
      </c>
      <c r="S742" s="112"/>
      <c r="T742" s="102"/>
    </row>
    <row r="743" spans="1:20">
      <c r="A743" s="117">
        <v>19</v>
      </c>
      <c r="B743" s="102" t="s">
        <v>260</v>
      </c>
      <c r="C743" s="206">
        <v>42507</v>
      </c>
      <c r="D743" s="102">
        <v>11</v>
      </c>
      <c r="E743" s="102">
        <v>10</v>
      </c>
      <c r="F743" s="218">
        <v>92</v>
      </c>
      <c r="G743" s="102">
        <v>8.1</v>
      </c>
      <c r="H743" s="218">
        <v>1.2</v>
      </c>
      <c r="I743" s="102"/>
      <c r="J743" s="102">
        <v>2.2999999999999998</v>
      </c>
      <c r="K743" s="218">
        <v>16</v>
      </c>
      <c r="L743" s="218">
        <v>48</v>
      </c>
      <c r="M743" s="218">
        <v>3000</v>
      </c>
      <c r="N743" s="218">
        <v>39</v>
      </c>
      <c r="O743" s="218">
        <v>3700</v>
      </c>
      <c r="P743" s="112"/>
      <c r="Q743">
        <f t="shared" si="22"/>
        <v>2016</v>
      </c>
      <c r="R743">
        <f t="shared" si="23"/>
        <v>5</v>
      </c>
      <c r="S743" s="112"/>
      <c r="T743" s="102"/>
    </row>
    <row r="744" spans="1:20">
      <c r="A744" s="117">
        <v>19</v>
      </c>
      <c r="B744" s="102" t="s">
        <v>260</v>
      </c>
      <c r="C744" s="206">
        <v>42536</v>
      </c>
      <c r="D744" s="102">
        <v>14.3</v>
      </c>
      <c r="E744" s="102">
        <v>7.9</v>
      </c>
      <c r="F744" s="218">
        <v>79</v>
      </c>
      <c r="G744" s="102">
        <v>8</v>
      </c>
      <c r="H744" s="218">
        <v>1.2</v>
      </c>
      <c r="I744" s="102"/>
      <c r="J744" s="102">
        <v>2</v>
      </c>
      <c r="K744" s="218">
        <v>96</v>
      </c>
      <c r="L744" s="218">
        <v>130</v>
      </c>
      <c r="M744" s="218">
        <v>3400</v>
      </c>
      <c r="N744" s="218">
        <v>77</v>
      </c>
      <c r="O744" s="218">
        <v>3900</v>
      </c>
      <c r="P744" s="112"/>
      <c r="Q744">
        <f t="shared" si="22"/>
        <v>2016</v>
      </c>
      <c r="R744">
        <f t="shared" si="23"/>
        <v>6</v>
      </c>
      <c r="S744" s="112"/>
      <c r="T744" s="102"/>
    </row>
    <row r="745" spans="1:20">
      <c r="A745" s="117">
        <v>19</v>
      </c>
      <c r="B745" s="102" t="s">
        <v>260</v>
      </c>
      <c r="C745" s="206">
        <v>42563</v>
      </c>
      <c r="D745" s="102">
        <v>17.399999999999999</v>
      </c>
      <c r="E745" s="102">
        <v>7.4</v>
      </c>
      <c r="F745" s="218">
        <v>79</v>
      </c>
      <c r="G745" s="102">
        <v>7.8</v>
      </c>
      <c r="H745" s="218">
        <v>13</v>
      </c>
      <c r="I745" s="102"/>
      <c r="J745" s="102">
        <v>2.2999999999999998</v>
      </c>
      <c r="K745" s="218">
        <v>100</v>
      </c>
      <c r="L745" s="218">
        <v>180</v>
      </c>
      <c r="M745" s="218">
        <v>5100</v>
      </c>
      <c r="N745" s="218">
        <v>31</v>
      </c>
      <c r="O745" s="218">
        <v>5500</v>
      </c>
      <c r="P745" s="112"/>
      <c r="Q745">
        <f t="shared" si="22"/>
        <v>2016</v>
      </c>
      <c r="R745">
        <f t="shared" si="23"/>
        <v>7</v>
      </c>
      <c r="S745" s="112"/>
      <c r="T745" s="102"/>
    </row>
    <row r="746" spans="1:20">
      <c r="A746" s="117">
        <v>19</v>
      </c>
      <c r="B746" s="102" t="s">
        <v>260</v>
      </c>
      <c r="C746" s="206">
        <v>42592</v>
      </c>
      <c r="D746" s="102">
        <v>14.2</v>
      </c>
      <c r="E746" s="102">
        <v>8.6</v>
      </c>
      <c r="F746" s="218">
        <v>84</v>
      </c>
      <c r="G746" s="102">
        <v>8</v>
      </c>
      <c r="H746" s="218">
        <v>0.99</v>
      </c>
      <c r="I746" s="102"/>
      <c r="J746" s="102">
        <v>1.1000000000000001</v>
      </c>
      <c r="K746" s="218">
        <v>56</v>
      </c>
      <c r="L746" s="218">
        <v>82</v>
      </c>
      <c r="M746" s="218">
        <v>2700</v>
      </c>
      <c r="N746" s="218">
        <v>74</v>
      </c>
      <c r="O746" s="218">
        <v>2900</v>
      </c>
      <c r="P746" s="112"/>
      <c r="Q746">
        <f t="shared" si="22"/>
        <v>2016</v>
      </c>
      <c r="R746">
        <f t="shared" si="23"/>
        <v>8</v>
      </c>
      <c r="S746" s="112"/>
      <c r="T746" s="102"/>
    </row>
    <row r="747" spans="1:20">
      <c r="A747" s="117">
        <v>19</v>
      </c>
      <c r="B747" s="102" t="s">
        <v>260</v>
      </c>
      <c r="C747" s="206">
        <v>42625</v>
      </c>
      <c r="D747" s="102">
        <v>15.7</v>
      </c>
      <c r="E747" s="102">
        <v>7.2</v>
      </c>
      <c r="F747" s="218">
        <v>72</v>
      </c>
      <c r="G747" s="102">
        <v>8</v>
      </c>
      <c r="H747" s="218">
        <v>0.97</v>
      </c>
      <c r="I747" s="102"/>
      <c r="J747" s="102">
        <v>0.89</v>
      </c>
      <c r="K747" s="218">
        <v>43</v>
      </c>
      <c r="L747" s="218">
        <v>100</v>
      </c>
      <c r="M747" s="218">
        <v>1400</v>
      </c>
      <c r="N747" s="218">
        <v>26</v>
      </c>
      <c r="O747" s="218">
        <v>1700</v>
      </c>
      <c r="P747" s="112"/>
      <c r="Q747">
        <f t="shared" si="22"/>
        <v>2016</v>
      </c>
      <c r="R747">
        <f t="shared" si="23"/>
        <v>9</v>
      </c>
      <c r="S747" s="112"/>
      <c r="T747" s="102"/>
    </row>
    <row r="748" spans="1:20">
      <c r="A748" s="117">
        <v>19</v>
      </c>
      <c r="B748" s="102" t="s">
        <v>260</v>
      </c>
      <c r="C748" s="206">
        <v>42661</v>
      </c>
      <c r="D748" s="102">
        <v>9</v>
      </c>
      <c r="E748" s="102">
        <v>8.9</v>
      </c>
      <c r="F748" s="218">
        <v>77</v>
      </c>
      <c r="G748" s="102">
        <v>7.9</v>
      </c>
      <c r="H748" s="218">
        <v>1.2</v>
      </c>
      <c r="I748" s="102"/>
      <c r="J748" s="102">
        <v>1.9</v>
      </c>
      <c r="K748" s="218">
        <v>50</v>
      </c>
      <c r="L748" s="218">
        <v>89</v>
      </c>
      <c r="M748" s="218">
        <v>2000</v>
      </c>
      <c r="N748" s="218">
        <v>620</v>
      </c>
      <c r="O748" s="218">
        <v>2900</v>
      </c>
      <c r="P748" s="112"/>
      <c r="Q748">
        <f t="shared" si="22"/>
        <v>2016</v>
      </c>
      <c r="R748">
        <f t="shared" si="23"/>
        <v>10</v>
      </c>
      <c r="S748" s="112"/>
      <c r="T748" s="102"/>
    </row>
    <row r="749" spans="1:20">
      <c r="A749" s="117">
        <v>19</v>
      </c>
      <c r="B749" s="102" t="s">
        <v>260</v>
      </c>
      <c r="C749" s="206">
        <v>42690</v>
      </c>
      <c r="D749" s="102">
        <v>4.7</v>
      </c>
      <c r="E749" s="102">
        <v>11.3</v>
      </c>
      <c r="F749" s="218">
        <v>88</v>
      </c>
      <c r="G749" s="102">
        <v>7.8</v>
      </c>
      <c r="H749" s="218">
        <v>28</v>
      </c>
      <c r="I749" s="102"/>
      <c r="J749" s="102">
        <v>3.2</v>
      </c>
      <c r="K749" s="218">
        <v>61</v>
      </c>
      <c r="L749" s="218">
        <v>160</v>
      </c>
      <c r="M749" s="218">
        <v>11000</v>
      </c>
      <c r="N749" s="218">
        <v>60</v>
      </c>
      <c r="O749" s="218">
        <v>12000</v>
      </c>
      <c r="P749" s="112"/>
      <c r="Q749">
        <f t="shared" si="22"/>
        <v>2016</v>
      </c>
      <c r="R749">
        <f t="shared" si="23"/>
        <v>11</v>
      </c>
      <c r="S749" s="112"/>
      <c r="T749" s="102"/>
    </row>
    <row r="750" spans="1:20">
      <c r="A750" s="117">
        <v>19</v>
      </c>
      <c r="B750" s="102" t="s">
        <v>260</v>
      </c>
      <c r="C750" s="206">
        <v>42724</v>
      </c>
      <c r="D750" s="102">
        <v>4.2</v>
      </c>
      <c r="E750" s="102">
        <v>12.5</v>
      </c>
      <c r="F750" s="218">
        <v>94</v>
      </c>
      <c r="G750" s="102">
        <v>8.1999999999999993</v>
      </c>
      <c r="H750" s="218">
        <v>2.5</v>
      </c>
      <c r="I750" s="102"/>
      <c r="J750" s="102">
        <v>1.8</v>
      </c>
      <c r="K750" s="218">
        <v>39</v>
      </c>
      <c r="L750" s="218">
        <v>50</v>
      </c>
      <c r="M750" s="218">
        <v>8200</v>
      </c>
      <c r="N750" s="218">
        <v>160</v>
      </c>
      <c r="O750" s="218">
        <v>8300</v>
      </c>
      <c r="P750" s="112"/>
      <c r="Q750">
        <f t="shared" si="22"/>
        <v>2016</v>
      </c>
      <c r="R750">
        <f t="shared" si="23"/>
        <v>12</v>
      </c>
      <c r="S750" s="112"/>
      <c r="T750" s="102"/>
    </row>
    <row r="751" spans="1:20">
      <c r="A751" s="117">
        <v>19</v>
      </c>
      <c r="B751" s="102" t="s">
        <v>260</v>
      </c>
      <c r="C751" s="206">
        <v>42752</v>
      </c>
      <c r="D751" s="102">
        <v>-0.3</v>
      </c>
      <c r="E751" s="102">
        <v>15.1</v>
      </c>
      <c r="F751" s="218">
        <v>100</v>
      </c>
      <c r="G751" s="102">
        <v>8</v>
      </c>
      <c r="H751" s="218">
        <v>4.0999999999999996</v>
      </c>
      <c r="I751" s="102"/>
      <c r="J751" s="102">
        <v>2.2000000000000002</v>
      </c>
      <c r="K751" s="218">
        <v>35</v>
      </c>
      <c r="L751" s="218">
        <v>63</v>
      </c>
      <c r="M751" s="218">
        <v>6300</v>
      </c>
      <c r="N751" s="218">
        <v>260</v>
      </c>
      <c r="O751" s="218">
        <v>6300</v>
      </c>
      <c r="P751" s="112"/>
      <c r="Q751">
        <f t="shared" si="22"/>
        <v>2017</v>
      </c>
      <c r="R751">
        <f t="shared" si="23"/>
        <v>1</v>
      </c>
      <c r="S751" s="112"/>
      <c r="T751" s="102"/>
    </row>
    <row r="752" spans="1:20">
      <c r="A752" s="117">
        <v>19</v>
      </c>
      <c r="B752" s="102" t="s">
        <v>260</v>
      </c>
      <c r="C752" s="206">
        <v>42773</v>
      </c>
      <c r="D752" s="102">
        <v>0.9</v>
      </c>
      <c r="E752" s="102">
        <v>13.7</v>
      </c>
      <c r="F752" s="218">
        <v>95</v>
      </c>
      <c r="G752" s="102">
        <v>8.1999999999999993</v>
      </c>
      <c r="H752" s="218">
        <v>3</v>
      </c>
      <c r="I752" s="102"/>
      <c r="J752" s="102">
        <v>1.7</v>
      </c>
      <c r="K752" s="218">
        <v>28</v>
      </c>
      <c r="L752" s="218">
        <v>50</v>
      </c>
      <c r="M752" s="218">
        <v>8000</v>
      </c>
      <c r="N752" s="218">
        <v>77</v>
      </c>
      <c r="O752" s="218">
        <v>8000</v>
      </c>
      <c r="P752" s="112"/>
      <c r="Q752">
        <f t="shared" si="22"/>
        <v>2017</v>
      </c>
      <c r="R752">
        <f t="shared" si="23"/>
        <v>2</v>
      </c>
      <c r="S752" s="112"/>
      <c r="T752" s="102"/>
    </row>
    <row r="753" spans="1:20">
      <c r="A753" s="117">
        <v>19</v>
      </c>
      <c r="B753" s="102" t="s">
        <v>260</v>
      </c>
      <c r="C753" s="206">
        <v>42808</v>
      </c>
      <c r="D753" s="102">
        <v>3.4</v>
      </c>
      <c r="E753" s="102">
        <v>12.7</v>
      </c>
      <c r="F753" s="218">
        <v>95</v>
      </c>
      <c r="G753" s="102">
        <v>8.1</v>
      </c>
      <c r="H753" s="218">
        <v>2.5</v>
      </c>
      <c r="I753" s="102"/>
      <c r="J753" s="102">
        <v>2.5</v>
      </c>
      <c r="K753" s="218">
        <v>19</v>
      </c>
      <c r="L753" s="218">
        <v>39</v>
      </c>
      <c r="M753" s="218">
        <v>7700</v>
      </c>
      <c r="N753" s="218">
        <v>290</v>
      </c>
      <c r="O753" s="218">
        <v>8200</v>
      </c>
      <c r="P753" s="112"/>
      <c r="Q753">
        <f t="shared" si="22"/>
        <v>2017</v>
      </c>
      <c r="R753">
        <f t="shared" si="23"/>
        <v>3</v>
      </c>
      <c r="S753" s="112"/>
      <c r="T753" s="102"/>
    </row>
    <row r="754" spans="1:20">
      <c r="A754" s="117">
        <v>19</v>
      </c>
      <c r="B754" s="102" t="s">
        <v>260</v>
      </c>
      <c r="C754" s="206">
        <v>42837</v>
      </c>
      <c r="D754" s="102">
        <v>8.1999999999999993</v>
      </c>
      <c r="E754" s="102">
        <v>9.3000000000000007</v>
      </c>
      <c r="F754" s="218">
        <v>80</v>
      </c>
      <c r="G754" s="102">
        <v>8</v>
      </c>
      <c r="H754" s="218">
        <v>1.4</v>
      </c>
      <c r="I754" s="102"/>
      <c r="J754" s="102">
        <v>1.4</v>
      </c>
      <c r="K754" s="218">
        <v>10</v>
      </c>
      <c r="L754" s="218">
        <v>29</v>
      </c>
      <c r="M754" s="218">
        <v>5000</v>
      </c>
      <c r="N754" s="218">
        <v>21</v>
      </c>
      <c r="O754" s="218">
        <v>5400</v>
      </c>
      <c r="P754" s="112"/>
      <c r="Q754">
        <f t="shared" si="22"/>
        <v>2017</v>
      </c>
      <c r="R754">
        <f t="shared" si="23"/>
        <v>4</v>
      </c>
      <c r="S754" s="112"/>
      <c r="T754" s="102"/>
    </row>
    <row r="755" spans="1:20">
      <c r="A755" s="117">
        <v>19</v>
      </c>
      <c r="B755" s="102" t="s">
        <v>260</v>
      </c>
      <c r="C755" s="206">
        <v>42871</v>
      </c>
      <c r="D755" s="102">
        <v>13.2</v>
      </c>
      <c r="E755" s="102">
        <v>9.1999999999999993</v>
      </c>
      <c r="F755" s="218">
        <v>87</v>
      </c>
      <c r="G755" s="102">
        <v>8.1999999999999993</v>
      </c>
      <c r="H755" s="218">
        <v>1</v>
      </c>
      <c r="I755" s="102"/>
      <c r="J755" s="102">
        <v>2.5</v>
      </c>
      <c r="K755" s="218">
        <v>23</v>
      </c>
      <c r="L755" s="218">
        <v>51</v>
      </c>
      <c r="M755" s="218">
        <v>2400</v>
      </c>
      <c r="N755" s="218">
        <v>34</v>
      </c>
      <c r="O755" s="218">
        <v>2700</v>
      </c>
      <c r="P755" s="112"/>
      <c r="Q755">
        <f t="shared" si="22"/>
        <v>2017</v>
      </c>
      <c r="R755">
        <f t="shared" si="23"/>
        <v>5</v>
      </c>
      <c r="S755" s="112"/>
      <c r="T755" s="102"/>
    </row>
    <row r="756" spans="1:20">
      <c r="A756" s="117">
        <v>19</v>
      </c>
      <c r="B756" s="102" t="s">
        <v>260</v>
      </c>
      <c r="C756" s="206">
        <v>42901</v>
      </c>
      <c r="D756" s="102">
        <v>15.3</v>
      </c>
      <c r="E756" s="102">
        <v>7.7</v>
      </c>
      <c r="F756" s="218">
        <v>77</v>
      </c>
      <c r="G756" s="102">
        <v>8</v>
      </c>
      <c r="H756" s="218">
        <v>2</v>
      </c>
      <c r="I756" s="102"/>
      <c r="J756" s="102">
        <v>1.84</v>
      </c>
      <c r="K756" s="218">
        <v>95</v>
      </c>
      <c r="L756" s="218">
        <v>120</v>
      </c>
      <c r="M756" s="218">
        <v>2200</v>
      </c>
      <c r="N756" s="218">
        <v>64</v>
      </c>
      <c r="O756" s="218">
        <v>2800</v>
      </c>
      <c r="P756" s="112"/>
      <c r="Q756">
        <f t="shared" si="22"/>
        <v>2017</v>
      </c>
      <c r="R756">
        <f t="shared" si="23"/>
        <v>6</v>
      </c>
      <c r="S756" s="112"/>
      <c r="T756" s="102"/>
    </row>
    <row r="757" spans="1:20">
      <c r="A757" s="117">
        <v>19</v>
      </c>
      <c r="B757" s="102" t="s">
        <v>260</v>
      </c>
      <c r="C757" s="124">
        <v>42927</v>
      </c>
      <c r="D757" s="193">
        <v>16.100000000000001</v>
      </c>
      <c r="E757" s="193">
        <v>7.8</v>
      </c>
      <c r="F757" s="204">
        <v>80</v>
      </c>
      <c r="G757" s="193">
        <v>8</v>
      </c>
      <c r="H757" s="193">
        <v>2.9</v>
      </c>
      <c r="I757" s="193"/>
      <c r="J757" s="193">
        <v>1</v>
      </c>
      <c r="K757" s="189">
        <v>66</v>
      </c>
      <c r="L757" s="189">
        <v>110</v>
      </c>
      <c r="M757" s="189">
        <v>3800</v>
      </c>
      <c r="N757" s="189">
        <v>47</v>
      </c>
      <c r="O757" s="189">
        <v>4000</v>
      </c>
      <c r="P757" s="200"/>
      <c r="Q757">
        <f t="shared" si="22"/>
        <v>2017</v>
      </c>
      <c r="R757">
        <f t="shared" si="23"/>
        <v>7</v>
      </c>
      <c r="T757" s="102"/>
    </row>
    <row r="758" spans="1:20">
      <c r="A758" s="117">
        <v>19</v>
      </c>
      <c r="B758" s="102" t="s">
        <v>260</v>
      </c>
      <c r="C758" s="206">
        <v>42963</v>
      </c>
      <c r="D758" s="193">
        <v>16.8</v>
      </c>
      <c r="E758" s="193">
        <v>8</v>
      </c>
      <c r="F758" s="188">
        <v>82</v>
      </c>
      <c r="G758" s="193">
        <v>8</v>
      </c>
      <c r="H758" s="193">
        <v>1.3</v>
      </c>
      <c r="I758" s="193"/>
      <c r="J758" s="193">
        <v>1.4</v>
      </c>
      <c r="K758" s="189">
        <v>33</v>
      </c>
      <c r="L758" s="189">
        <v>95</v>
      </c>
      <c r="M758" s="189">
        <v>2100</v>
      </c>
      <c r="N758" s="189">
        <v>21</v>
      </c>
      <c r="O758" s="189">
        <v>2700</v>
      </c>
      <c r="P758" s="200"/>
      <c r="Q758">
        <f t="shared" si="22"/>
        <v>2017</v>
      </c>
      <c r="R758">
        <f t="shared" si="23"/>
        <v>8</v>
      </c>
      <c r="T758" s="102"/>
    </row>
    <row r="759" spans="1:20">
      <c r="A759" s="117">
        <v>19</v>
      </c>
      <c r="B759" s="102" t="s">
        <v>260</v>
      </c>
      <c r="C759" s="125">
        <v>42990</v>
      </c>
      <c r="D759" s="193">
        <v>13.9</v>
      </c>
      <c r="E759" s="193">
        <v>8.6</v>
      </c>
      <c r="F759" s="204">
        <v>83</v>
      </c>
      <c r="G759" s="193">
        <v>8</v>
      </c>
      <c r="H759" s="193">
        <v>4.8</v>
      </c>
      <c r="I759" s="193"/>
      <c r="J759" s="193">
        <v>1.4</v>
      </c>
      <c r="K759" s="189">
        <v>64</v>
      </c>
      <c r="L759" s="189">
        <v>96</v>
      </c>
      <c r="M759" s="189">
        <v>7400</v>
      </c>
      <c r="N759" s="189">
        <v>34</v>
      </c>
      <c r="O759" s="189">
        <v>7000</v>
      </c>
      <c r="P759" s="200"/>
      <c r="Q759">
        <f t="shared" si="22"/>
        <v>2017</v>
      </c>
      <c r="R759">
        <f t="shared" si="23"/>
        <v>9</v>
      </c>
      <c r="T759" s="102"/>
    </row>
    <row r="760" spans="1:20">
      <c r="A760" s="117">
        <v>19</v>
      </c>
      <c r="B760" s="102" t="s">
        <v>260</v>
      </c>
      <c r="C760" s="125">
        <v>43027</v>
      </c>
      <c r="D760" s="193">
        <v>11.6</v>
      </c>
      <c r="E760" s="193">
        <v>9.5</v>
      </c>
      <c r="F760" s="204">
        <v>87</v>
      </c>
      <c r="G760" s="193">
        <v>8.1</v>
      </c>
      <c r="H760" s="193">
        <v>3.3</v>
      </c>
      <c r="I760" s="193"/>
      <c r="J760" s="193">
        <v>1.1000000000000001</v>
      </c>
      <c r="K760" s="189">
        <v>41</v>
      </c>
      <c r="L760" s="189">
        <v>64</v>
      </c>
      <c r="M760" s="189">
        <v>6800</v>
      </c>
      <c r="N760" s="189">
        <v>17</v>
      </c>
      <c r="O760" s="189">
        <v>6800</v>
      </c>
      <c r="P760" s="200"/>
      <c r="Q760">
        <f t="shared" si="22"/>
        <v>2017</v>
      </c>
      <c r="R760">
        <f t="shared" si="23"/>
        <v>10</v>
      </c>
      <c r="T760" s="102"/>
    </row>
    <row r="761" spans="1:20">
      <c r="A761" s="117">
        <v>19</v>
      </c>
      <c r="B761" s="102" t="s">
        <v>260</v>
      </c>
      <c r="C761" s="125">
        <v>43053</v>
      </c>
      <c r="D761" s="193">
        <v>4.3</v>
      </c>
      <c r="E761" s="193">
        <v>12.2</v>
      </c>
      <c r="F761" s="204">
        <v>94</v>
      </c>
      <c r="G761" s="193">
        <v>8.1</v>
      </c>
      <c r="H761" s="193">
        <v>4.2</v>
      </c>
      <c r="I761" s="193"/>
      <c r="J761" s="193">
        <v>1.7</v>
      </c>
      <c r="K761" s="189">
        <v>47</v>
      </c>
      <c r="L761" s="189">
        <v>65</v>
      </c>
      <c r="M761" s="189">
        <v>7100</v>
      </c>
      <c r="N761" s="189">
        <v>44</v>
      </c>
      <c r="O761" s="189">
        <v>7100</v>
      </c>
      <c r="P761" s="200"/>
      <c r="Q761">
        <f t="shared" si="22"/>
        <v>2017</v>
      </c>
      <c r="R761">
        <f t="shared" si="23"/>
        <v>11</v>
      </c>
      <c r="T761" s="102"/>
    </row>
    <row r="762" spans="1:20">
      <c r="A762" s="117">
        <v>19</v>
      </c>
      <c r="B762" s="102" t="s">
        <v>260</v>
      </c>
      <c r="C762" s="213">
        <v>43081</v>
      </c>
      <c r="D762" s="193">
        <v>3.4</v>
      </c>
      <c r="E762" s="193">
        <v>12.2</v>
      </c>
      <c r="F762" s="204">
        <v>94</v>
      </c>
      <c r="G762" s="193">
        <v>8</v>
      </c>
      <c r="H762" s="193">
        <v>14</v>
      </c>
      <c r="I762" s="193"/>
      <c r="J762" s="193">
        <v>1.9</v>
      </c>
      <c r="K762" s="189">
        <v>47</v>
      </c>
      <c r="L762" s="189">
        <v>76</v>
      </c>
      <c r="M762" s="189">
        <v>6300</v>
      </c>
      <c r="N762" s="189">
        <v>160</v>
      </c>
      <c r="O762" s="189">
        <v>6400</v>
      </c>
      <c r="P762" s="200"/>
      <c r="Q762">
        <f t="shared" si="22"/>
        <v>2017</v>
      </c>
      <c r="R762">
        <f t="shared" si="23"/>
        <v>12</v>
      </c>
      <c r="T762" s="102"/>
    </row>
    <row r="763" spans="1:20">
      <c r="A763" s="117">
        <v>19</v>
      </c>
      <c r="B763" s="102" t="s">
        <v>260</v>
      </c>
      <c r="C763" s="206">
        <v>43117</v>
      </c>
      <c r="D763" s="102">
        <v>3.4</v>
      </c>
      <c r="E763" s="102">
        <v>12.6</v>
      </c>
      <c r="F763" s="218">
        <v>95</v>
      </c>
      <c r="G763" s="102">
        <v>7.94</v>
      </c>
      <c r="H763" s="218">
        <v>12</v>
      </c>
      <c r="I763" s="102"/>
      <c r="J763" s="102">
        <v>3.1</v>
      </c>
      <c r="K763" s="218">
        <v>41</v>
      </c>
      <c r="L763" s="218">
        <v>81</v>
      </c>
      <c r="M763" s="218">
        <v>5600</v>
      </c>
      <c r="N763" s="218">
        <v>160</v>
      </c>
      <c r="O763" s="218">
        <v>5800</v>
      </c>
      <c r="P763" s="112"/>
      <c r="Q763">
        <f t="shared" si="22"/>
        <v>2018</v>
      </c>
      <c r="R763">
        <f t="shared" si="23"/>
        <v>1</v>
      </c>
      <c r="S763" s="112"/>
      <c r="T763" s="102"/>
    </row>
    <row r="764" spans="1:20">
      <c r="A764" s="117">
        <v>19</v>
      </c>
      <c r="B764" s="102" t="s">
        <v>260</v>
      </c>
      <c r="C764" s="206">
        <v>43151</v>
      </c>
      <c r="D764" s="102">
        <v>3.1</v>
      </c>
      <c r="E764" s="102">
        <v>12.3</v>
      </c>
      <c r="F764" s="218">
        <v>92</v>
      </c>
      <c r="G764" s="102">
        <v>8.01</v>
      </c>
      <c r="H764" s="218">
        <v>8.3000000000000007</v>
      </c>
      <c r="I764" s="102"/>
      <c r="J764" s="102">
        <v>2.8</v>
      </c>
      <c r="K764" s="218">
        <v>35</v>
      </c>
      <c r="L764" s="218">
        <v>61</v>
      </c>
      <c r="M764" s="218">
        <v>6300</v>
      </c>
      <c r="N764" s="218">
        <v>96</v>
      </c>
      <c r="O764" s="218">
        <v>6100</v>
      </c>
      <c r="P764" s="112"/>
      <c r="Q764">
        <f t="shared" si="22"/>
        <v>2018</v>
      </c>
      <c r="R764">
        <f t="shared" si="23"/>
        <v>2</v>
      </c>
      <c r="S764" s="112"/>
      <c r="T764" s="102"/>
    </row>
    <row r="765" spans="1:20">
      <c r="A765" s="117">
        <v>19</v>
      </c>
      <c r="B765" s="102" t="s">
        <v>260</v>
      </c>
      <c r="C765" s="206">
        <v>43172</v>
      </c>
      <c r="D765" s="102">
        <v>2.9</v>
      </c>
      <c r="E765" s="102">
        <v>12.6</v>
      </c>
      <c r="F765" s="218">
        <v>93</v>
      </c>
      <c r="G765" s="102">
        <v>7.72</v>
      </c>
      <c r="H765" s="218">
        <v>77</v>
      </c>
      <c r="I765" s="102"/>
      <c r="J765" s="102">
        <v>7.2</v>
      </c>
      <c r="K765" s="218">
        <v>59</v>
      </c>
      <c r="L765" s="218">
        <v>270</v>
      </c>
      <c r="M765" s="218">
        <v>4600</v>
      </c>
      <c r="N765" s="218">
        <v>190</v>
      </c>
      <c r="O765" s="218">
        <v>5300</v>
      </c>
      <c r="P765" s="112"/>
      <c r="Q765">
        <f t="shared" si="22"/>
        <v>2018</v>
      </c>
      <c r="R765">
        <f t="shared" si="23"/>
        <v>3</v>
      </c>
      <c r="S765" s="112"/>
      <c r="T765" s="102"/>
    </row>
    <row r="766" spans="1:20">
      <c r="A766" s="117">
        <v>19</v>
      </c>
      <c r="B766" s="102" t="s">
        <v>260</v>
      </c>
      <c r="C766" s="206">
        <v>43200</v>
      </c>
      <c r="D766" s="102">
        <v>9.6999999999999993</v>
      </c>
      <c r="E766" s="102">
        <v>13.9</v>
      </c>
      <c r="F766" s="218">
        <v>123</v>
      </c>
      <c r="G766" s="102">
        <v>8.2899999999999991</v>
      </c>
      <c r="H766" s="218">
        <v>3</v>
      </c>
      <c r="I766" s="102"/>
      <c r="J766" s="102">
        <v>1.5</v>
      </c>
      <c r="K766" s="218">
        <v>9.6999999999999993</v>
      </c>
      <c r="L766" s="218">
        <v>38</v>
      </c>
      <c r="M766" s="218">
        <v>4500</v>
      </c>
      <c r="N766" s="218" t="s">
        <v>148</v>
      </c>
      <c r="O766" s="218">
        <v>4500</v>
      </c>
      <c r="P766" s="112"/>
      <c r="Q766">
        <f t="shared" si="22"/>
        <v>2018</v>
      </c>
      <c r="R766">
        <f t="shared" si="23"/>
        <v>4</v>
      </c>
      <c r="S766" s="112"/>
      <c r="T766" s="102"/>
    </row>
    <row r="767" spans="1:20">
      <c r="A767" s="117">
        <v>19</v>
      </c>
      <c r="B767" s="102" t="s">
        <v>260</v>
      </c>
      <c r="C767" s="206">
        <v>43229</v>
      </c>
      <c r="D767" s="102">
        <v>15.6</v>
      </c>
      <c r="E767" s="102">
        <v>7.4</v>
      </c>
      <c r="F767" s="218">
        <v>75</v>
      </c>
      <c r="G767" s="102">
        <v>8.01</v>
      </c>
      <c r="H767" s="218">
        <v>2.1</v>
      </c>
      <c r="I767" s="102"/>
      <c r="J767" s="102">
        <v>3.4</v>
      </c>
      <c r="K767" s="218">
        <v>17</v>
      </c>
      <c r="L767" s="218">
        <v>69</v>
      </c>
      <c r="M767" s="218">
        <v>2200</v>
      </c>
      <c r="N767" s="218">
        <v>44</v>
      </c>
      <c r="O767" s="218">
        <v>2900</v>
      </c>
      <c r="P767" s="112"/>
      <c r="Q767">
        <f t="shared" si="22"/>
        <v>2018</v>
      </c>
      <c r="R767">
        <f t="shared" si="23"/>
        <v>5</v>
      </c>
      <c r="S767" s="112"/>
      <c r="T767" s="102"/>
    </row>
    <row r="768" spans="1:20">
      <c r="A768" s="117">
        <v>19</v>
      </c>
      <c r="B768" s="102" t="s">
        <v>260</v>
      </c>
      <c r="C768" s="206">
        <v>43270</v>
      </c>
      <c r="D768" s="102">
        <v>18</v>
      </c>
      <c r="E768" s="102">
        <v>8.1999999999999993</v>
      </c>
      <c r="F768" s="218">
        <v>87</v>
      </c>
      <c r="G768" s="102">
        <v>7.83</v>
      </c>
      <c r="H768" s="218">
        <v>2.2999999999999998</v>
      </c>
      <c r="I768" s="102"/>
      <c r="J768" s="102">
        <v>2.4</v>
      </c>
      <c r="K768" s="218">
        <v>69</v>
      </c>
      <c r="L768" s="218">
        <v>100</v>
      </c>
      <c r="M768" s="218">
        <v>2100</v>
      </c>
      <c r="N768" s="218">
        <v>52</v>
      </c>
      <c r="O768" s="218">
        <v>2900</v>
      </c>
      <c r="P768" s="112"/>
      <c r="Q768">
        <f t="shared" si="22"/>
        <v>2018</v>
      </c>
      <c r="R768">
        <f t="shared" si="23"/>
        <v>6</v>
      </c>
      <c r="S768" s="112"/>
      <c r="T768" s="102"/>
    </row>
    <row r="769" spans="1:20">
      <c r="A769" s="117">
        <v>19</v>
      </c>
      <c r="B769" s="102" t="s">
        <v>260</v>
      </c>
      <c r="C769" s="206">
        <v>43297</v>
      </c>
      <c r="D769" s="102">
        <v>19.7</v>
      </c>
      <c r="E769" s="102">
        <v>7</v>
      </c>
      <c r="F769" s="218">
        <v>76</v>
      </c>
      <c r="G769" s="102">
        <v>7.88</v>
      </c>
      <c r="H769" s="218">
        <v>2.1</v>
      </c>
      <c r="I769" s="102"/>
      <c r="J769" s="102">
        <v>2.2999999999999998</v>
      </c>
      <c r="K769" s="218">
        <v>73</v>
      </c>
      <c r="L769" s="218">
        <v>100</v>
      </c>
      <c r="M769" s="218">
        <v>860</v>
      </c>
      <c r="N769" s="218">
        <v>62</v>
      </c>
      <c r="O769" s="218">
        <v>1500</v>
      </c>
      <c r="P769" s="112"/>
      <c r="Q769">
        <f t="shared" si="22"/>
        <v>2018</v>
      </c>
      <c r="R769">
        <f t="shared" si="23"/>
        <v>7</v>
      </c>
      <c r="S769" s="112"/>
      <c r="T769" s="102"/>
    </row>
    <row r="770" spans="1:20">
      <c r="A770" s="117">
        <v>19</v>
      </c>
      <c r="B770" s="102" t="s">
        <v>260</v>
      </c>
      <c r="C770" s="206">
        <v>43333</v>
      </c>
      <c r="D770" s="102">
        <v>17.8</v>
      </c>
      <c r="E770" s="102">
        <v>7.5</v>
      </c>
      <c r="F770" s="218">
        <v>79</v>
      </c>
      <c r="G770" s="102">
        <v>7.8</v>
      </c>
      <c r="H770" s="218">
        <v>1.5</v>
      </c>
      <c r="I770" s="102"/>
      <c r="J770" s="102">
        <v>1.7</v>
      </c>
      <c r="K770" s="218">
        <v>69</v>
      </c>
      <c r="L770" s="218">
        <v>91</v>
      </c>
      <c r="M770" s="218">
        <v>1400</v>
      </c>
      <c r="N770" s="218">
        <v>48</v>
      </c>
      <c r="O770" s="218">
        <v>1900</v>
      </c>
      <c r="P770" s="112"/>
      <c r="Q770">
        <f t="shared" si="22"/>
        <v>2018</v>
      </c>
      <c r="R770">
        <f t="shared" si="23"/>
        <v>8</v>
      </c>
      <c r="S770" s="112"/>
      <c r="T770" s="102"/>
    </row>
    <row r="771" spans="1:20">
      <c r="A771" s="117">
        <v>19</v>
      </c>
      <c r="B771" s="102" t="s">
        <v>260</v>
      </c>
      <c r="C771" s="206">
        <v>43361</v>
      </c>
      <c r="D771" s="102">
        <v>15.6</v>
      </c>
      <c r="E771" s="102">
        <v>7.9</v>
      </c>
      <c r="F771" s="218">
        <v>80</v>
      </c>
      <c r="G771" s="102">
        <v>7.8</v>
      </c>
      <c r="H771" s="218">
        <v>1.5</v>
      </c>
      <c r="I771" s="102"/>
      <c r="J771" s="102">
        <v>1.5</v>
      </c>
      <c r="K771" s="218">
        <v>43</v>
      </c>
      <c r="L771" s="218">
        <v>73</v>
      </c>
      <c r="M771" s="218">
        <v>1900</v>
      </c>
      <c r="N771" s="218">
        <v>29</v>
      </c>
      <c r="O771" s="218">
        <v>2300</v>
      </c>
      <c r="P771" s="112"/>
      <c r="Q771">
        <f t="shared" si="22"/>
        <v>2018</v>
      </c>
      <c r="R771">
        <f t="shared" si="23"/>
        <v>9</v>
      </c>
      <c r="S771" s="112"/>
      <c r="T771" s="102"/>
    </row>
    <row r="772" spans="1:20">
      <c r="A772" s="117">
        <v>19</v>
      </c>
      <c r="B772" s="102" t="s">
        <v>260</v>
      </c>
      <c r="C772" s="206">
        <v>43389</v>
      </c>
      <c r="D772" s="102">
        <v>12.8</v>
      </c>
      <c r="E772" s="102">
        <v>9.3000000000000007</v>
      </c>
      <c r="F772" s="218">
        <v>88</v>
      </c>
      <c r="G772" s="102">
        <v>7.74</v>
      </c>
      <c r="H772" s="218">
        <v>1.1000000000000001</v>
      </c>
      <c r="I772" s="102"/>
      <c r="J772" s="102">
        <v>2.1</v>
      </c>
      <c r="K772" s="218">
        <v>6.8</v>
      </c>
      <c r="L772" s="218">
        <v>62</v>
      </c>
      <c r="M772" s="218">
        <v>3400</v>
      </c>
      <c r="N772" s="218">
        <v>28</v>
      </c>
      <c r="O772" s="218">
        <v>3800</v>
      </c>
      <c r="P772" s="112"/>
      <c r="Q772">
        <f t="shared" si="22"/>
        <v>2018</v>
      </c>
      <c r="R772">
        <f t="shared" si="23"/>
        <v>10</v>
      </c>
      <c r="S772" s="112"/>
      <c r="T772" s="102"/>
    </row>
    <row r="773" spans="1:20">
      <c r="A773" s="117">
        <v>19</v>
      </c>
      <c r="B773" s="102" t="s">
        <v>260</v>
      </c>
      <c r="C773" s="206">
        <v>43424</v>
      </c>
      <c r="D773" s="102">
        <v>6.1</v>
      </c>
      <c r="E773" s="102">
        <v>10.199999999999999</v>
      </c>
      <c r="F773" s="218">
        <v>82</v>
      </c>
      <c r="G773" s="102">
        <v>7.82</v>
      </c>
      <c r="H773" s="218">
        <v>1.2</v>
      </c>
      <c r="I773" s="102"/>
      <c r="J773" s="102">
        <v>2.4</v>
      </c>
      <c r="K773" s="218">
        <v>21</v>
      </c>
      <c r="L773" s="218">
        <v>66</v>
      </c>
      <c r="M773" s="218">
        <v>3100</v>
      </c>
      <c r="N773" s="218">
        <v>47</v>
      </c>
      <c r="O773" s="218">
        <v>3500</v>
      </c>
      <c r="P773" s="112"/>
      <c r="Q773">
        <f t="shared" si="22"/>
        <v>2018</v>
      </c>
      <c r="R773">
        <f t="shared" si="23"/>
        <v>11</v>
      </c>
      <c r="S773" s="112"/>
      <c r="T773" s="102"/>
    </row>
    <row r="774" spans="1:20">
      <c r="A774" s="117">
        <v>19</v>
      </c>
      <c r="B774" s="102" t="s">
        <v>260</v>
      </c>
      <c r="C774" s="206">
        <v>43447</v>
      </c>
      <c r="D774" s="102">
        <v>3.2</v>
      </c>
      <c r="E774" s="102">
        <v>12.1</v>
      </c>
      <c r="F774" s="218">
        <v>90</v>
      </c>
      <c r="G774" s="102">
        <v>7.87</v>
      </c>
      <c r="H774" s="218">
        <v>2.7</v>
      </c>
      <c r="I774" s="102"/>
      <c r="J774" s="102">
        <v>2.7</v>
      </c>
      <c r="K774" s="218">
        <v>13</v>
      </c>
      <c r="L774" s="218">
        <v>57</v>
      </c>
      <c r="M774" s="218">
        <v>14000</v>
      </c>
      <c r="N774" s="218">
        <v>130</v>
      </c>
      <c r="O774" s="218">
        <v>13000</v>
      </c>
      <c r="P774" s="112"/>
      <c r="Q774">
        <f t="shared" si="22"/>
        <v>2018</v>
      </c>
      <c r="R774">
        <f t="shared" si="23"/>
        <v>12</v>
      </c>
      <c r="S774" s="112"/>
      <c r="T774" s="102"/>
    </row>
    <row r="775" spans="1:20">
      <c r="A775" s="117">
        <v>19</v>
      </c>
      <c r="B775" s="102" t="s">
        <v>260</v>
      </c>
      <c r="C775" s="206">
        <v>43475</v>
      </c>
      <c r="D775" s="102">
        <v>2.9</v>
      </c>
      <c r="E775" s="102">
        <v>13.1</v>
      </c>
      <c r="F775" s="218">
        <v>97</v>
      </c>
      <c r="G775" s="102">
        <v>8.11</v>
      </c>
      <c r="H775" s="218">
        <v>4.3</v>
      </c>
      <c r="I775" s="102"/>
      <c r="J775" s="102">
        <v>2.9</v>
      </c>
      <c r="K775" s="218">
        <v>33</v>
      </c>
      <c r="L775" s="218">
        <v>58</v>
      </c>
      <c r="M775" s="218">
        <v>11000</v>
      </c>
      <c r="N775" s="218">
        <v>38</v>
      </c>
      <c r="O775" s="218">
        <v>12000</v>
      </c>
      <c r="P775" s="112"/>
      <c r="Q775">
        <f t="shared" ref="Q775:Q838" si="24">YEAR(C775)</f>
        <v>2019</v>
      </c>
      <c r="R775">
        <f t="shared" ref="R775:R838" si="25">MONTH(C775)</f>
        <v>1</v>
      </c>
      <c r="S775" s="112"/>
      <c r="T775" s="102"/>
    </row>
    <row r="776" spans="1:20">
      <c r="A776" s="117">
        <v>19</v>
      </c>
      <c r="B776" s="102" t="s">
        <v>260</v>
      </c>
      <c r="C776" s="206">
        <v>43515</v>
      </c>
      <c r="D776" s="102">
        <v>7.5</v>
      </c>
      <c r="E776" s="102">
        <v>12.7</v>
      </c>
      <c r="F776" s="218">
        <v>106</v>
      </c>
      <c r="G776" s="102">
        <v>8.08</v>
      </c>
      <c r="H776" s="218">
        <v>2.1</v>
      </c>
      <c r="I776" s="102"/>
      <c r="J776" s="102">
        <v>1.4</v>
      </c>
      <c r="K776" s="218">
        <v>20</v>
      </c>
      <c r="L776" s="218">
        <v>47</v>
      </c>
      <c r="M776" s="218">
        <v>11000</v>
      </c>
      <c r="N776" s="218">
        <v>40</v>
      </c>
      <c r="O776" s="218">
        <v>11000</v>
      </c>
      <c r="P776" s="112"/>
      <c r="Q776">
        <f t="shared" si="24"/>
        <v>2019</v>
      </c>
      <c r="R776">
        <f t="shared" si="25"/>
        <v>2</v>
      </c>
      <c r="S776" s="112"/>
      <c r="T776" s="102"/>
    </row>
    <row r="777" spans="1:20">
      <c r="A777" s="117">
        <v>19</v>
      </c>
      <c r="B777" s="102" t="s">
        <v>260</v>
      </c>
      <c r="C777" s="206">
        <v>43536</v>
      </c>
      <c r="D777" s="102">
        <v>4.7</v>
      </c>
      <c r="E777" s="102">
        <v>13.8</v>
      </c>
      <c r="F777" s="218">
        <v>107</v>
      </c>
      <c r="G777" s="102">
        <v>8.0399999999999991</v>
      </c>
      <c r="H777" s="218">
        <v>6.8</v>
      </c>
      <c r="I777" s="102"/>
      <c r="J777" s="102">
        <v>3.0999999999999996</v>
      </c>
      <c r="K777" s="218">
        <v>31</v>
      </c>
      <c r="L777" s="218">
        <v>64</v>
      </c>
      <c r="M777" s="218">
        <v>10000</v>
      </c>
      <c r="N777" s="218">
        <v>24</v>
      </c>
      <c r="O777" s="218">
        <v>11000</v>
      </c>
      <c r="P777" s="112"/>
      <c r="Q777">
        <f t="shared" si="24"/>
        <v>2019</v>
      </c>
      <c r="R777">
        <f t="shared" si="25"/>
        <v>3</v>
      </c>
      <c r="S777" s="112"/>
      <c r="T777" s="102"/>
    </row>
    <row r="778" spans="1:20">
      <c r="A778" s="117">
        <v>19</v>
      </c>
      <c r="B778" s="102" t="s">
        <v>260</v>
      </c>
      <c r="C778" s="206">
        <v>43571</v>
      </c>
      <c r="D778" s="102">
        <v>6.6</v>
      </c>
      <c r="E778" s="102">
        <v>13.1</v>
      </c>
      <c r="F778" s="218">
        <v>107</v>
      </c>
      <c r="G778" s="102">
        <v>8.09</v>
      </c>
      <c r="H778" s="218">
        <v>1.2</v>
      </c>
      <c r="I778" s="102"/>
      <c r="J778" s="102">
        <v>3.0999999999999996</v>
      </c>
      <c r="K778" s="218">
        <v>5.2</v>
      </c>
      <c r="L778" s="218">
        <v>21</v>
      </c>
      <c r="M778" s="218">
        <v>5300</v>
      </c>
      <c r="N778" s="218">
        <v>22</v>
      </c>
      <c r="O778" s="218">
        <v>6000</v>
      </c>
      <c r="P778" s="112"/>
      <c r="Q778">
        <f t="shared" si="24"/>
        <v>2019</v>
      </c>
      <c r="R778">
        <f t="shared" si="25"/>
        <v>4</v>
      </c>
      <c r="S778" s="112"/>
      <c r="T778" s="102"/>
    </row>
    <row r="779" spans="1:20">
      <c r="A779" s="117">
        <v>19</v>
      </c>
      <c r="B779" s="102" t="s">
        <v>260</v>
      </c>
      <c r="C779" s="206">
        <v>43600</v>
      </c>
      <c r="D779" s="102">
        <v>11.8</v>
      </c>
      <c r="E779" s="102">
        <v>11</v>
      </c>
      <c r="F779" s="218">
        <v>102</v>
      </c>
      <c r="G779" s="102">
        <v>7.96</v>
      </c>
      <c r="H779" s="218">
        <v>1.1000000000000001</v>
      </c>
      <c r="I779" s="102"/>
      <c r="J779" s="102">
        <v>2.5000000000000009</v>
      </c>
      <c r="K779" s="218">
        <v>19</v>
      </c>
      <c r="L779" s="218">
        <v>36</v>
      </c>
      <c r="M779" s="218">
        <v>2400</v>
      </c>
      <c r="N779" s="218">
        <v>53</v>
      </c>
      <c r="O779" s="218">
        <v>3200</v>
      </c>
      <c r="P779" s="112"/>
      <c r="Q779">
        <f t="shared" si="24"/>
        <v>2019</v>
      </c>
      <c r="R779">
        <f t="shared" si="25"/>
        <v>5</v>
      </c>
      <c r="S779" s="112"/>
      <c r="T779" s="102"/>
    </row>
    <row r="780" spans="1:20">
      <c r="A780" s="117">
        <v>19</v>
      </c>
      <c r="B780" s="102" t="s">
        <v>260</v>
      </c>
      <c r="C780" s="206">
        <v>43635</v>
      </c>
      <c r="D780" s="102">
        <v>19</v>
      </c>
      <c r="E780" s="102">
        <v>7.4</v>
      </c>
      <c r="F780" s="218">
        <v>80</v>
      </c>
      <c r="G780" s="102">
        <v>7.79</v>
      </c>
      <c r="H780" s="218">
        <v>2.1</v>
      </c>
      <c r="I780" s="102"/>
      <c r="J780" s="102">
        <v>1.5999999999999996</v>
      </c>
      <c r="K780" s="218">
        <v>60</v>
      </c>
      <c r="L780" s="218">
        <v>100</v>
      </c>
      <c r="M780" s="218">
        <v>1900</v>
      </c>
      <c r="N780" s="218">
        <v>50</v>
      </c>
      <c r="O780" s="218">
        <v>2400</v>
      </c>
      <c r="P780" s="112"/>
      <c r="Q780">
        <f t="shared" si="24"/>
        <v>2019</v>
      </c>
      <c r="R780">
        <f t="shared" si="25"/>
        <v>6</v>
      </c>
      <c r="S780" s="112"/>
      <c r="T780" s="102"/>
    </row>
    <row r="781" spans="1:20">
      <c r="A781" s="117">
        <v>19</v>
      </c>
      <c r="B781" s="102" t="s">
        <v>260</v>
      </c>
      <c r="C781" s="206">
        <v>43662</v>
      </c>
      <c r="D781" s="102">
        <v>17</v>
      </c>
      <c r="E781" s="102">
        <v>6.7</v>
      </c>
      <c r="F781" s="218">
        <v>69</v>
      </c>
      <c r="G781" s="102">
        <v>7.8</v>
      </c>
      <c r="H781" s="218">
        <v>1.6</v>
      </c>
      <c r="I781" s="102"/>
      <c r="J781" s="102">
        <v>1.7</v>
      </c>
      <c r="K781" s="218">
        <v>77</v>
      </c>
      <c r="L781" s="218">
        <v>110</v>
      </c>
      <c r="M781" s="218">
        <v>1100</v>
      </c>
      <c r="N781" s="218">
        <v>53</v>
      </c>
      <c r="O781" s="218">
        <v>1500</v>
      </c>
      <c r="P781" s="112"/>
      <c r="Q781">
        <f t="shared" si="24"/>
        <v>2019</v>
      </c>
      <c r="R781">
        <f t="shared" si="25"/>
        <v>7</v>
      </c>
      <c r="S781" s="112"/>
      <c r="T781" s="102"/>
    </row>
    <row r="782" spans="1:20">
      <c r="A782" s="117">
        <v>19</v>
      </c>
      <c r="B782" s="102" t="s">
        <v>260</v>
      </c>
      <c r="C782" s="206">
        <v>43698</v>
      </c>
      <c r="D782" s="102">
        <v>16.5</v>
      </c>
      <c r="E782" s="102">
        <v>8</v>
      </c>
      <c r="F782" s="218">
        <v>82</v>
      </c>
      <c r="G782" s="102">
        <v>7.78</v>
      </c>
      <c r="H782" s="218">
        <v>1.8</v>
      </c>
      <c r="I782" s="102"/>
      <c r="J782" s="102">
        <v>4.3999999999999995</v>
      </c>
      <c r="K782" s="218">
        <v>58</v>
      </c>
      <c r="L782" s="218">
        <v>86</v>
      </c>
      <c r="M782" s="218">
        <v>1900</v>
      </c>
      <c r="N782" s="218">
        <v>38</v>
      </c>
      <c r="O782" s="218">
        <v>2400</v>
      </c>
      <c r="P782" s="112"/>
      <c r="Q782">
        <f t="shared" si="24"/>
        <v>2019</v>
      </c>
      <c r="R782">
        <f t="shared" si="25"/>
        <v>8</v>
      </c>
      <c r="S782" s="112"/>
      <c r="T782" s="102"/>
    </row>
    <row r="783" spans="1:20">
      <c r="A783" s="117">
        <v>19</v>
      </c>
      <c r="B783" s="102" t="s">
        <v>260</v>
      </c>
      <c r="C783" s="206">
        <v>43725</v>
      </c>
      <c r="D783" s="102">
        <v>12.9</v>
      </c>
      <c r="E783" s="102">
        <v>8.4</v>
      </c>
      <c r="F783" s="218">
        <v>80</v>
      </c>
      <c r="G783" s="102">
        <v>7.81</v>
      </c>
      <c r="H783" s="218">
        <v>1.5</v>
      </c>
      <c r="I783" s="102"/>
      <c r="J783" s="102">
        <v>1.93</v>
      </c>
      <c r="K783" s="218">
        <v>53</v>
      </c>
      <c r="L783" s="218">
        <v>78</v>
      </c>
      <c r="M783" s="218">
        <v>4800</v>
      </c>
      <c r="N783" s="218">
        <v>210</v>
      </c>
      <c r="O783" s="218">
        <v>5300</v>
      </c>
      <c r="P783" s="112"/>
      <c r="Q783">
        <f t="shared" si="24"/>
        <v>2019</v>
      </c>
      <c r="R783">
        <f t="shared" si="25"/>
        <v>9</v>
      </c>
      <c r="S783" s="112"/>
      <c r="T783" s="102"/>
    </row>
    <row r="784" spans="1:20">
      <c r="A784" s="117">
        <v>19</v>
      </c>
      <c r="B784" s="102" t="s">
        <v>260</v>
      </c>
      <c r="C784" s="206">
        <v>43748</v>
      </c>
      <c r="D784" s="102">
        <v>11.6</v>
      </c>
      <c r="E784" s="102">
        <v>7.9</v>
      </c>
      <c r="F784" s="218">
        <v>73</v>
      </c>
      <c r="G784" s="102">
        <v>7.81</v>
      </c>
      <c r="H784" s="218">
        <v>3</v>
      </c>
      <c r="I784" s="102"/>
      <c r="J784" s="102">
        <v>3.9</v>
      </c>
      <c r="K784" s="218">
        <v>59</v>
      </c>
      <c r="L784" s="218">
        <v>92</v>
      </c>
      <c r="M784" s="218">
        <v>2600</v>
      </c>
      <c r="N784" s="218">
        <v>140</v>
      </c>
      <c r="O784" s="218">
        <v>3400</v>
      </c>
      <c r="P784" s="112"/>
      <c r="Q784">
        <f t="shared" si="24"/>
        <v>2019</v>
      </c>
      <c r="R784">
        <f t="shared" si="25"/>
        <v>10</v>
      </c>
      <c r="S784" s="112"/>
      <c r="T784" s="102"/>
    </row>
    <row r="785" spans="1:20">
      <c r="A785" s="117">
        <v>19</v>
      </c>
      <c r="B785" s="102" t="s">
        <v>260</v>
      </c>
      <c r="C785" s="206">
        <v>43782</v>
      </c>
      <c r="D785" s="102">
        <v>6.5</v>
      </c>
      <c r="E785" s="102">
        <v>11.1</v>
      </c>
      <c r="F785" s="218">
        <v>90</v>
      </c>
      <c r="G785" s="102">
        <v>7.94</v>
      </c>
      <c r="H785" s="218">
        <v>1.8</v>
      </c>
      <c r="I785" s="102"/>
      <c r="J785" s="102">
        <v>1.8</v>
      </c>
      <c r="K785" s="218">
        <v>28</v>
      </c>
      <c r="L785" s="218">
        <v>53</v>
      </c>
      <c r="M785" s="218">
        <v>9800</v>
      </c>
      <c r="N785" s="218">
        <v>45</v>
      </c>
      <c r="O785" s="218">
        <v>9700</v>
      </c>
      <c r="P785" s="112"/>
      <c r="Q785">
        <f t="shared" si="24"/>
        <v>2019</v>
      </c>
      <c r="R785">
        <f t="shared" si="25"/>
        <v>11</v>
      </c>
      <c r="S785" s="112"/>
      <c r="T785" s="102"/>
    </row>
    <row r="786" spans="1:20">
      <c r="A786" s="117">
        <v>19</v>
      </c>
      <c r="B786" s="102" t="s">
        <v>260</v>
      </c>
      <c r="C786" s="206">
        <v>43812</v>
      </c>
      <c r="D786" s="102">
        <v>5.3</v>
      </c>
      <c r="E786" s="102">
        <v>11.8</v>
      </c>
      <c r="F786" s="218">
        <v>93</v>
      </c>
      <c r="G786" s="102">
        <v>7.8</v>
      </c>
      <c r="H786" s="218">
        <v>16.5</v>
      </c>
      <c r="I786" s="102"/>
      <c r="J786" s="102">
        <v>2.1</v>
      </c>
      <c r="K786" s="218">
        <v>48</v>
      </c>
      <c r="L786" s="218">
        <v>110</v>
      </c>
      <c r="M786" s="218">
        <v>11000</v>
      </c>
      <c r="N786" s="218">
        <v>57</v>
      </c>
      <c r="O786" s="218">
        <v>12000</v>
      </c>
      <c r="P786" s="112"/>
      <c r="Q786">
        <f t="shared" si="24"/>
        <v>2019</v>
      </c>
      <c r="R786">
        <f t="shared" si="25"/>
        <v>12</v>
      </c>
      <c r="S786" s="112"/>
      <c r="T786" s="102"/>
    </row>
    <row r="787" spans="1:20">
      <c r="A787" s="117">
        <v>21</v>
      </c>
      <c r="B787" s="102" t="s">
        <v>261</v>
      </c>
      <c r="C787" s="206">
        <v>40225</v>
      </c>
      <c r="D787" s="102">
        <v>0</v>
      </c>
      <c r="E787" s="102">
        <v>8.9</v>
      </c>
      <c r="F787" s="218">
        <v>61</v>
      </c>
      <c r="G787" s="102">
        <v>7.9</v>
      </c>
      <c r="H787" s="218">
        <v>2.8</v>
      </c>
      <c r="I787" s="102"/>
      <c r="J787" s="102">
        <v>5.0999999999999996</v>
      </c>
      <c r="K787" s="218">
        <v>42</v>
      </c>
      <c r="L787" s="218">
        <v>46</v>
      </c>
      <c r="M787" s="218">
        <v>3900</v>
      </c>
      <c r="N787" s="218">
        <v>120</v>
      </c>
      <c r="O787" s="218">
        <v>4900</v>
      </c>
      <c r="P787" s="112"/>
      <c r="Q787">
        <f t="shared" si="24"/>
        <v>2010</v>
      </c>
      <c r="R787">
        <f t="shared" si="25"/>
        <v>2</v>
      </c>
      <c r="S787" s="112"/>
      <c r="T787" s="102"/>
    </row>
    <row r="788" spans="1:20">
      <c r="A788" s="117">
        <v>21</v>
      </c>
      <c r="B788" s="102" t="s">
        <v>261</v>
      </c>
      <c r="C788" s="206">
        <v>40290</v>
      </c>
      <c r="D788" s="102">
        <v>6</v>
      </c>
      <c r="E788" s="102">
        <v>9.3000000000000007</v>
      </c>
      <c r="F788" s="218">
        <v>75</v>
      </c>
      <c r="G788" s="102">
        <v>8.18</v>
      </c>
      <c r="H788" s="218">
        <v>1.5</v>
      </c>
      <c r="I788" s="102"/>
      <c r="J788" s="102">
        <v>4.4000000000000004</v>
      </c>
      <c r="K788" s="218">
        <v>11</v>
      </c>
      <c r="L788" s="218">
        <v>16</v>
      </c>
      <c r="M788" s="218">
        <v>3900</v>
      </c>
      <c r="N788" s="218">
        <v>22</v>
      </c>
      <c r="O788" s="218">
        <v>4600</v>
      </c>
      <c r="P788" s="112"/>
      <c r="Q788">
        <f t="shared" si="24"/>
        <v>2010</v>
      </c>
      <c r="R788">
        <f t="shared" si="25"/>
        <v>4</v>
      </c>
      <c r="S788" s="112"/>
      <c r="T788" s="102"/>
    </row>
    <row r="789" spans="1:20">
      <c r="A789" s="117">
        <v>21</v>
      </c>
      <c r="B789" s="102" t="s">
        <v>261</v>
      </c>
      <c r="C789" s="206">
        <v>40346</v>
      </c>
      <c r="D789" s="102">
        <v>14.7</v>
      </c>
      <c r="E789" s="102">
        <v>9.8000000000000007</v>
      </c>
      <c r="F789" s="218">
        <v>97</v>
      </c>
      <c r="G789" s="102">
        <v>8.1199999999999992</v>
      </c>
      <c r="H789" s="218">
        <v>2.8</v>
      </c>
      <c r="I789" s="102"/>
      <c r="J789" s="102">
        <v>1.6</v>
      </c>
      <c r="K789" s="218">
        <v>81</v>
      </c>
      <c r="L789" s="218">
        <v>100</v>
      </c>
      <c r="M789" s="218">
        <v>1900</v>
      </c>
      <c r="N789" s="218">
        <v>34</v>
      </c>
      <c r="O789" s="218">
        <v>2500</v>
      </c>
      <c r="P789" s="112"/>
      <c r="Q789">
        <f t="shared" si="24"/>
        <v>2010</v>
      </c>
      <c r="R789">
        <f t="shared" si="25"/>
        <v>6</v>
      </c>
      <c r="S789" s="112"/>
      <c r="T789" s="102"/>
    </row>
    <row r="790" spans="1:20">
      <c r="A790" s="117">
        <v>21</v>
      </c>
      <c r="B790" s="102" t="s">
        <v>261</v>
      </c>
      <c r="C790" s="206">
        <v>40416</v>
      </c>
      <c r="D790" s="102">
        <v>14.6</v>
      </c>
      <c r="E790" s="102">
        <v>9.4499999999999993</v>
      </c>
      <c r="F790" s="218">
        <v>93</v>
      </c>
      <c r="G790" s="102">
        <v>8.02</v>
      </c>
      <c r="H790" s="218">
        <v>4.3</v>
      </c>
      <c r="I790" s="102"/>
      <c r="J790" s="102">
        <v>1.6</v>
      </c>
      <c r="K790" s="218">
        <v>73</v>
      </c>
      <c r="L790" s="218">
        <v>93</v>
      </c>
      <c r="M790" s="218">
        <v>6400</v>
      </c>
      <c r="N790" s="218">
        <v>18</v>
      </c>
      <c r="O790" s="218">
        <v>7000</v>
      </c>
      <c r="P790" s="112"/>
      <c r="Q790">
        <f t="shared" si="24"/>
        <v>2010</v>
      </c>
      <c r="R790">
        <f t="shared" si="25"/>
        <v>8</v>
      </c>
      <c r="S790" s="112"/>
      <c r="T790" s="102"/>
    </row>
    <row r="791" spans="1:20">
      <c r="A791" s="117">
        <v>21</v>
      </c>
      <c r="B791" s="102" t="s">
        <v>261</v>
      </c>
      <c r="C791" s="206">
        <v>40471</v>
      </c>
      <c r="D791" s="102">
        <v>7.7</v>
      </c>
      <c r="E791" s="102">
        <v>10.8</v>
      </c>
      <c r="F791" s="218">
        <v>91</v>
      </c>
      <c r="G791" s="102">
        <v>8.0500000000000007</v>
      </c>
      <c r="H791" s="218">
        <v>2.9</v>
      </c>
      <c r="I791" s="102"/>
      <c r="J791" s="102">
        <v>1.5</v>
      </c>
      <c r="K791" s="218">
        <v>41</v>
      </c>
      <c r="L791" s="218">
        <v>60</v>
      </c>
      <c r="M791" s="218">
        <v>3300</v>
      </c>
      <c r="N791" s="218" t="s">
        <v>148</v>
      </c>
      <c r="O791" s="218">
        <v>3700</v>
      </c>
      <c r="P791" s="112"/>
      <c r="Q791">
        <f t="shared" si="24"/>
        <v>2010</v>
      </c>
      <c r="R791">
        <f t="shared" si="25"/>
        <v>10</v>
      </c>
      <c r="S791" s="112"/>
      <c r="T791" s="102"/>
    </row>
    <row r="792" spans="1:20">
      <c r="A792" s="117">
        <v>21</v>
      </c>
      <c r="B792" s="102" t="s">
        <v>261</v>
      </c>
      <c r="C792" s="206">
        <v>40526</v>
      </c>
      <c r="D792" s="102">
        <v>0.1</v>
      </c>
      <c r="E792" s="102">
        <v>14.2</v>
      </c>
      <c r="F792" s="218">
        <v>97</v>
      </c>
      <c r="G792" s="102">
        <v>7.91</v>
      </c>
      <c r="H792" s="218">
        <v>5.0999999999999996</v>
      </c>
      <c r="I792" s="102"/>
      <c r="J792" s="102">
        <v>4.4000000000000004</v>
      </c>
      <c r="K792" s="218">
        <v>43</v>
      </c>
      <c r="L792" s="218">
        <v>56</v>
      </c>
      <c r="M792" s="218">
        <v>8300</v>
      </c>
      <c r="N792" s="218">
        <v>82</v>
      </c>
      <c r="O792" s="218">
        <v>9100</v>
      </c>
      <c r="P792" s="112"/>
      <c r="Q792">
        <f t="shared" si="24"/>
        <v>2010</v>
      </c>
      <c r="R792">
        <f t="shared" si="25"/>
        <v>12</v>
      </c>
      <c r="S792" s="112"/>
      <c r="T792" s="102"/>
    </row>
    <row r="793" spans="1:20">
      <c r="A793" s="117">
        <v>21</v>
      </c>
      <c r="B793" s="102" t="s">
        <v>261</v>
      </c>
      <c r="C793" s="216">
        <v>40589</v>
      </c>
      <c r="D793">
        <v>0</v>
      </c>
      <c r="E793" s="116">
        <v>14.3</v>
      </c>
      <c r="F793" s="101">
        <v>98</v>
      </c>
      <c r="G793">
        <v>7.98</v>
      </c>
      <c r="H793" s="116">
        <v>6.4</v>
      </c>
      <c r="J793">
        <v>3.6</v>
      </c>
      <c r="K793">
        <v>48</v>
      </c>
      <c r="L793">
        <v>62</v>
      </c>
      <c r="M793">
        <v>6700</v>
      </c>
      <c r="N793">
        <v>67</v>
      </c>
      <c r="O793">
        <v>7700</v>
      </c>
      <c r="Q793">
        <f t="shared" si="24"/>
        <v>2011</v>
      </c>
      <c r="R793">
        <f t="shared" si="25"/>
        <v>2</v>
      </c>
    </row>
    <row r="794" spans="1:20">
      <c r="A794" s="117">
        <v>21</v>
      </c>
      <c r="B794" s="102" t="s">
        <v>261</v>
      </c>
      <c r="C794" s="216">
        <v>40646</v>
      </c>
      <c r="D794">
        <v>7</v>
      </c>
      <c r="E794" s="116">
        <v>12.1</v>
      </c>
      <c r="F794" s="101">
        <v>100</v>
      </c>
      <c r="G794">
        <v>8.1300000000000008</v>
      </c>
      <c r="H794" s="116">
        <v>2</v>
      </c>
      <c r="J794">
        <v>2.5</v>
      </c>
      <c r="K794">
        <v>19</v>
      </c>
      <c r="L794">
        <v>36</v>
      </c>
      <c r="M794">
        <v>4900</v>
      </c>
      <c r="N794">
        <v>34</v>
      </c>
      <c r="O794">
        <v>6000</v>
      </c>
      <c r="Q794">
        <f t="shared" si="24"/>
        <v>2011</v>
      </c>
      <c r="R794">
        <f t="shared" si="25"/>
        <v>4</v>
      </c>
    </row>
    <row r="795" spans="1:20">
      <c r="A795" s="117">
        <v>21</v>
      </c>
      <c r="B795" s="102" t="s">
        <v>261</v>
      </c>
      <c r="C795" s="216">
        <v>40710</v>
      </c>
      <c r="D795">
        <v>16.899999999999999</v>
      </c>
      <c r="E795" s="116">
        <v>10.5</v>
      </c>
      <c r="F795" s="101">
        <v>109</v>
      </c>
      <c r="G795">
        <v>8.19</v>
      </c>
      <c r="H795" s="116">
        <v>6.1</v>
      </c>
      <c r="J795">
        <v>1.9</v>
      </c>
      <c r="K795">
        <v>79</v>
      </c>
      <c r="L795">
        <v>91</v>
      </c>
      <c r="M795">
        <v>1200</v>
      </c>
      <c r="N795">
        <v>30</v>
      </c>
      <c r="O795">
        <v>1600</v>
      </c>
      <c r="Q795">
        <f t="shared" si="24"/>
        <v>2011</v>
      </c>
      <c r="R795">
        <f t="shared" si="25"/>
        <v>6</v>
      </c>
    </row>
    <row r="796" spans="1:20">
      <c r="A796" s="117">
        <v>21</v>
      </c>
      <c r="B796" s="102" t="s">
        <v>261</v>
      </c>
      <c r="C796" s="216">
        <v>40778</v>
      </c>
      <c r="D796">
        <v>15.2</v>
      </c>
      <c r="E796" s="116">
        <v>9.3000000000000007</v>
      </c>
      <c r="F796" s="101">
        <v>93</v>
      </c>
      <c r="G796">
        <v>8</v>
      </c>
      <c r="H796" s="116">
        <v>2.8</v>
      </c>
      <c r="J796">
        <v>2.1</v>
      </c>
      <c r="K796">
        <v>57</v>
      </c>
      <c r="L796">
        <v>73</v>
      </c>
      <c r="M796">
        <v>4300</v>
      </c>
      <c r="N796">
        <v>30</v>
      </c>
      <c r="O796">
        <v>5200</v>
      </c>
      <c r="Q796">
        <f t="shared" si="24"/>
        <v>2011</v>
      </c>
      <c r="R796">
        <f t="shared" si="25"/>
        <v>8</v>
      </c>
    </row>
    <row r="797" spans="1:20">
      <c r="A797" s="117">
        <v>21</v>
      </c>
      <c r="B797" s="102" t="s">
        <v>261</v>
      </c>
      <c r="C797" s="216">
        <v>40834</v>
      </c>
      <c r="D797">
        <v>8.5</v>
      </c>
      <c r="E797" s="116">
        <v>10.9</v>
      </c>
      <c r="F797" s="101">
        <v>93</v>
      </c>
      <c r="G797">
        <v>8.0299999999999994</v>
      </c>
      <c r="H797" s="116">
        <v>3.1</v>
      </c>
      <c r="J797">
        <v>1</v>
      </c>
      <c r="K797">
        <v>41</v>
      </c>
      <c r="L797">
        <v>56</v>
      </c>
      <c r="M797">
        <v>5000</v>
      </c>
      <c r="N797">
        <v>24</v>
      </c>
      <c r="O797">
        <v>5500</v>
      </c>
      <c r="Q797">
        <f t="shared" si="24"/>
        <v>2011</v>
      </c>
      <c r="R797">
        <f t="shared" si="25"/>
        <v>10</v>
      </c>
    </row>
    <row r="798" spans="1:20">
      <c r="A798" s="117">
        <v>21</v>
      </c>
      <c r="B798" s="102" t="s">
        <v>261</v>
      </c>
      <c r="C798" s="216">
        <v>40896</v>
      </c>
      <c r="D798">
        <v>3.1</v>
      </c>
      <c r="E798" s="116">
        <v>12.7</v>
      </c>
      <c r="F798" s="101">
        <v>95</v>
      </c>
      <c r="G798">
        <v>7.79</v>
      </c>
      <c r="H798" s="116">
        <v>10</v>
      </c>
      <c r="J798">
        <v>1.5</v>
      </c>
      <c r="K798">
        <v>57</v>
      </c>
      <c r="L798">
        <v>89</v>
      </c>
      <c r="M798">
        <v>5800</v>
      </c>
      <c r="N798">
        <v>44</v>
      </c>
      <c r="O798">
        <v>6800</v>
      </c>
      <c r="Q798">
        <f t="shared" si="24"/>
        <v>2011</v>
      </c>
      <c r="R798">
        <f t="shared" si="25"/>
        <v>12</v>
      </c>
    </row>
    <row r="799" spans="1:20">
      <c r="A799" s="117">
        <v>21</v>
      </c>
      <c r="B799" s="102" t="s">
        <v>261</v>
      </c>
      <c r="C799" s="124">
        <v>40949</v>
      </c>
      <c r="D799" s="192">
        <v>-0.1</v>
      </c>
      <c r="E799" s="192">
        <v>13.8</v>
      </c>
      <c r="F799" s="204">
        <v>93</v>
      </c>
      <c r="G799" s="192">
        <v>8.1</v>
      </c>
      <c r="H799" s="195">
        <v>4</v>
      </c>
      <c r="I799" s="193"/>
      <c r="J799" s="194">
        <v>0.5</v>
      </c>
      <c r="K799" s="189">
        <v>39</v>
      </c>
      <c r="L799" s="195">
        <v>60</v>
      </c>
      <c r="M799" s="195">
        <v>5600</v>
      </c>
      <c r="N799" s="195">
        <v>190</v>
      </c>
      <c r="O799" s="195">
        <v>6200</v>
      </c>
      <c r="P799" s="201"/>
      <c r="Q799">
        <f t="shared" si="24"/>
        <v>2012</v>
      </c>
      <c r="R799">
        <f t="shared" si="25"/>
        <v>2</v>
      </c>
      <c r="T799" s="102"/>
    </row>
    <row r="800" spans="1:20">
      <c r="A800" s="117">
        <v>21</v>
      </c>
      <c r="B800" s="102" t="s">
        <v>261</v>
      </c>
      <c r="C800" s="124">
        <v>41012</v>
      </c>
      <c r="D800" s="193">
        <v>7.7</v>
      </c>
      <c r="E800" s="193">
        <v>11.7</v>
      </c>
      <c r="F800" s="204">
        <v>100</v>
      </c>
      <c r="G800" s="193">
        <v>8.3000000000000007</v>
      </c>
      <c r="H800" s="193">
        <v>2</v>
      </c>
      <c r="I800" s="193"/>
      <c r="J800" s="193">
        <v>2</v>
      </c>
      <c r="K800" s="189">
        <v>12</v>
      </c>
      <c r="L800" s="189">
        <v>26</v>
      </c>
      <c r="M800" s="189">
        <v>2800</v>
      </c>
      <c r="N800" s="189">
        <v>13</v>
      </c>
      <c r="O800" s="189">
        <v>3200</v>
      </c>
      <c r="P800" s="202"/>
      <c r="Q800">
        <f t="shared" si="24"/>
        <v>2012</v>
      </c>
      <c r="R800">
        <f t="shared" si="25"/>
        <v>4</v>
      </c>
      <c r="T800" s="102"/>
    </row>
    <row r="801" spans="1:20">
      <c r="A801" s="117">
        <v>21</v>
      </c>
      <c r="B801" s="102" t="s">
        <v>261</v>
      </c>
      <c r="C801" s="206">
        <v>41078</v>
      </c>
      <c r="D801" s="192">
        <v>15.3</v>
      </c>
      <c r="E801" s="193">
        <v>10.1</v>
      </c>
      <c r="F801" s="204">
        <v>103</v>
      </c>
      <c r="G801" s="193">
        <v>8.1999999999999993</v>
      </c>
      <c r="H801" s="189">
        <v>4.3</v>
      </c>
      <c r="I801" s="193"/>
      <c r="J801" s="223">
        <v>2.2000000000000002</v>
      </c>
      <c r="K801" s="195">
        <v>57</v>
      </c>
      <c r="L801" s="195">
        <v>90</v>
      </c>
      <c r="M801" s="195">
        <v>910</v>
      </c>
      <c r="N801" s="195">
        <v>41</v>
      </c>
      <c r="O801" s="195">
        <v>1700</v>
      </c>
      <c r="P801" s="199"/>
      <c r="Q801">
        <f t="shared" si="24"/>
        <v>2012</v>
      </c>
      <c r="R801">
        <f t="shared" si="25"/>
        <v>6</v>
      </c>
      <c r="T801" s="102"/>
    </row>
    <row r="802" spans="1:20">
      <c r="A802" s="117">
        <v>21</v>
      </c>
      <c r="B802" s="102" t="s">
        <v>261</v>
      </c>
      <c r="C802" s="124">
        <v>41136</v>
      </c>
      <c r="D802" s="192">
        <v>16</v>
      </c>
      <c r="E802" s="192">
        <v>12</v>
      </c>
      <c r="F802" s="204">
        <v>122</v>
      </c>
      <c r="G802" s="192">
        <v>8.3000000000000007</v>
      </c>
      <c r="H802" s="192">
        <v>1.1000000000000001</v>
      </c>
      <c r="I802" s="193"/>
      <c r="J802" s="193">
        <v>1.3</v>
      </c>
      <c r="K802" s="189">
        <v>49</v>
      </c>
      <c r="L802" s="195">
        <v>73</v>
      </c>
      <c r="M802" s="195">
        <v>290</v>
      </c>
      <c r="N802" s="195">
        <v>21</v>
      </c>
      <c r="O802" s="195">
        <v>760</v>
      </c>
      <c r="P802" s="200"/>
      <c r="Q802">
        <f t="shared" si="24"/>
        <v>2012</v>
      </c>
      <c r="R802">
        <f t="shared" si="25"/>
        <v>8</v>
      </c>
      <c r="T802" s="102"/>
    </row>
    <row r="803" spans="1:20">
      <c r="A803" s="117">
        <v>21</v>
      </c>
      <c r="B803" s="102" t="s">
        <v>261</v>
      </c>
      <c r="C803" s="206">
        <v>41193</v>
      </c>
      <c r="D803" s="192">
        <v>7.5</v>
      </c>
      <c r="E803" s="192">
        <v>12.5</v>
      </c>
      <c r="F803" s="204">
        <v>104</v>
      </c>
      <c r="G803" s="192">
        <v>8.1999999999999993</v>
      </c>
      <c r="H803" s="192">
        <v>1.8</v>
      </c>
      <c r="I803" s="193"/>
      <c r="J803" s="193">
        <v>1.7</v>
      </c>
      <c r="K803" s="189">
        <v>41</v>
      </c>
      <c r="L803" s="195">
        <v>54</v>
      </c>
      <c r="M803" s="195">
        <v>1700</v>
      </c>
      <c r="N803" s="195">
        <v>12</v>
      </c>
      <c r="O803" s="195">
        <v>2000</v>
      </c>
      <c r="P803" s="200"/>
      <c r="Q803">
        <f t="shared" si="24"/>
        <v>2012</v>
      </c>
      <c r="R803">
        <f t="shared" si="25"/>
        <v>10</v>
      </c>
      <c r="T803" s="102"/>
    </row>
    <row r="804" spans="1:20">
      <c r="A804" s="117">
        <v>21</v>
      </c>
      <c r="B804" s="102" t="s">
        <v>261</v>
      </c>
      <c r="C804" s="125">
        <v>41263</v>
      </c>
      <c r="D804" s="193">
        <v>2.5</v>
      </c>
      <c r="E804" s="193">
        <v>12.8</v>
      </c>
      <c r="F804" s="204">
        <v>92</v>
      </c>
      <c r="G804" s="193">
        <v>8</v>
      </c>
      <c r="H804" s="193">
        <v>6.5</v>
      </c>
      <c r="I804" s="193"/>
      <c r="J804" s="193">
        <v>1.5</v>
      </c>
      <c r="K804" s="189">
        <v>39</v>
      </c>
      <c r="L804" s="189">
        <v>65</v>
      </c>
      <c r="M804" s="189">
        <v>8900</v>
      </c>
      <c r="N804" s="189">
        <v>59</v>
      </c>
      <c r="O804" s="189">
        <v>9600</v>
      </c>
      <c r="P804" s="200"/>
      <c r="Q804">
        <f t="shared" si="24"/>
        <v>2012</v>
      </c>
      <c r="R804">
        <f t="shared" si="25"/>
        <v>12</v>
      </c>
      <c r="T804" s="102"/>
    </row>
    <row r="805" spans="1:20">
      <c r="A805" s="117">
        <v>21</v>
      </c>
      <c r="B805" s="102" t="s">
        <v>261</v>
      </c>
      <c r="C805" s="206">
        <v>41323</v>
      </c>
      <c r="D805" s="102">
        <v>1.3</v>
      </c>
      <c r="E805" s="102">
        <v>13</v>
      </c>
      <c r="F805" s="218">
        <v>93</v>
      </c>
      <c r="G805" s="102">
        <v>8.1</v>
      </c>
      <c r="H805" s="218">
        <v>1.6</v>
      </c>
      <c r="I805" s="102"/>
      <c r="J805" s="102">
        <v>2.2000000000000002</v>
      </c>
      <c r="K805" s="218">
        <v>26</v>
      </c>
      <c r="L805" s="218">
        <v>52</v>
      </c>
      <c r="M805" s="218">
        <v>6000</v>
      </c>
      <c r="N805" s="218">
        <v>80</v>
      </c>
      <c r="O805" s="218">
        <v>6800</v>
      </c>
      <c r="P805" s="112"/>
      <c r="Q805">
        <f t="shared" si="24"/>
        <v>2013</v>
      </c>
      <c r="R805">
        <f t="shared" si="25"/>
        <v>2</v>
      </c>
      <c r="S805" s="112"/>
      <c r="T805" s="102"/>
    </row>
    <row r="806" spans="1:20">
      <c r="A806" s="117">
        <v>21</v>
      </c>
      <c r="B806" s="102" t="s">
        <v>261</v>
      </c>
      <c r="C806" s="206">
        <v>41379</v>
      </c>
      <c r="D806" s="102">
        <v>7.5</v>
      </c>
      <c r="E806" s="102">
        <v>12.9</v>
      </c>
      <c r="F806" s="218">
        <v>107</v>
      </c>
      <c r="G806" s="102">
        <v>8.3000000000000007</v>
      </c>
      <c r="H806" s="218">
        <v>1.1000000000000001</v>
      </c>
      <c r="I806" s="102"/>
      <c r="J806" s="102">
        <v>3</v>
      </c>
      <c r="K806" s="218">
        <v>2</v>
      </c>
      <c r="L806" s="218">
        <v>19</v>
      </c>
      <c r="M806" s="218">
        <v>2600</v>
      </c>
      <c r="N806" s="218" t="s">
        <v>148</v>
      </c>
      <c r="O806" s="218">
        <v>3600</v>
      </c>
      <c r="P806" s="112"/>
      <c r="Q806">
        <f t="shared" si="24"/>
        <v>2013</v>
      </c>
      <c r="R806">
        <f t="shared" si="25"/>
        <v>4</v>
      </c>
      <c r="S806" s="112"/>
      <c r="T806" s="102"/>
    </row>
    <row r="807" spans="1:20">
      <c r="A807" s="117">
        <v>21</v>
      </c>
      <c r="B807" s="102" t="s">
        <v>261</v>
      </c>
      <c r="C807" s="206">
        <v>41443</v>
      </c>
      <c r="D807" s="102">
        <v>16.3</v>
      </c>
      <c r="E807" s="102">
        <v>8.6999999999999993</v>
      </c>
      <c r="F807" s="218">
        <v>90</v>
      </c>
      <c r="G807" s="102">
        <v>8</v>
      </c>
      <c r="H807" s="218">
        <v>2.6</v>
      </c>
      <c r="I807" s="102"/>
      <c r="J807" s="102">
        <v>1.8</v>
      </c>
      <c r="K807" s="218">
        <v>69</v>
      </c>
      <c r="L807" s="218">
        <v>100</v>
      </c>
      <c r="M807" s="218">
        <v>2200</v>
      </c>
      <c r="N807" s="218">
        <v>26</v>
      </c>
      <c r="O807" s="218">
        <v>3100</v>
      </c>
      <c r="P807" s="112"/>
      <c r="Q807">
        <f t="shared" si="24"/>
        <v>2013</v>
      </c>
      <c r="R807">
        <f t="shared" si="25"/>
        <v>6</v>
      </c>
      <c r="S807" s="112"/>
      <c r="T807" s="102"/>
    </row>
    <row r="808" spans="1:20">
      <c r="A808" s="117">
        <v>21</v>
      </c>
      <c r="B808" s="102" t="s">
        <v>261</v>
      </c>
      <c r="C808" s="206">
        <v>41500</v>
      </c>
      <c r="D808" s="102">
        <v>14.9</v>
      </c>
      <c r="E808" s="102">
        <v>8.5</v>
      </c>
      <c r="F808" s="218">
        <v>86</v>
      </c>
      <c r="G808" s="102">
        <v>8</v>
      </c>
      <c r="H808" s="218">
        <v>1</v>
      </c>
      <c r="I808" s="102"/>
      <c r="J808" s="102">
        <v>1.5</v>
      </c>
      <c r="K808" s="218">
        <v>70</v>
      </c>
      <c r="L808" s="218">
        <v>95</v>
      </c>
      <c r="M808" s="218">
        <v>370</v>
      </c>
      <c r="N808" s="218">
        <v>10</v>
      </c>
      <c r="O808" s="218">
        <v>890</v>
      </c>
      <c r="P808" s="112"/>
      <c r="Q808">
        <f t="shared" si="24"/>
        <v>2013</v>
      </c>
      <c r="R808">
        <f t="shared" si="25"/>
        <v>8</v>
      </c>
      <c r="S808" s="112"/>
      <c r="T808" s="102"/>
    </row>
    <row r="809" spans="1:20">
      <c r="A809" s="117">
        <v>21</v>
      </c>
      <c r="B809" s="102" t="s">
        <v>261</v>
      </c>
      <c r="C809" s="206">
        <v>41572</v>
      </c>
      <c r="D809" s="102">
        <v>10</v>
      </c>
      <c r="E809" s="102">
        <v>10.5</v>
      </c>
      <c r="F809" s="218">
        <v>73</v>
      </c>
      <c r="G809" s="102">
        <v>8</v>
      </c>
      <c r="H809" s="218">
        <v>2.6</v>
      </c>
      <c r="I809" s="102"/>
      <c r="J809" s="102">
        <v>0.53</v>
      </c>
      <c r="K809" s="218">
        <v>48</v>
      </c>
      <c r="L809" s="218">
        <v>69</v>
      </c>
      <c r="M809" s="218">
        <v>7900</v>
      </c>
      <c r="N809" s="218">
        <v>22</v>
      </c>
      <c r="O809" s="218">
        <v>9300</v>
      </c>
      <c r="P809" s="112"/>
      <c r="Q809">
        <f t="shared" si="24"/>
        <v>2013</v>
      </c>
      <c r="R809">
        <f t="shared" si="25"/>
        <v>10</v>
      </c>
      <c r="S809" s="112"/>
      <c r="T809" s="102"/>
    </row>
    <row r="810" spans="1:20">
      <c r="A810" s="117">
        <v>21</v>
      </c>
      <c r="B810" s="102" t="s">
        <v>261</v>
      </c>
      <c r="C810" s="206">
        <v>41619</v>
      </c>
      <c r="D810" s="102">
        <v>6.1</v>
      </c>
      <c r="E810" s="102">
        <v>11.6</v>
      </c>
      <c r="F810" s="218">
        <v>94</v>
      </c>
      <c r="G810" s="102">
        <v>8</v>
      </c>
      <c r="H810" s="218">
        <v>4.5</v>
      </c>
      <c r="I810" s="102"/>
      <c r="J810" s="102">
        <v>1.5</v>
      </c>
      <c r="K810" s="218">
        <v>35</v>
      </c>
      <c r="L810" s="218">
        <v>61</v>
      </c>
      <c r="M810" s="218">
        <v>8500</v>
      </c>
      <c r="N810" s="218">
        <v>28</v>
      </c>
      <c r="O810" s="218">
        <v>10000</v>
      </c>
      <c r="P810" s="112"/>
      <c r="Q810">
        <f t="shared" si="24"/>
        <v>2013</v>
      </c>
      <c r="R810">
        <f t="shared" si="25"/>
        <v>12</v>
      </c>
      <c r="S810" s="112"/>
      <c r="T810" s="102"/>
    </row>
    <row r="811" spans="1:20">
      <c r="A811" s="117">
        <v>21</v>
      </c>
      <c r="B811" s="102" t="s">
        <v>261</v>
      </c>
      <c r="C811" s="206">
        <v>41681</v>
      </c>
      <c r="D811" s="102">
        <v>2.5</v>
      </c>
      <c r="E811" s="102">
        <v>12.5</v>
      </c>
      <c r="F811" s="218">
        <v>95</v>
      </c>
      <c r="G811" s="102">
        <v>7.9</v>
      </c>
      <c r="H811" s="218">
        <v>9.4</v>
      </c>
      <c r="I811" s="102"/>
      <c r="J811" s="102">
        <v>2.4</v>
      </c>
      <c r="K811" s="218">
        <v>39</v>
      </c>
      <c r="L811" s="218">
        <v>72</v>
      </c>
      <c r="M811" s="218">
        <v>6700</v>
      </c>
      <c r="N811" s="218">
        <v>43</v>
      </c>
      <c r="O811" s="218">
        <v>7400</v>
      </c>
      <c r="P811" s="112"/>
      <c r="Q811">
        <f t="shared" si="24"/>
        <v>2014</v>
      </c>
      <c r="R811">
        <f t="shared" si="25"/>
        <v>2</v>
      </c>
      <c r="S811" s="112"/>
      <c r="T811" s="102"/>
    </row>
    <row r="812" spans="1:20">
      <c r="A812" s="117">
        <v>21</v>
      </c>
      <c r="B812" s="102" t="s">
        <v>261</v>
      </c>
      <c r="C812" s="206">
        <v>41743</v>
      </c>
      <c r="D812" s="102">
        <v>8.6</v>
      </c>
      <c r="E812" s="102">
        <v>13.2</v>
      </c>
      <c r="F812" s="218">
        <v>117</v>
      </c>
      <c r="G812" s="102">
        <v>8.4</v>
      </c>
      <c r="H812" s="218">
        <v>1.5</v>
      </c>
      <c r="I812" s="102"/>
      <c r="J812" s="102">
        <v>2.2000000000000002</v>
      </c>
      <c r="K812" s="218">
        <v>10</v>
      </c>
      <c r="L812" s="218">
        <v>33</v>
      </c>
      <c r="M812" s="218">
        <v>3600</v>
      </c>
      <c r="N812" s="218">
        <v>13</v>
      </c>
      <c r="O812" s="218">
        <v>5100</v>
      </c>
      <c r="P812" s="112"/>
      <c r="Q812">
        <f t="shared" si="24"/>
        <v>2014</v>
      </c>
      <c r="R812">
        <f t="shared" si="25"/>
        <v>4</v>
      </c>
      <c r="S812" s="112"/>
      <c r="T812" s="102"/>
    </row>
    <row r="813" spans="1:20">
      <c r="A813" s="117">
        <v>21</v>
      </c>
      <c r="B813" s="102" t="s">
        <v>261</v>
      </c>
      <c r="C813" s="206">
        <v>41807</v>
      </c>
      <c r="D813" s="102">
        <v>16.5</v>
      </c>
      <c r="E813" s="102">
        <v>9.8000000000000007</v>
      </c>
      <c r="F813" s="218">
        <v>99</v>
      </c>
      <c r="G813" s="102">
        <v>8.4</v>
      </c>
      <c r="H813" s="218">
        <v>1.3</v>
      </c>
      <c r="I813" s="102"/>
      <c r="J813" s="102">
        <v>1.7</v>
      </c>
      <c r="K813" s="218">
        <v>16</v>
      </c>
      <c r="L813" s="218">
        <v>110</v>
      </c>
      <c r="M813" s="218">
        <v>1100</v>
      </c>
      <c r="N813" s="218">
        <v>59</v>
      </c>
      <c r="O813" s="218">
        <v>1700</v>
      </c>
      <c r="P813" s="112"/>
      <c r="Q813">
        <f t="shared" si="24"/>
        <v>2014</v>
      </c>
      <c r="R813">
        <f t="shared" si="25"/>
        <v>6</v>
      </c>
      <c r="S813" s="112"/>
      <c r="T813" s="102"/>
    </row>
    <row r="814" spans="1:20">
      <c r="A814" s="117">
        <v>21</v>
      </c>
      <c r="B814" s="102" t="s">
        <v>261</v>
      </c>
      <c r="C814" s="206">
        <v>41863</v>
      </c>
      <c r="D814" s="102">
        <v>18.2</v>
      </c>
      <c r="E814" s="102">
        <v>6.2</v>
      </c>
      <c r="F814" s="218">
        <v>68</v>
      </c>
      <c r="G814" s="102">
        <v>8.1999999999999993</v>
      </c>
      <c r="H814" s="218">
        <v>0.95</v>
      </c>
      <c r="I814" s="102"/>
      <c r="J814" s="102">
        <v>1.2</v>
      </c>
      <c r="K814" s="218">
        <v>110</v>
      </c>
      <c r="L814" s="218">
        <v>120</v>
      </c>
      <c r="M814" s="218">
        <v>930</v>
      </c>
      <c r="N814" s="218">
        <v>20</v>
      </c>
      <c r="O814" s="218">
        <v>1500</v>
      </c>
      <c r="P814" s="112"/>
      <c r="Q814">
        <f t="shared" si="24"/>
        <v>2014</v>
      </c>
      <c r="R814">
        <f t="shared" si="25"/>
        <v>8</v>
      </c>
      <c r="S814" s="112"/>
      <c r="T814" s="102"/>
    </row>
    <row r="815" spans="1:20">
      <c r="A815" s="117">
        <v>21</v>
      </c>
      <c r="B815" s="102" t="s">
        <v>261</v>
      </c>
      <c r="C815" s="206">
        <v>41929</v>
      </c>
      <c r="D815" s="102">
        <v>12.4</v>
      </c>
      <c r="E815" s="102">
        <v>7.1</v>
      </c>
      <c r="F815" s="218">
        <v>73</v>
      </c>
      <c r="G815" s="102">
        <v>7.9</v>
      </c>
      <c r="H815" s="218">
        <v>24</v>
      </c>
      <c r="I815" s="102"/>
      <c r="J815" s="102">
        <v>0.94</v>
      </c>
      <c r="K815" s="218">
        <v>73</v>
      </c>
      <c r="L815" s="218">
        <v>120</v>
      </c>
      <c r="M815" s="218">
        <v>7600</v>
      </c>
      <c r="N815" s="218">
        <v>25</v>
      </c>
      <c r="O815" s="218">
        <v>7300</v>
      </c>
      <c r="P815" s="112"/>
      <c r="Q815">
        <f t="shared" si="24"/>
        <v>2014</v>
      </c>
      <c r="R815">
        <f t="shared" si="25"/>
        <v>10</v>
      </c>
      <c r="S815" s="112"/>
      <c r="T815" s="102"/>
    </row>
    <row r="816" spans="1:20">
      <c r="A816" s="117">
        <v>21</v>
      </c>
      <c r="B816" s="102" t="s">
        <v>261</v>
      </c>
      <c r="C816" s="206">
        <v>41985</v>
      </c>
      <c r="D816" s="102">
        <v>3.7</v>
      </c>
      <c r="E816" s="102">
        <v>10.9</v>
      </c>
      <c r="F816" s="218">
        <v>95</v>
      </c>
      <c r="G816" s="102">
        <v>8</v>
      </c>
      <c r="H816" s="218">
        <v>12</v>
      </c>
      <c r="I816" s="102"/>
      <c r="J816" s="102" t="s">
        <v>287</v>
      </c>
      <c r="K816" s="218">
        <v>52</v>
      </c>
      <c r="L816" s="218">
        <v>69</v>
      </c>
      <c r="M816" s="218">
        <v>8400</v>
      </c>
      <c r="N816" s="218">
        <v>36</v>
      </c>
      <c r="O816" s="218">
        <v>9200</v>
      </c>
      <c r="P816" s="112"/>
      <c r="Q816">
        <f t="shared" si="24"/>
        <v>2014</v>
      </c>
      <c r="R816">
        <f t="shared" si="25"/>
        <v>12</v>
      </c>
      <c r="S816" s="112"/>
      <c r="T816" s="102"/>
    </row>
    <row r="817" spans="1:20">
      <c r="A817" s="117">
        <v>21</v>
      </c>
      <c r="B817" s="122" t="s">
        <v>261</v>
      </c>
      <c r="C817" s="206">
        <v>42045</v>
      </c>
      <c r="D817" s="102">
        <v>2.5</v>
      </c>
      <c r="E817" s="102">
        <v>13.6</v>
      </c>
      <c r="F817" s="218">
        <v>99</v>
      </c>
      <c r="G817" s="102">
        <v>8.1</v>
      </c>
      <c r="H817" s="218">
        <v>4.5999999999999996</v>
      </c>
      <c r="I817" s="102"/>
      <c r="J817" s="102">
        <v>2.2999999999999998</v>
      </c>
      <c r="K817" s="218">
        <v>12</v>
      </c>
      <c r="L817" s="218">
        <v>49</v>
      </c>
      <c r="M817" s="218">
        <v>6400</v>
      </c>
      <c r="N817" s="218">
        <v>56</v>
      </c>
      <c r="O817" s="218">
        <v>7500</v>
      </c>
      <c r="P817" s="112"/>
      <c r="Q817">
        <f t="shared" si="24"/>
        <v>2015</v>
      </c>
      <c r="R817">
        <f t="shared" si="25"/>
        <v>2</v>
      </c>
      <c r="S817" s="112"/>
      <c r="T817" s="102"/>
    </row>
    <row r="818" spans="1:20">
      <c r="A818" s="117">
        <v>21</v>
      </c>
      <c r="B818" s="122" t="s">
        <v>261</v>
      </c>
      <c r="C818" s="206">
        <v>42107</v>
      </c>
      <c r="D818" s="102">
        <v>8.9</v>
      </c>
      <c r="E818" s="102">
        <v>11.5</v>
      </c>
      <c r="F818" s="218">
        <v>98</v>
      </c>
      <c r="G818" s="102">
        <v>8.3000000000000007</v>
      </c>
      <c r="H818" s="218">
        <v>2.8</v>
      </c>
      <c r="I818" s="102"/>
      <c r="J818" s="102">
        <v>1.9</v>
      </c>
      <c r="K818" s="218">
        <v>14</v>
      </c>
      <c r="L818" s="218">
        <v>38</v>
      </c>
      <c r="M818" s="218">
        <v>5000</v>
      </c>
      <c r="N818" s="218">
        <v>22</v>
      </c>
      <c r="O818" s="218">
        <v>5200</v>
      </c>
      <c r="P818" s="112"/>
      <c r="Q818">
        <f t="shared" si="24"/>
        <v>2015</v>
      </c>
      <c r="R818">
        <f t="shared" si="25"/>
        <v>4</v>
      </c>
      <c r="S818" s="112"/>
      <c r="T818" s="102"/>
    </row>
    <row r="819" spans="1:20">
      <c r="A819" s="117">
        <v>21</v>
      </c>
      <c r="B819" s="122" t="s">
        <v>261</v>
      </c>
      <c r="C819" s="206">
        <v>42172</v>
      </c>
      <c r="D819" s="102">
        <v>12.3</v>
      </c>
      <c r="E819" s="102">
        <v>9.9</v>
      </c>
      <c r="F819" s="218">
        <v>92</v>
      </c>
      <c r="G819" s="102">
        <v>8.1</v>
      </c>
      <c r="H819" s="218">
        <v>1.6</v>
      </c>
      <c r="I819" s="102"/>
      <c r="J819" s="102">
        <v>1.8</v>
      </c>
      <c r="K819" s="218">
        <v>57</v>
      </c>
      <c r="L819" s="218">
        <v>90</v>
      </c>
      <c r="M819" s="218">
        <v>1600</v>
      </c>
      <c r="N819" s="218">
        <v>21</v>
      </c>
      <c r="O819" s="218">
        <v>2100</v>
      </c>
      <c r="P819" s="112"/>
      <c r="Q819">
        <f t="shared" si="24"/>
        <v>2015</v>
      </c>
      <c r="R819">
        <f t="shared" si="25"/>
        <v>6</v>
      </c>
      <c r="S819" s="112"/>
      <c r="T819" s="102"/>
    </row>
    <row r="820" spans="1:20">
      <c r="A820" s="117">
        <v>21</v>
      </c>
      <c r="B820" s="122" t="s">
        <v>261</v>
      </c>
      <c r="C820" s="206">
        <v>42234</v>
      </c>
      <c r="D820" s="102">
        <v>16.5</v>
      </c>
      <c r="E820" s="102">
        <v>7.6</v>
      </c>
      <c r="F820" s="218">
        <v>78</v>
      </c>
      <c r="G820" s="102">
        <v>8.1</v>
      </c>
      <c r="H820" s="218">
        <v>1</v>
      </c>
      <c r="I820" s="102"/>
      <c r="J820" s="102">
        <v>1.4</v>
      </c>
      <c r="K820" s="218">
        <v>93</v>
      </c>
      <c r="L820" s="218">
        <v>120</v>
      </c>
      <c r="M820" s="218">
        <v>520</v>
      </c>
      <c r="N820" s="218">
        <v>23</v>
      </c>
      <c r="O820" s="218">
        <v>1100</v>
      </c>
      <c r="P820" s="112"/>
      <c r="Q820">
        <f t="shared" si="24"/>
        <v>2015</v>
      </c>
      <c r="R820">
        <f t="shared" si="25"/>
        <v>8</v>
      </c>
      <c r="S820" s="112"/>
      <c r="T820" s="102"/>
    </row>
    <row r="821" spans="1:20">
      <c r="A821" s="117">
        <v>21</v>
      </c>
      <c r="B821" s="122" t="s">
        <v>261</v>
      </c>
      <c r="C821" s="206">
        <v>42290</v>
      </c>
      <c r="D821" s="102">
        <v>7.6</v>
      </c>
      <c r="E821" s="102">
        <v>11.6</v>
      </c>
      <c r="F821" s="218">
        <v>96</v>
      </c>
      <c r="G821" s="102">
        <v>8.1</v>
      </c>
      <c r="H821" s="218">
        <v>0.63</v>
      </c>
      <c r="I821" s="102"/>
      <c r="J821" s="102">
        <v>0.98</v>
      </c>
      <c r="K821" s="218">
        <v>39</v>
      </c>
      <c r="L821" s="218">
        <v>95</v>
      </c>
      <c r="M821" s="218">
        <v>1300</v>
      </c>
      <c r="N821" s="218">
        <v>66</v>
      </c>
      <c r="O821" s="218">
        <v>1700</v>
      </c>
      <c r="P821" s="112"/>
      <c r="Q821">
        <f t="shared" si="24"/>
        <v>2015</v>
      </c>
      <c r="R821">
        <f t="shared" si="25"/>
        <v>10</v>
      </c>
      <c r="S821" s="112"/>
      <c r="T821" s="102"/>
    </row>
    <row r="822" spans="1:20">
      <c r="A822" s="117">
        <v>21</v>
      </c>
      <c r="B822" s="122" t="s">
        <v>261</v>
      </c>
      <c r="C822" s="206">
        <v>42352</v>
      </c>
      <c r="D822" s="102">
        <v>3.8</v>
      </c>
      <c r="E822" s="102">
        <v>13</v>
      </c>
      <c r="F822" s="218">
        <v>97</v>
      </c>
      <c r="G822" s="102">
        <v>8.1</v>
      </c>
      <c r="H822" s="218">
        <v>7</v>
      </c>
      <c r="I822" s="102"/>
      <c r="J822" s="102">
        <v>1.8</v>
      </c>
      <c r="K822" s="218">
        <v>38</v>
      </c>
      <c r="L822" s="218">
        <v>75</v>
      </c>
      <c r="M822" s="218">
        <v>7100</v>
      </c>
      <c r="N822" s="218">
        <v>38</v>
      </c>
      <c r="O822" s="218">
        <v>8300</v>
      </c>
      <c r="P822" s="112"/>
      <c r="Q822">
        <f t="shared" si="24"/>
        <v>2015</v>
      </c>
      <c r="R822">
        <f t="shared" si="25"/>
        <v>12</v>
      </c>
      <c r="S822" s="112"/>
      <c r="T822" s="102"/>
    </row>
    <row r="823" spans="1:20">
      <c r="A823" s="117">
        <v>21</v>
      </c>
      <c r="B823" s="102" t="s">
        <v>261</v>
      </c>
      <c r="C823" s="206">
        <v>42416</v>
      </c>
      <c r="D823" s="102">
        <v>0.8</v>
      </c>
      <c r="E823" s="102">
        <v>13.8</v>
      </c>
      <c r="F823" s="218">
        <v>94</v>
      </c>
      <c r="G823" s="102">
        <v>8</v>
      </c>
      <c r="H823" s="218">
        <v>7.4</v>
      </c>
      <c r="I823" s="102"/>
      <c r="J823" s="102">
        <v>2.5</v>
      </c>
      <c r="K823" s="218">
        <v>34</v>
      </c>
      <c r="L823" s="218">
        <v>64</v>
      </c>
      <c r="M823" s="218">
        <v>6400</v>
      </c>
      <c r="N823" s="218">
        <v>40</v>
      </c>
      <c r="O823" s="218">
        <v>6800</v>
      </c>
      <c r="P823" s="112"/>
      <c r="Q823">
        <f t="shared" si="24"/>
        <v>2016</v>
      </c>
      <c r="R823">
        <f t="shared" si="25"/>
        <v>2</v>
      </c>
      <c r="S823" s="112"/>
      <c r="T823" s="102"/>
    </row>
    <row r="824" spans="1:20">
      <c r="A824" s="117">
        <v>21</v>
      </c>
      <c r="B824" s="102" t="s">
        <v>261</v>
      </c>
      <c r="C824" s="206">
        <v>42472</v>
      </c>
      <c r="D824" s="102">
        <v>6.7</v>
      </c>
      <c r="E824" s="102">
        <v>13.9</v>
      </c>
      <c r="F824" s="218">
        <v>114</v>
      </c>
      <c r="G824" s="102">
        <v>8.3000000000000007</v>
      </c>
      <c r="H824" s="218">
        <v>1.7</v>
      </c>
      <c r="I824" s="102"/>
      <c r="J824" s="102">
        <v>1.8</v>
      </c>
      <c r="K824" s="218">
        <v>13</v>
      </c>
      <c r="L824" s="218">
        <v>29</v>
      </c>
      <c r="M824" s="218">
        <v>3700</v>
      </c>
      <c r="N824" s="218">
        <v>13</v>
      </c>
      <c r="O824" s="218">
        <v>3900</v>
      </c>
      <c r="P824" s="112"/>
      <c r="Q824">
        <f t="shared" si="24"/>
        <v>2016</v>
      </c>
      <c r="R824">
        <f t="shared" si="25"/>
        <v>4</v>
      </c>
      <c r="S824" s="112"/>
      <c r="T824" s="102"/>
    </row>
    <row r="825" spans="1:20">
      <c r="A825" s="117">
        <v>21</v>
      </c>
      <c r="B825" s="102" t="s">
        <v>261</v>
      </c>
      <c r="C825" s="206">
        <v>42536</v>
      </c>
      <c r="D825" s="102">
        <v>15.8</v>
      </c>
      <c r="E825" s="102">
        <v>10.9</v>
      </c>
      <c r="F825" s="218">
        <v>110</v>
      </c>
      <c r="G825" s="102">
        <v>8.3000000000000007</v>
      </c>
      <c r="H825" s="218">
        <v>0.89</v>
      </c>
      <c r="I825" s="102"/>
      <c r="J825" s="102">
        <v>1.4</v>
      </c>
      <c r="K825" s="218">
        <v>63</v>
      </c>
      <c r="L825" s="218">
        <v>78</v>
      </c>
      <c r="M825" s="218">
        <v>1000</v>
      </c>
      <c r="N825" s="218">
        <v>23</v>
      </c>
      <c r="O825" s="218">
        <v>1500</v>
      </c>
      <c r="P825" s="112"/>
      <c r="Q825">
        <f t="shared" si="24"/>
        <v>2016</v>
      </c>
      <c r="R825">
        <f t="shared" si="25"/>
        <v>6</v>
      </c>
      <c r="S825" s="112"/>
      <c r="T825" s="102"/>
    </row>
    <row r="826" spans="1:20">
      <c r="A826" s="117">
        <v>21</v>
      </c>
      <c r="B826" s="102" t="s">
        <v>261</v>
      </c>
      <c r="C826" s="206">
        <v>42592</v>
      </c>
      <c r="D826" s="102">
        <v>13.5</v>
      </c>
      <c r="E826" s="102">
        <v>11.4</v>
      </c>
      <c r="F826" s="218">
        <v>110</v>
      </c>
      <c r="G826" s="102">
        <v>8.3000000000000007</v>
      </c>
      <c r="H826" s="218">
        <v>0.74</v>
      </c>
      <c r="I826" s="102"/>
      <c r="J826" s="102" t="s">
        <v>287</v>
      </c>
      <c r="K826" s="218">
        <v>64</v>
      </c>
      <c r="L826" s="218">
        <v>80</v>
      </c>
      <c r="M826" s="218">
        <v>2000</v>
      </c>
      <c r="N826" s="218">
        <v>15</v>
      </c>
      <c r="O826" s="218">
        <v>2100</v>
      </c>
      <c r="P826" s="112"/>
      <c r="Q826">
        <f t="shared" si="24"/>
        <v>2016</v>
      </c>
      <c r="R826">
        <f t="shared" si="25"/>
        <v>8</v>
      </c>
      <c r="S826" s="112"/>
      <c r="T826" s="102"/>
    </row>
    <row r="827" spans="1:20">
      <c r="A827" s="117">
        <v>21</v>
      </c>
      <c r="B827" s="102" t="s">
        <v>261</v>
      </c>
      <c r="C827" s="206">
        <v>42661</v>
      </c>
      <c r="D827" s="102">
        <v>7.9</v>
      </c>
      <c r="E827" s="102">
        <v>10.6</v>
      </c>
      <c r="F827" s="218">
        <v>90</v>
      </c>
      <c r="G827" s="102">
        <v>8.1</v>
      </c>
      <c r="H827" s="218">
        <v>1.4</v>
      </c>
      <c r="I827" s="102"/>
      <c r="J827" s="102">
        <v>1.2</v>
      </c>
      <c r="K827" s="218">
        <v>36</v>
      </c>
      <c r="L827" s="218">
        <v>71</v>
      </c>
      <c r="M827" s="218">
        <v>1200</v>
      </c>
      <c r="N827" s="218">
        <v>15</v>
      </c>
      <c r="O827" s="218">
        <v>1500</v>
      </c>
      <c r="P827" s="112"/>
      <c r="Q827">
        <f t="shared" si="24"/>
        <v>2016</v>
      </c>
      <c r="R827">
        <f t="shared" si="25"/>
        <v>10</v>
      </c>
      <c r="S827" s="112"/>
      <c r="T827" s="102"/>
    </row>
    <row r="828" spans="1:20">
      <c r="A828" s="117">
        <v>21</v>
      </c>
      <c r="B828" s="102" t="s">
        <v>261</v>
      </c>
      <c r="C828" s="206">
        <v>42724</v>
      </c>
      <c r="D828" s="102">
        <v>4.0999999999999996</v>
      </c>
      <c r="E828" s="102">
        <v>12.9</v>
      </c>
      <c r="F828" s="218">
        <v>97</v>
      </c>
      <c r="G828" s="102">
        <v>8.1999999999999993</v>
      </c>
      <c r="H828" s="218">
        <v>2.4</v>
      </c>
      <c r="I828" s="102"/>
      <c r="J828" s="102">
        <v>1.8</v>
      </c>
      <c r="K828" s="218">
        <v>37</v>
      </c>
      <c r="L828" s="218">
        <v>46</v>
      </c>
      <c r="M828" s="218">
        <v>8500</v>
      </c>
      <c r="N828" s="218">
        <v>70</v>
      </c>
      <c r="O828" s="218">
        <v>9100</v>
      </c>
      <c r="P828" s="112"/>
      <c r="Q828">
        <f t="shared" si="24"/>
        <v>2016</v>
      </c>
      <c r="R828">
        <f t="shared" si="25"/>
        <v>12</v>
      </c>
      <c r="S828" s="112"/>
      <c r="T828" s="102"/>
    </row>
    <row r="829" spans="1:20">
      <c r="A829" s="117">
        <v>21</v>
      </c>
      <c r="B829" s="102" t="s">
        <v>261</v>
      </c>
      <c r="C829" s="124">
        <v>42773</v>
      </c>
      <c r="D829" s="193">
        <v>0.7</v>
      </c>
      <c r="E829" s="193">
        <v>14.2</v>
      </c>
      <c r="F829" s="204">
        <v>97</v>
      </c>
      <c r="G829" s="193">
        <v>8.1999999999999993</v>
      </c>
      <c r="H829" s="193">
        <v>1.8</v>
      </c>
      <c r="I829" s="193"/>
      <c r="J829" s="193">
        <v>1.7</v>
      </c>
      <c r="K829" s="189">
        <v>29</v>
      </c>
      <c r="L829" s="189">
        <v>49</v>
      </c>
      <c r="M829" s="189">
        <v>8400</v>
      </c>
      <c r="N829" s="189">
        <v>32</v>
      </c>
      <c r="O829" s="189">
        <v>8600</v>
      </c>
      <c r="P829" s="200"/>
      <c r="Q829">
        <f t="shared" si="24"/>
        <v>2017</v>
      </c>
      <c r="R829">
        <f t="shared" si="25"/>
        <v>2</v>
      </c>
      <c r="T829" s="102"/>
    </row>
    <row r="830" spans="1:20">
      <c r="A830" s="117">
        <v>21</v>
      </c>
      <c r="B830" s="102" t="s">
        <v>261</v>
      </c>
      <c r="C830" s="206">
        <v>42837</v>
      </c>
      <c r="D830" s="193">
        <v>7.5</v>
      </c>
      <c r="E830" s="193">
        <v>11.2</v>
      </c>
      <c r="F830" s="188">
        <v>95</v>
      </c>
      <c r="G830" s="193">
        <v>8.1</v>
      </c>
      <c r="H830" s="193">
        <v>1.4</v>
      </c>
      <c r="I830" s="193"/>
      <c r="J830" s="193">
        <v>1.7</v>
      </c>
      <c r="K830" s="189">
        <v>9.1999999999999993</v>
      </c>
      <c r="L830" s="189">
        <v>29</v>
      </c>
      <c r="M830" s="189">
        <v>4900</v>
      </c>
      <c r="N830" s="189">
        <v>16</v>
      </c>
      <c r="O830" s="189">
        <v>5200</v>
      </c>
      <c r="P830" s="200"/>
      <c r="Q830">
        <f t="shared" si="24"/>
        <v>2017</v>
      </c>
      <c r="R830">
        <f t="shared" si="25"/>
        <v>4</v>
      </c>
      <c r="T830" s="102"/>
    </row>
    <row r="831" spans="1:20">
      <c r="A831" s="117">
        <v>21</v>
      </c>
      <c r="B831" s="102" t="s">
        <v>261</v>
      </c>
      <c r="C831" s="125">
        <v>42901</v>
      </c>
      <c r="D831" s="193">
        <v>15.4</v>
      </c>
      <c r="E831" s="193">
        <v>9.5</v>
      </c>
      <c r="F831" s="204">
        <v>95</v>
      </c>
      <c r="G831" s="193">
        <v>8.1</v>
      </c>
      <c r="H831" s="193">
        <v>2.1</v>
      </c>
      <c r="I831" s="193"/>
      <c r="J831" s="193">
        <v>1.55</v>
      </c>
      <c r="K831" s="189">
        <v>81</v>
      </c>
      <c r="L831" s="189">
        <v>110</v>
      </c>
      <c r="M831" s="189">
        <v>1900</v>
      </c>
      <c r="N831" s="189">
        <v>47</v>
      </c>
      <c r="O831" s="189">
        <v>2700</v>
      </c>
      <c r="P831" s="200"/>
      <c r="Q831">
        <f t="shared" si="24"/>
        <v>2017</v>
      </c>
      <c r="R831">
        <f t="shared" si="25"/>
        <v>6</v>
      </c>
      <c r="T831" s="102"/>
    </row>
    <row r="832" spans="1:20">
      <c r="A832" s="117">
        <v>21</v>
      </c>
      <c r="B832" s="102" t="s">
        <v>261</v>
      </c>
      <c r="C832" s="125">
        <v>42963</v>
      </c>
      <c r="D832" s="193">
        <v>16.2</v>
      </c>
      <c r="E832" s="193">
        <v>9.5</v>
      </c>
      <c r="F832" s="204">
        <v>96</v>
      </c>
      <c r="G832" s="193">
        <v>8.1999999999999993</v>
      </c>
      <c r="H832" s="193">
        <v>1.1000000000000001</v>
      </c>
      <c r="I832" s="193"/>
      <c r="J832" s="193">
        <v>0.98</v>
      </c>
      <c r="K832" s="189">
        <v>51</v>
      </c>
      <c r="L832" s="189">
        <v>97</v>
      </c>
      <c r="M832" s="189">
        <v>1400</v>
      </c>
      <c r="N832" s="189">
        <v>17</v>
      </c>
      <c r="O832" s="189">
        <v>1900</v>
      </c>
      <c r="P832" s="200"/>
      <c r="Q832">
        <f t="shared" si="24"/>
        <v>2017</v>
      </c>
      <c r="R832">
        <f t="shared" si="25"/>
        <v>8</v>
      </c>
      <c r="T832" s="102"/>
    </row>
    <row r="833" spans="1:20">
      <c r="A833" s="117">
        <v>21</v>
      </c>
      <c r="B833" s="102" t="s">
        <v>261</v>
      </c>
      <c r="C833" s="125">
        <v>43027</v>
      </c>
      <c r="D833" s="193">
        <v>11.3</v>
      </c>
      <c r="E833" s="193">
        <v>9.8000000000000007</v>
      </c>
      <c r="F833" s="204">
        <v>90</v>
      </c>
      <c r="G833" s="193">
        <v>8.1</v>
      </c>
      <c r="H833" s="189">
        <v>3.6</v>
      </c>
      <c r="I833" s="193"/>
      <c r="J833" s="193">
        <v>1.4</v>
      </c>
      <c r="K833" s="189">
        <v>48</v>
      </c>
      <c r="L833" s="189">
        <v>71</v>
      </c>
      <c r="M833" s="189">
        <v>7300</v>
      </c>
      <c r="N833" s="189">
        <v>55</v>
      </c>
      <c r="O833" s="189">
        <v>7500</v>
      </c>
      <c r="P833" s="200"/>
      <c r="Q833">
        <f t="shared" si="24"/>
        <v>2017</v>
      </c>
      <c r="R833">
        <f t="shared" si="25"/>
        <v>10</v>
      </c>
      <c r="T833" s="102"/>
    </row>
    <row r="834" spans="1:20">
      <c r="A834" s="117">
        <v>21</v>
      </c>
      <c r="B834" s="102" t="s">
        <v>261</v>
      </c>
      <c r="C834" s="213">
        <v>43081</v>
      </c>
      <c r="D834" s="193">
        <v>3.1</v>
      </c>
      <c r="E834" s="193">
        <v>12.2</v>
      </c>
      <c r="F834" s="204">
        <v>94</v>
      </c>
      <c r="G834" s="193">
        <v>7.9</v>
      </c>
      <c r="H834" s="189">
        <v>14</v>
      </c>
      <c r="I834" s="193"/>
      <c r="J834" s="193">
        <v>1.3</v>
      </c>
      <c r="K834" s="189">
        <v>50</v>
      </c>
      <c r="L834" s="189">
        <v>77</v>
      </c>
      <c r="M834" s="189">
        <v>6200</v>
      </c>
      <c r="N834" s="189">
        <v>38</v>
      </c>
      <c r="O834" s="189">
        <v>7100</v>
      </c>
      <c r="P834" s="200"/>
      <c r="Q834">
        <f t="shared" si="24"/>
        <v>2017</v>
      </c>
      <c r="R834">
        <f t="shared" si="25"/>
        <v>12</v>
      </c>
      <c r="T834" s="102"/>
    </row>
    <row r="835" spans="1:20">
      <c r="A835" s="117">
        <v>21</v>
      </c>
      <c r="B835" s="102" t="s">
        <v>261</v>
      </c>
      <c r="C835" s="206">
        <v>43151</v>
      </c>
      <c r="D835" s="102">
        <v>2.5</v>
      </c>
      <c r="E835" s="102">
        <v>12.3</v>
      </c>
      <c r="F835" s="218">
        <v>90</v>
      </c>
      <c r="G835" s="102">
        <v>8</v>
      </c>
      <c r="H835" s="218">
        <v>11</v>
      </c>
      <c r="I835" s="102"/>
      <c r="J835" s="102">
        <v>2.4</v>
      </c>
      <c r="K835" s="218">
        <v>33</v>
      </c>
      <c r="L835" s="218">
        <v>65</v>
      </c>
      <c r="M835" s="218">
        <v>6400</v>
      </c>
      <c r="N835" s="218">
        <v>65</v>
      </c>
      <c r="O835" s="218">
        <v>6300</v>
      </c>
      <c r="P835" s="112"/>
      <c r="Q835">
        <f t="shared" si="24"/>
        <v>2018</v>
      </c>
      <c r="R835">
        <f t="shared" si="25"/>
        <v>2</v>
      </c>
      <c r="S835" s="112"/>
      <c r="T835" s="102"/>
    </row>
    <row r="836" spans="1:20">
      <c r="A836" s="117">
        <v>21</v>
      </c>
      <c r="B836" s="102" t="s">
        <v>261</v>
      </c>
      <c r="C836" s="206">
        <v>43200</v>
      </c>
      <c r="D836" s="102">
        <v>9</v>
      </c>
      <c r="E836" s="102">
        <v>12.6</v>
      </c>
      <c r="F836" s="218">
        <v>109</v>
      </c>
      <c r="G836" s="102">
        <v>8.1199999999999992</v>
      </c>
      <c r="H836" s="218">
        <v>3.6</v>
      </c>
      <c r="I836" s="102"/>
      <c r="J836" s="102">
        <v>3.9</v>
      </c>
      <c r="K836" s="218">
        <v>21</v>
      </c>
      <c r="L836" s="218">
        <v>44</v>
      </c>
      <c r="M836" s="218">
        <v>4500</v>
      </c>
      <c r="N836" s="218">
        <v>21</v>
      </c>
      <c r="O836" s="218">
        <v>4600</v>
      </c>
      <c r="P836" s="112"/>
      <c r="Q836">
        <f t="shared" si="24"/>
        <v>2018</v>
      </c>
      <c r="R836">
        <f t="shared" si="25"/>
        <v>4</v>
      </c>
      <c r="S836" s="112"/>
      <c r="T836" s="102"/>
    </row>
    <row r="837" spans="1:20">
      <c r="A837" s="117">
        <v>21</v>
      </c>
      <c r="B837" s="102" t="s">
        <v>261</v>
      </c>
      <c r="C837" s="206">
        <v>43270</v>
      </c>
      <c r="D837" s="102">
        <v>17.8</v>
      </c>
      <c r="E837" s="102">
        <v>9.6</v>
      </c>
      <c r="F837" s="218">
        <v>101</v>
      </c>
      <c r="G837" s="102">
        <v>8.01</v>
      </c>
      <c r="H837" s="218">
        <v>2.4</v>
      </c>
      <c r="I837" s="102"/>
      <c r="J837" s="102">
        <v>2.5</v>
      </c>
      <c r="K837" s="218">
        <v>58</v>
      </c>
      <c r="L837" s="218">
        <v>97</v>
      </c>
      <c r="M837" s="218">
        <v>1700</v>
      </c>
      <c r="N837" s="218">
        <v>26</v>
      </c>
      <c r="O837" s="218">
        <v>2400</v>
      </c>
      <c r="P837" s="112"/>
      <c r="Q837">
        <f t="shared" si="24"/>
        <v>2018</v>
      </c>
      <c r="R837">
        <f t="shared" si="25"/>
        <v>6</v>
      </c>
      <c r="S837" s="112"/>
      <c r="T837" s="102"/>
    </row>
    <row r="838" spans="1:20">
      <c r="A838" s="117">
        <v>21</v>
      </c>
      <c r="B838" s="102" t="s">
        <v>261</v>
      </c>
      <c r="C838" s="206">
        <v>43333</v>
      </c>
      <c r="D838" s="102">
        <v>17.2</v>
      </c>
      <c r="E838" s="102">
        <v>9.1999999999999993</v>
      </c>
      <c r="F838" s="218">
        <v>96</v>
      </c>
      <c r="G838" s="102">
        <v>7.94</v>
      </c>
      <c r="H838" s="218">
        <v>1.1000000000000001</v>
      </c>
      <c r="I838" s="102"/>
      <c r="J838" s="102">
        <v>1.9</v>
      </c>
      <c r="K838" s="218">
        <v>67</v>
      </c>
      <c r="L838" s="218">
        <v>100</v>
      </c>
      <c r="M838" s="218">
        <v>220</v>
      </c>
      <c r="N838" s="218">
        <v>21</v>
      </c>
      <c r="O838" s="218">
        <v>750</v>
      </c>
      <c r="P838" s="112"/>
      <c r="Q838">
        <f t="shared" si="24"/>
        <v>2018</v>
      </c>
      <c r="R838">
        <f t="shared" si="25"/>
        <v>8</v>
      </c>
      <c r="S838" s="112"/>
      <c r="T838" s="102"/>
    </row>
    <row r="839" spans="1:20">
      <c r="A839" s="117">
        <v>21</v>
      </c>
      <c r="B839" s="102" t="s">
        <v>261</v>
      </c>
      <c r="C839" s="206">
        <v>43389</v>
      </c>
      <c r="D839" s="102">
        <v>12.1</v>
      </c>
      <c r="E839" s="102">
        <v>11</v>
      </c>
      <c r="F839" s="218">
        <v>103</v>
      </c>
      <c r="G839" s="102">
        <v>7.84</v>
      </c>
      <c r="H839" s="218">
        <v>0.69</v>
      </c>
      <c r="I839" s="102"/>
      <c r="J839" s="102">
        <v>2</v>
      </c>
      <c r="K839" s="218">
        <v>20</v>
      </c>
      <c r="L839" s="218">
        <v>65</v>
      </c>
      <c r="M839" s="218">
        <v>550</v>
      </c>
      <c r="N839" s="218" t="s">
        <v>148</v>
      </c>
      <c r="O839" s="218">
        <v>850</v>
      </c>
      <c r="P839" s="112"/>
      <c r="Q839">
        <f t="shared" ref="Q839:Q902" si="26">YEAR(C839)</f>
        <v>2018</v>
      </c>
      <c r="R839">
        <f t="shared" ref="R839:R902" si="27">MONTH(C839)</f>
        <v>10</v>
      </c>
      <c r="S839" s="112"/>
      <c r="T839" s="102"/>
    </row>
    <row r="840" spans="1:20">
      <c r="A840" s="117">
        <v>21</v>
      </c>
      <c r="B840" s="102" t="s">
        <v>261</v>
      </c>
      <c r="C840" s="206">
        <v>43447</v>
      </c>
      <c r="D840" s="102">
        <v>2.8</v>
      </c>
      <c r="E840" s="102">
        <v>12.6</v>
      </c>
      <c r="F840" s="218">
        <v>93</v>
      </c>
      <c r="G840" s="102">
        <v>7.93</v>
      </c>
      <c r="H840" s="218">
        <v>3.9</v>
      </c>
      <c r="I840" s="102"/>
      <c r="J840" s="102">
        <v>2.4</v>
      </c>
      <c r="K840" s="218">
        <v>21</v>
      </c>
      <c r="L840" s="218">
        <v>50</v>
      </c>
      <c r="M840" s="218">
        <v>14000</v>
      </c>
      <c r="N840" s="218">
        <v>70</v>
      </c>
      <c r="O840" s="218">
        <v>14000</v>
      </c>
      <c r="P840" s="112"/>
      <c r="Q840">
        <f t="shared" si="26"/>
        <v>2018</v>
      </c>
      <c r="R840">
        <f t="shared" si="27"/>
        <v>12</v>
      </c>
      <c r="S840" s="112"/>
      <c r="T840" s="102"/>
    </row>
    <row r="841" spans="1:20">
      <c r="A841" s="117">
        <v>21</v>
      </c>
      <c r="B841" s="102" t="s">
        <v>261</v>
      </c>
      <c r="C841" s="206">
        <v>43515</v>
      </c>
      <c r="D841" s="102">
        <v>5.6</v>
      </c>
      <c r="E841" s="102">
        <v>12.6</v>
      </c>
      <c r="F841" s="218">
        <v>100</v>
      </c>
      <c r="G841" s="102">
        <v>8.07</v>
      </c>
      <c r="H841" s="218">
        <v>2.9</v>
      </c>
      <c r="I841" s="102"/>
      <c r="J841" s="102">
        <v>4.7</v>
      </c>
      <c r="K841" s="218">
        <v>28</v>
      </c>
      <c r="L841" s="218">
        <v>45</v>
      </c>
      <c r="M841" s="218">
        <v>11000</v>
      </c>
      <c r="N841" s="218">
        <v>22</v>
      </c>
      <c r="O841" s="218">
        <v>11000</v>
      </c>
      <c r="P841" s="112"/>
      <c r="Q841">
        <f t="shared" si="26"/>
        <v>2019</v>
      </c>
      <c r="R841">
        <f t="shared" si="27"/>
        <v>2</v>
      </c>
      <c r="S841" s="112"/>
      <c r="T841" s="102"/>
    </row>
    <row r="842" spans="1:20">
      <c r="A842" s="117">
        <v>21</v>
      </c>
      <c r="B842" s="102" t="s">
        <v>261</v>
      </c>
      <c r="C842" s="206">
        <v>43571</v>
      </c>
      <c r="D842" s="102">
        <v>6</v>
      </c>
      <c r="E842" s="102">
        <v>14.6</v>
      </c>
      <c r="F842" s="218">
        <v>118</v>
      </c>
      <c r="G842" s="102">
        <v>8.06</v>
      </c>
      <c r="H842" s="218">
        <v>1.4</v>
      </c>
      <c r="I842" s="102"/>
      <c r="J842" s="102">
        <v>3.5</v>
      </c>
      <c r="K842" s="218">
        <v>6.3</v>
      </c>
      <c r="L842" s="218">
        <v>19</v>
      </c>
      <c r="M842" s="218">
        <v>4600</v>
      </c>
      <c r="N842" s="218">
        <v>16</v>
      </c>
      <c r="O842" s="218">
        <v>4900</v>
      </c>
      <c r="P842" s="112"/>
      <c r="Q842">
        <f t="shared" si="26"/>
        <v>2019</v>
      </c>
      <c r="R842">
        <f t="shared" si="27"/>
        <v>4</v>
      </c>
      <c r="S842" s="112"/>
      <c r="T842" s="102"/>
    </row>
    <row r="843" spans="1:20">
      <c r="A843" s="117">
        <v>21</v>
      </c>
      <c r="B843" s="102" t="s">
        <v>261</v>
      </c>
      <c r="C843" s="206">
        <v>43635</v>
      </c>
      <c r="D843" s="102">
        <v>19.100000000000001</v>
      </c>
      <c r="E843" s="102">
        <v>9.1999999999999993</v>
      </c>
      <c r="F843" s="218">
        <v>99</v>
      </c>
      <c r="G843" s="102">
        <v>7.99</v>
      </c>
      <c r="H843" s="218">
        <v>1.4</v>
      </c>
      <c r="I843" s="102"/>
      <c r="J843" s="102">
        <v>1.9000000000000004</v>
      </c>
      <c r="K843" s="218">
        <v>70</v>
      </c>
      <c r="L843" s="218">
        <v>110</v>
      </c>
      <c r="M843" s="218">
        <v>1300</v>
      </c>
      <c r="N843" s="218">
        <v>34</v>
      </c>
      <c r="O843" s="218">
        <v>1800</v>
      </c>
      <c r="P843" s="112"/>
      <c r="Q843">
        <f t="shared" si="26"/>
        <v>2019</v>
      </c>
      <c r="R843">
        <f t="shared" si="27"/>
        <v>6</v>
      </c>
      <c r="S843" s="112"/>
      <c r="T843" s="102"/>
    </row>
    <row r="844" spans="1:20">
      <c r="A844" s="117">
        <v>21</v>
      </c>
      <c r="B844" s="102" t="s">
        <v>261</v>
      </c>
      <c r="C844" s="206">
        <v>43698</v>
      </c>
      <c r="D844" s="102">
        <v>15.4</v>
      </c>
      <c r="E844" s="102">
        <v>10.1</v>
      </c>
      <c r="F844" s="218">
        <v>101</v>
      </c>
      <c r="G844" s="102">
        <v>8.11</v>
      </c>
      <c r="H844" s="218">
        <v>1</v>
      </c>
      <c r="I844" s="102"/>
      <c r="J844" s="102">
        <v>5.3999999999999995</v>
      </c>
      <c r="K844" s="218">
        <v>89</v>
      </c>
      <c r="L844" s="218">
        <v>110</v>
      </c>
      <c r="M844" s="218">
        <v>650</v>
      </c>
      <c r="N844" s="218">
        <v>16</v>
      </c>
      <c r="O844" s="218">
        <v>1000</v>
      </c>
      <c r="P844" s="112"/>
      <c r="Q844">
        <f t="shared" si="26"/>
        <v>2019</v>
      </c>
      <c r="R844">
        <f t="shared" si="27"/>
        <v>8</v>
      </c>
      <c r="S844" s="112"/>
      <c r="T844" s="102"/>
    </row>
    <row r="845" spans="1:20">
      <c r="A845" s="117">
        <v>21</v>
      </c>
      <c r="B845" s="102" t="s">
        <v>261</v>
      </c>
      <c r="C845" s="206">
        <v>43748</v>
      </c>
      <c r="D845" s="102">
        <v>9.1999999999999993</v>
      </c>
      <c r="E845" s="102">
        <v>10.9</v>
      </c>
      <c r="F845" s="218">
        <v>95</v>
      </c>
      <c r="G845" s="102">
        <v>8.06</v>
      </c>
      <c r="H845" s="218">
        <v>1.1000000000000001</v>
      </c>
      <c r="I845" s="102"/>
      <c r="J845" s="102">
        <v>1.9</v>
      </c>
      <c r="K845" s="218">
        <v>49</v>
      </c>
      <c r="L845" s="218">
        <v>53</v>
      </c>
      <c r="M845" s="218">
        <v>2200</v>
      </c>
      <c r="N845" s="218" t="s">
        <v>148</v>
      </c>
      <c r="O845" s="218">
        <v>2800</v>
      </c>
      <c r="P845" s="112"/>
      <c r="Q845">
        <f t="shared" si="26"/>
        <v>2019</v>
      </c>
      <c r="R845">
        <f t="shared" si="27"/>
        <v>10</v>
      </c>
      <c r="S845" s="112"/>
      <c r="T845" s="102"/>
    </row>
    <row r="846" spans="1:20">
      <c r="A846" s="117">
        <v>21</v>
      </c>
      <c r="B846" s="102" t="s">
        <v>261</v>
      </c>
      <c r="C846" s="206">
        <v>43812</v>
      </c>
      <c r="D846" s="102">
        <v>5.0999999999999996</v>
      </c>
      <c r="E846" s="102">
        <v>12</v>
      </c>
      <c r="F846" s="218">
        <v>94</v>
      </c>
      <c r="G846" s="102">
        <v>7.77</v>
      </c>
      <c r="H846" s="218">
        <v>13</v>
      </c>
      <c r="I846" s="102"/>
      <c r="J846" s="102">
        <v>2.4</v>
      </c>
      <c r="K846" s="218">
        <v>51</v>
      </c>
      <c r="L846" s="218">
        <v>99</v>
      </c>
      <c r="M846" s="218">
        <v>12000</v>
      </c>
      <c r="N846" s="218">
        <v>44</v>
      </c>
      <c r="O846" s="218">
        <v>13000</v>
      </c>
      <c r="P846" s="112"/>
      <c r="Q846">
        <f t="shared" si="26"/>
        <v>2019</v>
      </c>
      <c r="R846">
        <f t="shared" si="27"/>
        <v>12</v>
      </c>
      <c r="S846" s="112"/>
      <c r="T846" s="102"/>
    </row>
    <row r="847" spans="1:20">
      <c r="A847" s="117">
        <v>23</v>
      </c>
      <c r="B847" s="122" t="s">
        <v>297</v>
      </c>
      <c r="C847" s="206">
        <v>40225</v>
      </c>
      <c r="D847" s="102">
        <v>1.4</v>
      </c>
      <c r="E847" s="102">
        <v>8.8000000000000007</v>
      </c>
      <c r="F847" s="218">
        <v>63</v>
      </c>
      <c r="G847" s="102">
        <v>7.87</v>
      </c>
      <c r="H847" s="218">
        <v>8.3000000000000007</v>
      </c>
      <c r="I847" s="102"/>
      <c r="J847" s="102">
        <v>5.0999999999999996</v>
      </c>
      <c r="K847" s="218">
        <v>25</v>
      </c>
      <c r="L847" s="218">
        <v>57</v>
      </c>
      <c r="M847" s="218">
        <v>3900</v>
      </c>
      <c r="N847" s="218">
        <v>190</v>
      </c>
      <c r="O847" s="218">
        <v>5100</v>
      </c>
      <c r="P847" s="112"/>
      <c r="Q847">
        <f t="shared" si="26"/>
        <v>2010</v>
      </c>
      <c r="R847">
        <f t="shared" si="27"/>
        <v>2</v>
      </c>
      <c r="S847" s="112"/>
      <c r="T847" s="102"/>
    </row>
    <row r="848" spans="1:20">
      <c r="A848" s="117">
        <v>23</v>
      </c>
      <c r="B848" s="122" t="s">
        <v>297</v>
      </c>
      <c r="C848" s="206">
        <v>40290</v>
      </c>
      <c r="D848" s="102">
        <v>6.3</v>
      </c>
      <c r="E848" s="102">
        <v>8.9</v>
      </c>
      <c r="F848" s="218">
        <v>72</v>
      </c>
      <c r="G848" s="102">
        <v>7.98</v>
      </c>
      <c r="H848" s="218">
        <v>2.2000000000000002</v>
      </c>
      <c r="I848" s="102"/>
      <c r="J848" s="102">
        <v>5.4</v>
      </c>
      <c r="K848" s="218">
        <v>5</v>
      </c>
      <c r="L848" s="218">
        <v>18</v>
      </c>
      <c r="M848" s="218">
        <v>3700</v>
      </c>
      <c r="N848" s="218">
        <v>660</v>
      </c>
      <c r="O848" s="218">
        <v>5000</v>
      </c>
      <c r="P848" s="112"/>
      <c r="Q848">
        <f t="shared" si="26"/>
        <v>2010</v>
      </c>
      <c r="R848">
        <f t="shared" si="27"/>
        <v>4</v>
      </c>
      <c r="S848" s="112"/>
      <c r="T848" s="102"/>
    </row>
    <row r="849" spans="1:20">
      <c r="A849" s="117">
        <v>23</v>
      </c>
      <c r="B849" s="122" t="s">
        <v>297</v>
      </c>
      <c r="C849" s="206">
        <v>40346</v>
      </c>
      <c r="D849" s="102">
        <v>15.4</v>
      </c>
      <c r="E849" s="102">
        <v>9.8000000000000007</v>
      </c>
      <c r="F849" s="218">
        <v>98</v>
      </c>
      <c r="G849" s="102">
        <v>8.02</v>
      </c>
      <c r="H849" s="218">
        <v>3.1</v>
      </c>
      <c r="I849" s="102"/>
      <c r="J849" s="102">
        <v>2.4</v>
      </c>
      <c r="K849" s="218">
        <v>36</v>
      </c>
      <c r="L849" s="218">
        <v>53</v>
      </c>
      <c r="M849" s="218">
        <v>3600</v>
      </c>
      <c r="N849" s="218">
        <v>190</v>
      </c>
      <c r="O849" s="218">
        <v>4300</v>
      </c>
      <c r="P849" s="112"/>
      <c r="Q849">
        <f t="shared" si="26"/>
        <v>2010</v>
      </c>
      <c r="R849">
        <f t="shared" si="27"/>
        <v>6</v>
      </c>
      <c r="S849" s="112"/>
      <c r="T849" s="102"/>
    </row>
    <row r="850" spans="1:20">
      <c r="A850" s="117">
        <v>23</v>
      </c>
      <c r="B850" s="122" t="s">
        <v>297</v>
      </c>
      <c r="C850" s="206">
        <v>40416</v>
      </c>
      <c r="D850" s="102">
        <v>15.2</v>
      </c>
      <c r="E850" s="102">
        <v>8.92</v>
      </c>
      <c r="F850" s="218">
        <v>89</v>
      </c>
      <c r="G850" s="102">
        <v>7.96</v>
      </c>
      <c r="H850" s="218">
        <v>5.4</v>
      </c>
      <c r="I850" s="102"/>
      <c r="J850" s="102">
        <v>1.5</v>
      </c>
      <c r="K850" s="218">
        <v>39</v>
      </c>
      <c r="L850" s="218">
        <v>59</v>
      </c>
      <c r="M850" s="218">
        <v>7100</v>
      </c>
      <c r="N850" s="218">
        <v>65</v>
      </c>
      <c r="O850" s="218">
        <v>7500</v>
      </c>
      <c r="P850" s="112"/>
      <c r="Q850">
        <f t="shared" si="26"/>
        <v>2010</v>
      </c>
      <c r="R850">
        <f t="shared" si="27"/>
        <v>8</v>
      </c>
      <c r="S850" s="112"/>
      <c r="T850" s="102"/>
    </row>
    <row r="851" spans="1:20">
      <c r="A851" s="117">
        <v>23</v>
      </c>
      <c r="B851" s="122" t="s">
        <v>297</v>
      </c>
      <c r="C851" s="206">
        <v>40471</v>
      </c>
      <c r="D851" s="102">
        <v>8.5</v>
      </c>
      <c r="E851" s="102">
        <v>10.199999999999999</v>
      </c>
      <c r="F851" s="218">
        <v>87</v>
      </c>
      <c r="G851" s="102">
        <v>7.91</v>
      </c>
      <c r="H851" s="218">
        <v>14</v>
      </c>
      <c r="I851" s="102"/>
      <c r="J851" s="102">
        <v>2.4</v>
      </c>
      <c r="K851" s="218">
        <v>24</v>
      </c>
      <c r="L851" s="218">
        <v>61</v>
      </c>
      <c r="M851" s="218">
        <v>4200</v>
      </c>
      <c r="N851" s="218">
        <v>22</v>
      </c>
      <c r="O851" s="218">
        <v>4800</v>
      </c>
      <c r="P851" s="112"/>
      <c r="Q851">
        <f t="shared" si="26"/>
        <v>2010</v>
      </c>
      <c r="R851">
        <f t="shared" si="27"/>
        <v>10</v>
      </c>
      <c r="S851" s="112"/>
      <c r="T851" s="102"/>
    </row>
    <row r="852" spans="1:20">
      <c r="A852" s="117">
        <v>23</v>
      </c>
      <c r="B852" s="122" t="s">
        <v>297</v>
      </c>
      <c r="C852" s="206">
        <v>40526</v>
      </c>
      <c r="D852" s="102">
        <v>0.7</v>
      </c>
      <c r="E852" s="102">
        <v>13.7</v>
      </c>
      <c r="F852" s="218">
        <v>95</v>
      </c>
      <c r="G852" s="102">
        <v>7.85</v>
      </c>
      <c r="H852" s="218">
        <v>8.4</v>
      </c>
      <c r="I852" s="102"/>
      <c r="J852" s="102">
        <v>4.5999999999999996</v>
      </c>
      <c r="K852" s="218">
        <v>30</v>
      </c>
      <c r="L852" s="218">
        <v>47</v>
      </c>
      <c r="M852" s="218">
        <v>8500</v>
      </c>
      <c r="N852" s="218">
        <v>85</v>
      </c>
      <c r="O852" s="218">
        <v>9500</v>
      </c>
      <c r="P852" s="112"/>
      <c r="Q852">
        <f t="shared" si="26"/>
        <v>2010</v>
      </c>
      <c r="R852">
        <f t="shared" si="27"/>
        <v>12</v>
      </c>
      <c r="S852" s="112"/>
      <c r="T852" s="102"/>
    </row>
    <row r="853" spans="1:20">
      <c r="A853" s="117">
        <v>23</v>
      </c>
      <c r="B853" s="122" t="s">
        <v>297</v>
      </c>
      <c r="C853" s="206">
        <v>40589</v>
      </c>
      <c r="D853" s="102">
        <v>0.3</v>
      </c>
      <c r="E853" s="102">
        <v>13.6</v>
      </c>
      <c r="F853" s="218">
        <v>94</v>
      </c>
      <c r="G853" s="102">
        <v>7.93</v>
      </c>
      <c r="H853" s="218">
        <v>11</v>
      </c>
      <c r="I853" s="102"/>
      <c r="J853" s="102">
        <v>4.2</v>
      </c>
      <c r="K853" s="218">
        <v>23</v>
      </c>
      <c r="L853" s="218">
        <v>41</v>
      </c>
      <c r="M853" s="218">
        <v>4500</v>
      </c>
      <c r="N853" s="218">
        <v>520</v>
      </c>
      <c r="O853" s="218">
        <v>5900</v>
      </c>
      <c r="P853" s="112"/>
      <c r="Q853">
        <f t="shared" si="26"/>
        <v>2011</v>
      </c>
      <c r="R853">
        <f t="shared" si="27"/>
        <v>2</v>
      </c>
      <c r="S853" s="112"/>
      <c r="T853" s="102"/>
    </row>
    <row r="854" spans="1:20">
      <c r="A854" s="117">
        <v>23</v>
      </c>
      <c r="B854" s="122" t="s">
        <v>297</v>
      </c>
      <c r="C854" s="206">
        <v>40646</v>
      </c>
      <c r="D854" s="102">
        <v>6.9</v>
      </c>
      <c r="E854" s="102">
        <v>12.1</v>
      </c>
      <c r="F854" s="218">
        <v>100</v>
      </c>
      <c r="G854" s="102">
        <v>8</v>
      </c>
      <c r="H854" s="218">
        <v>3.6</v>
      </c>
      <c r="I854" s="102"/>
      <c r="J854" s="102">
        <v>3.3</v>
      </c>
      <c r="K854" s="218">
        <v>12</v>
      </c>
      <c r="L854" s="218">
        <v>40</v>
      </c>
      <c r="M854" s="218">
        <v>4700</v>
      </c>
      <c r="N854" s="218">
        <v>120</v>
      </c>
      <c r="O854" s="218">
        <v>5500</v>
      </c>
      <c r="P854" s="112"/>
      <c r="Q854">
        <f t="shared" si="26"/>
        <v>2011</v>
      </c>
      <c r="R854">
        <f t="shared" si="27"/>
        <v>4</v>
      </c>
      <c r="S854" s="112"/>
      <c r="T854" s="102"/>
    </row>
    <row r="855" spans="1:20">
      <c r="A855" s="117">
        <v>23</v>
      </c>
      <c r="B855" s="122" t="s">
        <v>297</v>
      </c>
      <c r="C855" s="206">
        <v>40710</v>
      </c>
      <c r="D855" s="102">
        <v>18.2</v>
      </c>
      <c r="E855" s="102">
        <v>9.4</v>
      </c>
      <c r="F855" s="218">
        <v>100</v>
      </c>
      <c r="G855" s="102">
        <v>7.92</v>
      </c>
      <c r="H855" s="218">
        <v>4.7</v>
      </c>
      <c r="I855" s="102"/>
      <c r="J855" s="102">
        <v>2.1</v>
      </c>
      <c r="K855" s="218">
        <v>29</v>
      </c>
      <c r="L855" s="218">
        <v>50</v>
      </c>
      <c r="M855" s="218">
        <v>3800</v>
      </c>
      <c r="N855" s="218">
        <v>140</v>
      </c>
      <c r="O855" s="218">
        <v>5000</v>
      </c>
      <c r="P855" s="112"/>
      <c r="Q855">
        <f t="shared" si="26"/>
        <v>2011</v>
      </c>
      <c r="R855">
        <f t="shared" si="27"/>
        <v>6</v>
      </c>
      <c r="S855" s="112"/>
      <c r="T855" s="102"/>
    </row>
    <row r="856" spans="1:20">
      <c r="A856" s="117">
        <v>23</v>
      </c>
      <c r="B856" s="122" t="s">
        <v>297</v>
      </c>
      <c r="C856" s="206">
        <v>40778</v>
      </c>
      <c r="D856" s="102">
        <v>15</v>
      </c>
      <c r="E856" s="102">
        <v>9.3000000000000007</v>
      </c>
      <c r="F856" s="218">
        <v>93</v>
      </c>
      <c r="G856" s="102">
        <v>7.98</v>
      </c>
      <c r="H856" s="218">
        <v>5.4</v>
      </c>
      <c r="I856" s="102"/>
      <c r="J856" s="102">
        <v>1.4</v>
      </c>
      <c r="K856" s="218">
        <v>27</v>
      </c>
      <c r="L856" s="218">
        <v>57</v>
      </c>
      <c r="M856" s="218">
        <v>4300</v>
      </c>
      <c r="N856" s="218">
        <v>30</v>
      </c>
      <c r="O856" s="218">
        <v>5000</v>
      </c>
      <c r="P856" s="112"/>
      <c r="Q856">
        <f t="shared" si="26"/>
        <v>2011</v>
      </c>
      <c r="R856">
        <f t="shared" si="27"/>
        <v>8</v>
      </c>
      <c r="S856" s="112"/>
      <c r="T856" s="102"/>
    </row>
    <row r="857" spans="1:20">
      <c r="A857" s="117">
        <v>23</v>
      </c>
      <c r="B857" s="122" t="s">
        <v>297</v>
      </c>
      <c r="C857" s="206">
        <v>40834</v>
      </c>
      <c r="D857" s="102">
        <v>9.1</v>
      </c>
      <c r="E857" s="102">
        <v>10.7</v>
      </c>
      <c r="F857" s="218">
        <v>93</v>
      </c>
      <c r="G857" s="102">
        <v>7.97</v>
      </c>
      <c r="H857" s="218">
        <v>3.9</v>
      </c>
      <c r="I857" s="102"/>
      <c r="J857" s="102">
        <v>1.05</v>
      </c>
      <c r="K857" s="218">
        <v>19</v>
      </c>
      <c r="L857" s="218">
        <v>31</v>
      </c>
      <c r="M857" s="218">
        <v>4700</v>
      </c>
      <c r="N857" s="218">
        <v>27</v>
      </c>
      <c r="O857" s="218">
        <v>5100</v>
      </c>
      <c r="P857" s="112"/>
      <c r="Q857">
        <f t="shared" si="26"/>
        <v>2011</v>
      </c>
      <c r="R857">
        <f t="shared" si="27"/>
        <v>10</v>
      </c>
      <c r="S857" s="112"/>
      <c r="T857" s="102"/>
    </row>
    <row r="858" spans="1:20">
      <c r="A858" s="117">
        <v>23</v>
      </c>
      <c r="B858" s="122" t="s">
        <v>297</v>
      </c>
      <c r="C858" s="206">
        <v>40896</v>
      </c>
      <c r="D858" s="102">
        <v>3.9</v>
      </c>
      <c r="E858" s="102">
        <v>12.5</v>
      </c>
      <c r="F858" s="218">
        <v>95</v>
      </c>
      <c r="G858" s="102">
        <v>7.86</v>
      </c>
      <c r="H858" s="218">
        <v>11</v>
      </c>
      <c r="I858" s="102"/>
      <c r="J858" s="102">
        <v>1.6</v>
      </c>
      <c r="K858" s="218">
        <v>17</v>
      </c>
      <c r="L858" s="218">
        <v>43</v>
      </c>
      <c r="M858" s="218">
        <v>6000</v>
      </c>
      <c r="N858" s="218">
        <v>45</v>
      </c>
      <c r="O858" s="218">
        <v>6800</v>
      </c>
      <c r="P858" s="112"/>
      <c r="Q858">
        <f t="shared" si="26"/>
        <v>2011</v>
      </c>
      <c r="R858">
        <f t="shared" si="27"/>
        <v>12</v>
      </c>
      <c r="S858" s="112"/>
      <c r="T858" s="102"/>
    </row>
    <row r="859" spans="1:20">
      <c r="A859" s="117">
        <v>23</v>
      </c>
      <c r="B859" s="122" t="s">
        <v>297</v>
      </c>
      <c r="C859" s="216">
        <v>40949</v>
      </c>
      <c r="D859">
        <v>0.5</v>
      </c>
      <c r="E859" s="116">
        <v>13.8</v>
      </c>
      <c r="F859" s="101">
        <v>95</v>
      </c>
      <c r="G859">
        <v>8</v>
      </c>
      <c r="H859" s="116">
        <v>4.0999999999999996</v>
      </c>
      <c r="J859" t="s">
        <v>287</v>
      </c>
      <c r="K859">
        <v>21</v>
      </c>
      <c r="L859">
        <v>54</v>
      </c>
      <c r="M859">
        <v>4900</v>
      </c>
      <c r="N859">
        <v>1300</v>
      </c>
      <c r="O859">
        <v>6200</v>
      </c>
      <c r="Q859">
        <f t="shared" si="26"/>
        <v>2012</v>
      </c>
      <c r="R859">
        <f t="shared" si="27"/>
        <v>2</v>
      </c>
    </row>
    <row r="860" spans="1:20">
      <c r="A860" s="117">
        <v>23</v>
      </c>
      <c r="B860" s="122" t="s">
        <v>297</v>
      </c>
      <c r="C860" s="216">
        <v>41012</v>
      </c>
      <c r="D860">
        <v>8.1</v>
      </c>
      <c r="E860" s="116">
        <v>13</v>
      </c>
      <c r="F860" s="101">
        <v>113</v>
      </c>
      <c r="G860">
        <v>8.1999999999999993</v>
      </c>
      <c r="H860" s="116">
        <v>1.7</v>
      </c>
      <c r="J860">
        <v>2.2000000000000002</v>
      </c>
      <c r="K860">
        <v>12</v>
      </c>
      <c r="L860">
        <v>23</v>
      </c>
      <c r="M860">
        <v>3600</v>
      </c>
      <c r="N860">
        <v>20</v>
      </c>
      <c r="O860">
        <v>3900</v>
      </c>
      <c r="Q860">
        <f t="shared" si="26"/>
        <v>2012</v>
      </c>
      <c r="R860">
        <f t="shared" si="27"/>
        <v>4</v>
      </c>
    </row>
    <row r="861" spans="1:20">
      <c r="A861" s="117">
        <v>23</v>
      </c>
      <c r="B861" s="122" t="s">
        <v>297</v>
      </c>
      <c r="C861" s="216">
        <v>41078</v>
      </c>
      <c r="D861">
        <v>18.5</v>
      </c>
      <c r="E861" s="116">
        <v>9.1999999999999993</v>
      </c>
      <c r="F861" s="101">
        <v>98</v>
      </c>
      <c r="G861">
        <v>8</v>
      </c>
      <c r="H861" s="116">
        <v>5.7</v>
      </c>
      <c r="J861">
        <v>2.6</v>
      </c>
      <c r="K861">
        <v>34</v>
      </c>
      <c r="L861">
        <v>58</v>
      </c>
      <c r="M861">
        <v>9300</v>
      </c>
      <c r="N861">
        <v>190</v>
      </c>
      <c r="O861">
        <v>11000</v>
      </c>
      <c r="Q861">
        <f t="shared" si="26"/>
        <v>2012</v>
      </c>
      <c r="R861">
        <f t="shared" si="27"/>
        <v>6</v>
      </c>
    </row>
    <row r="862" spans="1:20">
      <c r="A862" s="117">
        <v>23</v>
      </c>
      <c r="B862" s="122" t="s">
        <v>297</v>
      </c>
      <c r="C862" s="216">
        <v>41136</v>
      </c>
      <c r="D862">
        <v>17.100000000000001</v>
      </c>
      <c r="E862" s="116">
        <v>10.8</v>
      </c>
      <c r="F862" s="101">
        <v>111</v>
      </c>
      <c r="G862">
        <v>7.9</v>
      </c>
      <c r="H862" s="116">
        <v>6.5</v>
      </c>
      <c r="J862">
        <v>2</v>
      </c>
      <c r="K862">
        <v>34</v>
      </c>
      <c r="L862">
        <v>85</v>
      </c>
      <c r="M862">
        <v>5300</v>
      </c>
      <c r="N862">
        <v>130</v>
      </c>
      <c r="O862">
        <v>6300</v>
      </c>
      <c r="Q862">
        <f t="shared" si="26"/>
        <v>2012</v>
      </c>
      <c r="R862">
        <f t="shared" si="27"/>
        <v>8</v>
      </c>
    </row>
    <row r="863" spans="1:20">
      <c r="A863" s="117">
        <v>23</v>
      </c>
      <c r="B863" s="122" t="s">
        <v>297</v>
      </c>
      <c r="C863" s="216">
        <v>41193</v>
      </c>
      <c r="D863">
        <v>8.5</v>
      </c>
      <c r="E863" s="116">
        <v>11.5</v>
      </c>
      <c r="F863" s="101">
        <v>99</v>
      </c>
      <c r="G863">
        <v>8</v>
      </c>
      <c r="H863" s="116">
        <v>3.3</v>
      </c>
      <c r="J863">
        <v>1.6</v>
      </c>
      <c r="K863">
        <v>39</v>
      </c>
      <c r="L863">
        <v>55</v>
      </c>
      <c r="M863">
        <v>5900</v>
      </c>
      <c r="N863">
        <v>140</v>
      </c>
      <c r="O863">
        <v>7000</v>
      </c>
      <c r="Q863">
        <f t="shared" si="26"/>
        <v>2012</v>
      </c>
      <c r="R863">
        <f t="shared" si="27"/>
        <v>10</v>
      </c>
    </row>
    <row r="864" spans="1:20">
      <c r="A864" s="117">
        <v>23</v>
      </c>
      <c r="B864" s="122" t="s">
        <v>297</v>
      </c>
      <c r="C864" s="216">
        <v>41263</v>
      </c>
      <c r="D864">
        <v>3</v>
      </c>
      <c r="E864" s="116">
        <v>12.6</v>
      </c>
      <c r="F864" s="101">
        <v>92</v>
      </c>
      <c r="G864">
        <v>8</v>
      </c>
      <c r="H864" s="116">
        <v>7.4</v>
      </c>
      <c r="J864">
        <v>2.6</v>
      </c>
      <c r="K864">
        <v>20</v>
      </c>
      <c r="L864">
        <v>51</v>
      </c>
      <c r="M864">
        <v>8900</v>
      </c>
      <c r="N864">
        <v>390</v>
      </c>
      <c r="O864">
        <v>9700</v>
      </c>
      <c r="Q864">
        <f t="shared" si="26"/>
        <v>2012</v>
      </c>
      <c r="R864">
        <f t="shared" si="27"/>
        <v>12</v>
      </c>
    </row>
    <row r="865" spans="1:18">
      <c r="A865" s="117">
        <v>23</v>
      </c>
      <c r="B865" s="122" t="s">
        <v>297</v>
      </c>
      <c r="C865" s="216">
        <v>41323</v>
      </c>
      <c r="D865">
        <v>1.9</v>
      </c>
      <c r="E865" s="116">
        <v>12.5</v>
      </c>
      <c r="F865" s="101">
        <v>91</v>
      </c>
      <c r="G865">
        <v>7.9</v>
      </c>
      <c r="H865" s="116">
        <v>7.9</v>
      </c>
      <c r="J865">
        <v>2.2000000000000002</v>
      </c>
      <c r="K865">
        <v>19</v>
      </c>
      <c r="L865">
        <v>48</v>
      </c>
      <c r="M865">
        <v>5100</v>
      </c>
      <c r="N865">
        <v>190</v>
      </c>
      <c r="O865">
        <v>5800</v>
      </c>
      <c r="Q865">
        <f t="shared" si="26"/>
        <v>2013</v>
      </c>
      <c r="R865">
        <f t="shared" si="27"/>
        <v>2</v>
      </c>
    </row>
    <row r="866" spans="1:18">
      <c r="A866" s="117">
        <v>23</v>
      </c>
      <c r="B866" s="122" t="s">
        <v>297</v>
      </c>
      <c r="C866" s="216">
        <v>41379</v>
      </c>
      <c r="D866">
        <v>8.6</v>
      </c>
      <c r="E866" s="116">
        <v>14.4</v>
      </c>
      <c r="F866" s="101">
        <v>123</v>
      </c>
      <c r="G866">
        <v>8.1999999999999993</v>
      </c>
      <c r="H866" s="116">
        <v>1.7</v>
      </c>
      <c r="J866">
        <v>3.2</v>
      </c>
      <c r="K866">
        <v>5</v>
      </c>
      <c r="L866">
        <v>26</v>
      </c>
      <c r="M866">
        <v>5000</v>
      </c>
      <c r="N866">
        <v>590</v>
      </c>
      <c r="O866">
        <v>6800</v>
      </c>
      <c r="Q866">
        <f t="shared" si="26"/>
        <v>2013</v>
      </c>
      <c r="R866">
        <f t="shared" si="27"/>
        <v>4</v>
      </c>
    </row>
    <row r="867" spans="1:18">
      <c r="A867" s="117">
        <v>23</v>
      </c>
      <c r="B867" s="122" t="s">
        <v>297</v>
      </c>
      <c r="C867" s="216">
        <v>41443</v>
      </c>
      <c r="D867">
        <v>15.3</v>
      </c>
      <c r="E867" s="116">
        <v>8.5</v>
      </c>
      <c r="F867" s="101">
        <v>85</v>
      </c>
      <c r="G867">
        <v>8</v>
      </c>
      <c r="H867" s="116">
        <v>4.7</v>
      </c>
      <c r="J867">
        <v>1.4</v>
      </c>
      <c r="K867">
        <v>38</v>
      </c>
      <c r="L867">
        <v>62</v>
      </c>
      <c r="M867">
        <v>3200</v>
      </c>
      <c r="N867">
        <v>120</v>
      </c>
      <c r="O867">
        <v>4100</v>
      </c>
      <c r="Q867">
        <f t="shared" si="26"/>
        <v>2013</v>
      </c>
      <c r="R867">
        <f t="shared" si="27"/>
        <v>6</v>
      </c>
    </row>
    <row r="868" spans="1:18">
      <c r="A868" s="117">
        <v>23</v>
      </c>
      <c r="B868" s="122" t="s">
        <v>297</v>
      </c>
      <c r="C868" s="216">
        <v>41500</v>
      </c>
      <c r="D868">
        <v>14.6</v>
      </c>
      <c r="E868" s="116">
        <v>8.3000000000000007</v>
      </c>
      <c r="F868" s="101">
        <v>81</v>
      </c>
      <c r="G868">
        <v>7.6</v>
      </c>
      <c r="H868" s="116">
        <v>17</v>
      </c>
      <c r="J868">
        <v>2.8</v>
      </c>
      <c r="K868">
        <v>35</v>
      </c>
      <c r="L868">
        <v>120</v>
      </c>
      <c r="M868">
        <v>2200</v>
      </c>
      <c r="N868">
        <v>43</v>
      </c>
      <c r="O868">
        <v>3000</v>
      </c>
      <c r="Q868">
        <f t="shared" si="26"/>
        <v>2013</v>
      </c>
      <c r="R868">
        <f t="shared" si="27"/>
        <v>8</v>
      </c>
    </row>
    <row r="869" spans="1:18">
      <c r="A869" s="117">
        <v>23</v>
      </c>
      <c r="B869" s="122" t="s">
        <v>297</v>
      </c>
      <c r="C869" s="216">
        <v>41572</v>
      </c>
      <c r="D869">
        <v>9.6999999999999993</v>
      </c>
      <c r="E869" s="116">
        <v>9.8000000000000007</v>
      </c>
      <c r="F869" s="101">
        <v>89</v>
      </c>
      <c r="G869">
        <v>7.9</v>
      </c>
      <c r="H869" s="116">
        <v>2.7</v>
      </c>
      <c r="J869" t="s">
        <v>287</v>
      </c>
      <c r="K869">
        <v>27</v>
      </c>
      <c r="L869">
        <v>40</v>
      </c>
      <c r="M869">
        <v>6700</v>
      </c>
      <c r="N869">
        <v>41</v>
      </c>
      <c r="O869">
        <v>7500</v>
      </c>
      <c r="Q869">
        <f t="shared" si="26"/>
        <v>2013</v>
      </c>
      <c r="R869">
        <f t="shared" si="27"/>
        <v>10</v>
      </c>
    </row>
    <row r="870" spans="1:18">
      <c r="A870" s="117">
        <v>23</v>
      </c>
      <c r="B870" s="122" t="s">
        <v>297</v>
      </c>
      <c r="C870" s="216">
        <v>41619</v>
      </c>
      <c r="D870">
        <v>6.7</v>
      </c>
      <c r="E870" s="116">
        <v>11.5</v>
      </c>
      <c r="F870" s="101">
        <v>93</v>
      </c>
      <c r="G870">
        <v>8</v>
      </c>
      <c r="H870" s="116">
        <v>5.8</v>
      </c>
      <c r="J870">
        <v>1.4</v>
      </c>
      <c r="K870">
        <v>25</v>
      </c>
      <c r="L870">
        <v>48</v>
      </c>
      <c r="M870">
        <v>8500</v>
      </c>
      <c r="N870">
        <v>48</v>
      </c>
      <c r="O870">
        <v>9000</v>
      </c>
      <c r="Q870">
        <f t="shared" si="26"/>
        <v>2013</v>
      </c>
      <c r="R870">
        <f t="shared" si="27"/>
        <v>12</v>
      </c>
    </row>
    <row r="871" spans="1:18">
      <c r="A871" s="117">
        <v>23</v>
      </c>
      <c r="B871" s="122" t="s">
        <v>297</v>
      </c>
      <c r="C871" s="216">
        <v>41681</v>
      </c>
      <c r="D871">
        <v>3</v>
      </c>
      <c r="E871" s="116">
        <v>12.2</v>
      </c>
      <c r="F871" s="101">
        <v>93</v>
      </c>
      <c r="G871">
        <v>7.9</v>
      </c>
      <c r="H871" s="116">
        <v>13</v>
      </c>
      <c r="J871">
        <v>2.2000000000000002</v>
      </c>
      <c r="K871">
        <v>16</v>
      </c>
      <c r="L871">
        <v>62</v>
      </c>
      <c r="M871">
        <v>5900</v>
      </c>
      <c r="N871">
        <v>54</v>
      </c>
      <c r="O871">
        <v>6800</v>
      </c>
      <c r="Q871">
        <f t="shared" si="26"/>
        <v>2014</v>
      </c>
      <c r="R871">
        <f t="shared" si="27"/>
        <v>2</v>
      </c>
    </row>
    <row r="872" spans="1:18">
      <c r="A872" s="117">
        <v>23</v>
      </c>
      <c r="B872" s="122" t="s">
        <v>297</v>
      </c>
      <c r="C872" s="216">
        <v>41743</v>
      </c>
      <c r="D872">
        <v>8</v>
      </c>
      <c r="E872" s="116">
        <v>11.2</v>
      </c>
      <c r="F872" s="101">
        <v>95</v>
      </c>
      <c r="G872">
        <v>8.1</v>
      </c>
      <c r="H872" s="116">
        <v>6.7</v>
      </c>
      <c r="J872">
        <v>2.1</v>
      </c>
      <c r="K872">
        <v>11</v>
      </c>
      <c r="L872">
        <v>41</v>
      </c>
      <c r="M872">
        <v>2900</v>
      </c>
      <c r="N872">
        <v>35</v>
      </c>
      <c r="O872">
        <v>4000</v>
      </c>
      <c r="Q872">
        <f t="shared" si="26"/>
        <v>2014</v>
      </c>
      <c r="R872">
        <f t="shared" si="27"/>
        <v>4</v>
      </c>
    </row>
    <row r="873" spans="1:18">
      <c r="A873" s="117">
        <v>23</v>
      </c>
      <c r="B873" s="122" t="s">
        <v>297</v>
      </c>
      <c r="C873" s="216">
        <v>41807</v>
      </c>
      <c r="D873">
        <v>16.5</v>
      </c>
      <c r="E873" s="116">
        <v>8.6999999999999993</v>
      </c>
      <c r="F873" s="101">
        <v>88</v>
      </c>
      <c r="G873">
        <v>8</v>
      </c>
      <c r="H873" s="116">
        <v>1.6</v>
      </c>
      <c r="J873">
        <v>1.7</v>
      </c>
      <c r="K873">
        <v>9</v>
      </c>
      <c r="L873">
        <v>54</v>
      </c>
      <c r="M873">
        <v>8400</v>
      </c>
      <c r="N873">
        <v>87</v>
      </c>
      <c r="O873">
        <v>9100</v>
      </c>
      <c r="Q873">
        <f t="shared" si="26"/>
        <v>2014</v>
      </c>
      <c r="R873">
        <f t="shared" si="27"/>
        <v>6</v>
      </c>
    </row>
    <row r="874" spans="1:18">
      <c r="A874" s="117">
        <v>23</v>
      </c>
      <c r="B874" s="122" t="s">
        <v>297</v>
      </c>
      <c r="C874" s="216">
        <v>41863</v>
      </c>
      <c r="D874">
        <v>16.600000000000001</v>
      </c>
      <c r="E874" s="116">
        <v>8.3000000000000007</v>
      </c>
      <c r="F874" s="101">
        <v>88</v>
      </c>
      <c r="G874">
        <v>7.8</v>
      </c>
      <c r="H874" s="116">
        <v>4.4000000000000004</v>
      </c>
      <c r="J874">
        <v>1</v>
      </c>
      <c r="K874">
        <v>55</v>
      </c>
      <c r="L874">
        <v>77</v>
      </c>
      <c r="M874">
        <v>2300</v>
      </c>
      <c r="N874">
        <v>51</v>
      </c>
      <c r="O874">
        <v>3300</v>
      </c>
      <c r="Q874">
        <f t="shared" si="26"/>
        <v>2014</v>
      </c>
      <c r="R874">
        <f t="shared" si="27"/>
        <v>8</v>
      </c>
    </row>
    <row r="875" spans="1:18">
      <c r="A875" s="117">
        <v>23</v>
      </c>
      <c r="B875" s="122" t="s">
        <v>297</v>
      </c>
      <c r="C875" s="216">
        <v>41929</v>
      </c>
      <c r="D875">
        <v>12.5</v>
      </c>
      <c r="E875" s="116">
        <v>9.1</v>
      </c>
      <c r="F875" s="101">
        <v>85</v>
      </c>
      <c r="G875">
        <v>7.9</v>
      </c>
      <c r="H875" s="116">
        <v>25</v>
      </c>
      <c r="J875">
        <v>0.8</v>
      </c>
      <c r="K875">
        <v>46</v>
      </c>
      <c r="L875">
        <v>92</v>
      </c>
      <c r="M875">
        <v>6900</v>
      </c>
      <c r="N875">
        <v>63</v>
      </c>
      <c r="O875">
        <v>7800</v>
      </c>
      <c r="Q875">
        <f t="shared" si="26"/>
        <v>2014</v>
      </c>
      <c r="R875">
        <f t="shared" si="27"/>
        <v>10</v>
      </c>
    </row>
    <row r="876" spans="1:18">
      <c r="A876" s="117">
        <v>23</v>
      </c>
      <c r="B876" s="122" t="s">
        <v>297</v>
      </c>
      <c r="C876" s="216">
        <v>41985</v>
      </c>
      <c r="D876">
        <v>3.8</v>
      </c>
      <c r="E876" s="116">
        <v>11.4</v>
      </c>
      <c r="F876" s="101">
        <v>93</v>
      </c>
      <c r="G876">
        <v>8</v>
      </c>
      <c r="H876" s="116">
        <v>10</v>
      </c>
      <c r="J876" t="s">
        <v>287</v>
      </c>
      <c r="K876">
        <v>32</v>
      </c>
      <c r="L876">
        <v>52</v>
      </c>
      <c r="M876">
        <v>6800</v>
      </c>
      <c r="N876">
        <v>37</v>
      </c>
      <c r="O876">
        <v>7400</v>
      </c>
      <c r="Q876">
        <f t="shared" si="26"/>
        <v>2014</v>
      </c>
      <c r="R876">
        <f t="shared" si="27"/>
        <v>12</v>
      </c>
    </row>
    <row r="877" spans="1:18">
      <c r="A877" s="117">
        <v>23</v>
      </c>
      <c r="B877" s="122" t="s">
        <v>297</v>
      </c>
      <c r="C877" s="216">
        <v>42045</v>
      </c>
      <c r="D877">
        <v>3</v>
      </c>
      <c r="E877" s="116">
        <v>13.3</v>
      </c>
      <c r="F877" s="101">
        <v>98</v>
      </c>
      <c r="G877">
        <v>8</v>
      </c>
      <c r="H877" s="116">
        <v>4.5999999999999996</v>
      </c>
      <c r="J877">
        <v>2</v>
      </c>
      <c r="K877" t="s">
        <v>147</v>
      </c>
      <c r="L877">
        <v>37</v>
      </c>
      <c r="M877">
        <v>4000</v>
      </c>
      <c r="N877">
        <v>130</v>
      </c>
      <c r="O877">
        <v>4900</v>
      </c>
      <c r="Q877">
        <f t="shared" si="26"/>
        <v>2015</v>
      </c>
      <c r="R877">
        <f t="shared" si="27"/>
        <v>2</v>
      </c>
    </row>
    <row r="878" spans="1:18">
      <c r="A878" s="117">
        <v>23</v>
      </c>
      <c r="B878" s="122" t="s">
        <v>297</v>
      </c>
      <c r="C878" s="216">
        <v>42107</v>
      </c>
      <c r="D878">
        <v>9</v>
      </c>
      <c r="E878" s="116">
        <v>11.7</v>
      </c>
      <c r="F878" s="101">
        <v>103</v>
      </c>
      <c r="G878">
        <v>8.1</v>
      </c>
      <c r="H878" s="116">
        <v>4.4000000000000004</v>
      </c>
      <c r="J878">
        <v>1.9</v>
      </c>
      <c r="K878">
        <v>8</v>
      </c>
      <c r="L878">
        <v>36</v>
      </c>
      <c r="M878">
        <v>3700</v>
      </c>
      <c r="N878">
        <v>65</v>
      </c>
      <c r="O878">
        <v>4100</v>
      </c>
      <c r="Q878">
        <f t="shared" si="26"/>
        <v>2015</v>
      </c>
      <c r="R878">
        <f t="shared" si="27"/>
        <v>4</v>
      </c>
    </row>
    <row r="879" spans="1:18">
      <c r="A879" s="117">
        <v>23</v>
      </c>
      <c r="B879" s="122" t="s">
        <v>297</v>
      </c>
      <c r="C879" s="216">
        <v>42172</v>
      </c>
      <c r="D879">
        <v>11.7</v>
      </c>
      <c r="E879" s="116">
        <v>9.9</v>
      </c>
      <c r="F879" s="101">
        <v>90</v>
      </c>
      <c r="G879">
        <v>8</v>
      </c>
      <c r="H879" s="116">
        <v>3.3</v>
      </c>
      <c r="J879">
        <v>1.9</v>
      </c>
      <c r="K879">
        <v>23</v>
      </c>
      <c r="L879">
        <v>66</v>
      </c>
      <c r="M879">
        <v>4200</v>
      </c>
      <c r="N879">
        <v>69</v>
      </c>
      <c r="O879">
        <v>4400</v>
      </c>
      <c r="Q879">
        <f t="shared" si="26"/>
        <v>2015</v>
      </c>
      <c r="R879">
        <f t="shared" si="27"/>
        <v>6</v>
      </c>
    </row>
    <row r="880" spans="1:18">
      <c r="A880" s="117">
        <v>23</v>
      </c>
      <c r="B880" s="122" t="s">
        <v>297</v>
      </c>
      <c r="C880" s="216">
        <v>42234</v>
      </c>
      <c r="D880">
        <v>16.399999999999999</v>
      </c>
      <c r="E880" s="116">
        <v>7.9</v>
      </c>
      <c r="F880" s="101">
        <v>79</v>
      </c>
      <c r="G880">
        <v>7.8</v>
      </c>
      <c r="H880" s="116">
        <v>3.2</v>
      </c>
      <c r="J880">
        <v>1.8</v>
      </c>
      <c r="K880">
        <v>41</v>
      </c>
      <c r="L880">
        <v>75</v>
      </c>
      <c r="M880">
        <v>8500</v>
      </c>
      <c r="N880">
        <v>140</v>
      </c>
      <c r="O880">
        <v>8600</v>
      </c>
      <c r="Q880">
        <f t="shared" si="26"/>
        <v>2015</v>
      </c>
      <c r="R880">
        <f t="shared" si="27"/>
        <v>8</v>
      </c>
    </row>
    <row r="881" spans="1:20">
      <c r="A881" s="117">
        <v>23</v>
      </c>
      <c r="B881" s="122" t="s">
        <v>297</v>
      </c>
      <c r="C881" s="206">
        <v>42290</v>
      </c>
      <c r="D881" s="102">
        <v>8.4</v>
      </c>
      <c r="E881" s="102">
        <v>10.6</v>
      </c>
      <c r="F881" s="218">
        <v>90</v>
      </c>
      <c r="G881" s="102">
        <v>7.8</v>
      </c>
      <c r="H881" s="218">
        <v>2.7</v>
      </c>
      <c r="I881" s="102"/>
      <c r="J881" s="102">
        <v>1.9</v>
      </c>
      <c r="K881" s="218">
        <v>27</v>
      </c>
      <c r="L881" s="218">
        <v>64</v>
      </c>
      <c r="M881" s="218">
        <v>6000</v>
      </c>
      <c r="N881" s="218">
        <v>40</v>
      </c>
      <c r="O881" s="218">
        <v>6400</v>
      </c>
      <c r="P881" s="112"/>
      <c r="Q881">
        <f t="shared" si="26"/>
        <v>2015</v>
      </c>
      <c r="R881">
        <f t="shared" si="27"/>
        <v>10</v>
      </c>
      <c r="S881" s="112"/>
      <c r="T881" s="102"/>
    </row>
    <row r="882" spans="1:20">
      <c r="A882" s="117">
        <v>23</v>
      </c>
      <c r="B882" s="122" t="s">
        <v>297</v>
      </c>
      <c r="C882" s="216">
        <v>42352</v>
      </c>
      <c r="D882">
        <v>3.5</v>
      </c>
      <c r="E882" s="116">
        <v>12.9</v>
      </c>
      <c r="F882" s="101">
        <v>97</v>
      </c>
      <c r="G882">
        <v>8</v>
      </c>
      <c r="H882" s="116">
        <v>8.8000000000000007</v>
      </c>
      <c r="J882">
        <v>2</v>
      </c>
      <c r="K882">
        <v>16</v>
      </c>
      <c r="L882">
        <v>49</v>
      </c>
      <c r="M882">
        <v>5900</v>
      </c>
      <c r="N882">
        <v>63</v>
      </c>
      <c r="O882">
        <v>7400</v>
      </c>
      <c r="Q882">
        <f t="shared" si="26"/>
        <v>2015</v>
      </c>
      <c r="R882">
        <f t="shared" si="27"/>
        <v>12</v>
      </c>
    </row>
    <row r="883" spans="1:20">
      <c r="A883" s="117">
        <v>23</v>
      </c>
      <c r="B883" s="122" t="s">
        <v>297</v>
      </c>
      <c r="C883" s="216">
        <v>42416</v>
      </c>
      <c r="D883">
        <v>1.2</v>
      </c>
      <c r="E883" s="116">
        <v>13.3</v>
      </c>
      <c r="F883" s="101">
        <v>92</v>
      </c>
      <c r="G883">
        <v>7.9</v>
      </c>
      <c r="H883" s="116">
        <v>14</v>
      </c>
      <c r="J883">
        <v>2.6</v>
      </c>
      <c r="K883">
        <v>20</v>
      </c>
      <c r="L883">
        <v>63</v>
      </c>
      <c r="M883">
        <v>5500</v>
      </c>
      <c r="N883">
        <v>110</v>
      </c>
      <c r="O883">
        <v>5700</v>
      </c>
      <c r="Q883">
        <f t="shared" si="26"/>
        <v>2016</v>
      </c>
      <c r="R883">
        <f t="shared" si="27"/>
        <v>2</v>
      </c>
    </row>
    <row r="884" spans="1:20">
      <c r="A884" s="117">
        <v>23</v>
      </c>
      <c r="B884" s="122" t="s">
        <v>297</v>
      </c>
      <c r="C884" s="206">
        <v>42472</v>
      </c>
      <c r="D884" s="102">
        <v>7.3</v>
      </c>
      <c r="E884" s="102">
        <v>15.2</v>
      </c>
      <c r="F884" s="218">
        <v>126</v>
      </c>
      <c r="G884" s="102">
        <v>8.1</v>
      </c>
      <c r="H884" s="218">
        <v>2.2000000000000002</v>
      </c>
      <c r="I884" s="102"/>
      <c r="J884" s="102">
        <v>1.5</v>
      </c>
      <c r="K884" s="218">
        <v>15</v>
      </c>
      <c r="L884" s="218">
        <v>43</v>
      </c>
      <c r="M884" s="218">
        <v>3700</v>
      </c>
      <c r="N884" s="218">
        <v>20</v>
      </c>
      <c r="O884" s="218">
        <v>3900</v>
      </c>
      <c r="P884" s="112"/>
      <c r="Q884">
        <f t="shared" si="26"/>
        <v>2016</v>
      </c>
      <c r="R884">
        <f t="shared" si="27"/>
        <v>4</v>
      </c>
      <c r="S884" s="112"/>
      <c r="T884" s="102"/>
    </row>
    <row r="885" spans="1:20">
      <c r="A885" s="117">
        <v>23</v>
      </c>
      <c r="B885" s="122" t="s">
        <v>297</v>
      </c>
      <c r="C885" s="206">
        <v>42536</v>
      </c>
      <c r="D885" s="102">
        <v>15.2</v>
      </c>
      <c r="E885" s="102">
        <v>9.4</v>
      </c>
      <c r="F885" s="218">
        <v>95</v>
      </c>
      <c r="G885" s="102">
        <v>8</v>
      </c>
      <c r="H885" s="218">
        <v>3</v>
      </c>
      <c r="I885" s="102"/>
      <c r="J885" s="102">
        <v>1.5</v>
      </c>
      <c r="K885" s="218">
        <v>17</v>
      </c>
      <c r="L885" s="218">
        <v>54</v>
      </c>
      <c r="M885" s="218">
        <v>2900</v>
      </c>
      <c r="N885" s="218">
        <v>71</v>
      </c>
      <c r="O885" s="218">
        <v>3400</v>
      </c>
      <c r="P885" s="112"/>
      <c r="Q885">
        <f t="shared" si="26"/>
        <v>2016</v>
      </c>
      <c r="R885">
        <f t="shared" si="27"/>
        <v>6</v>
      </c>
      <c r="S885" s="112"/>
      <c r="T885" s="102"/>
    </row>
    <row r="886" spans="1:20">
      <c r="A886" s="117">
        <v>23</v>
      </c>
      <c r="B886" s="122" t="s">
        <v>297</v>
      </c>
      <c r="C886" s="206">
        <v>42592</v>
      </c>
      <c r="D886" s="102">
        <v>14.4</v>
      </c>
      <c r="E886" s="102">
        <v>10.6</v>
      </c>
      <c r="F886" s="218">
        <v>104</v>
      </c>
      <c r="G886" s="102">
        <v>8.1</v>
      </c>
      <c r="H886" s="218">
        <v>2.6</v>
      </c>
      <c r="I886" s="102"/>
      <c r="J886" s="102">
        <v>0.59</v>
      </c>
      <c r="K886" s="218">
        <v>27</v>
      </c>
      <c r="L886" s="218">
        <v>49</v>
      </c>
      <c r="M886" s="218">
        <v>5100</v>
      </c>
      <c r="N886" s="218">
        <v>41</v>
      </c>
      <c r="O886" s="218">
        <v>4800</v>
      </c>
      <c r="P886" s="112"/>
      <c r="Q886">
        <f t="shared" si="26"/>
        <v>2016</v>
      </c>
      <c r="R886">
        <f t="shared" si="27"/>
        <v>8</v>
      </c>
      <c r="S886" s="112"/>
      <c r="T886" s="102"/>
    </row>
    <row r="887" spans="1:20">
      <c r="A887" s="117">
        <v>23</v>
      </c>
      <c r="B887" s="122" t="s">
        <v>297</v>
      </c>
      <c r="C887" s="206">
        <v>42661</v>
      </c>
      <c r="D887" s="102">
        <v>9.1</v>
      </c>
      <c r="E887" s="102">
        <v>9.5</v>
      </c>
      <c r="F887" s="218">
        <v>82</v>
      </c>
      <c r="G887" s="102">
        <v>7.8</v>
      </c>
      <c r="H887" s="218">
        <v>1.8</v>
      </c>
      <c r="I887" s="102"/>
      <c r="J887" s="102">
        <v>1.3</v>
      </c>
      <c r="K887" s="218">
        <v>20</v>
      </c>
      <c r="L887" s="218">
        <v>45</v>
      </c>
      <c r="M887" s="218">
        <v>4800</v>
      </c>
      <c r="N887" s="218">
        <v>66</v>
      </c>
      <c r="O887" s="218">
        <v>4900</v>
      </c>
      <c r="P887" s="112"/>
      <c r="Q887">
        <f t="shared" si="26"/>
        <v>2016</v>
      </c>
      <c r="R887">
        <f t="shared" si="27"/>
        <v>10</v>
      </c>
      <c r="S887" s="112"/>
      <c r="T887" s="102"/>
    </row>
    <row r="888" spans="1:20">
      <c r="A888" s="117">
        <v>23</v>
      </c>
      <c r="B888" s="122" t="s">
        <v>297</v>
      </c>
      <c r="C888" s="206">
        <v>42724</v>
      </c>
      <c r="D888" s="102">
        <v>4.8</v>
      </c>
      <c r="E888" s="102">
        <v>12.2</v>
      </c>
      <c r="F888" s="218">
        <v>93</v>
      </c>
      <c r="G888" s="102">
        <v>8.1</v>
      </c>
      <c r="H888" s="218">
        <v>3.3</v>
      </c>
      <c r="I888" s="102"/>
      <c r="J888" s="102">
        <v>1.2</v>
      </c>
      <c r="K888" s="218">
        <v>25</v>
      </c>
      <c r="L888" s="218">
        <v>34</v>
      </c>
      <c r="M888" s="218">
        <v>6500</v>
      </c>
      <c r="N888" s="218">
        <v>31</v>
      </c>
      <c r="O888" s="218">
        <v>6800</v>
      </c>
      <c r="P888" s="112"/>
      <c r="Q888">
        <f t="shared" si="26"/>
        <v>2016</v>
      </c>
      <c r="R888">
        <f t="shared" si="27"/>
        <v>12</v>
      </c>
      <c r="S888" s="112"/>
      <c r="T888" s="102"/>
    </row>
    <row r="889" spans="1:20">
      <c r="A889" s="117">
        <v>23</v>
      </c>
      <c r="B889" s="122" t="s">
        <v>297</v>
      </c>
      <c r="C889" s="206">
        <v>42773</v>
      </c>
      <c r="D889" s="102">
        <v>1</v>
      </c>
      <c r="E889" s="102">
        <v>13.2</v>
      </c>
      <c r="F889" s="218">
        <v>95</v>
      </c>
      <c r="G889" s="102">
        <v>8</v>
      </c>
      <c r="H889" s="218">
        <v>2.9</v>
      </c>
      <c r="I889" s="102"/>
      <c r="J889" s="102">
        <v>1.3</v>
      </c>
      <c r="K889" s="218">
        <v>18</v>
      </c>
      <c r="L889" s="218">
        <v>51</v>
      </c>
      <c r="M889" s="218">
        <v>7000</v>
      </c>
      <c r="N889" s="218">
        <v>56</v>
      </c>
      <c r="O889" s="218">
        <v>7300</v>
      </c>
      <c r="P889" s="112"/>
      <c r="Q889">
        <f t="shared" si="26"/>
        <v>2017</v>
      </c>
      <c r="R889">
        <f t="shared" si="27"/>
        <v>2</v>
      </c>
      <c r="S889" s="112"/>
      <c r="T889" s="102"/>
    </row>
    <row r="890" spans="1:20">
      <c r="A890" s="117">
        <v>23</v>
      </c>
      <c r="B890" s="122" t="s">
        <v>297</v>
      </c>
      <c r="C890" s="206">
        <v>42837</v>
      </c>
      <c r="D890" s="102">
        <v>7.6</v>
      </c>
      <c r="E890" s="102">
        <v>10.8</v>
      </c>
      <c r="F890" s="218">
        <v>92</v>
      </c>
      <c r="G890" s="102">
        <v>7.9</v>
      </c>
      <c r="H890" s="218">
        <v>2.2999999999999998</v>
      </c>
      <c r="I890" s="102"/>
      <c r="J890" s="102">
        <v>1.6</v>
      </c>
      <c r="K890" s="218">
        <v>8.4</v>
      </c>
      <c r="L890" s="218">
        <v>26</v>
      </c>
      <c r="M890" s="218">
        <v>3600</v>
      </c>
      <c r="N890" s="218">
        <v>43</v>
      </c>
      <c r="O890" s="218">
        <v>4100</v>
      </c>
      <c r="P890" s="112"/>
      <c r="Q890">
        <f t="shared" si="26"/>
        <v>2017</v>
      </c>
      <c r="R890">
        <f t="shared" si="27"/>
        <v>4</v>
      </c>
      <c r="S890" s="112"/>
      <c r="T890" s="102"/>
    </row>
    <row r="891" spans="1:20">
      <c r="A891" s="117">
        <v>23</v>
      </c>
      <c r="B891" s="122" t="s">
        <v>297</v>
      </c>
      <c r="C891" s="206">
        <v>42901</v>
      </c>
      <c r="D891" s="102">
        <v>15.1</v>
      </c>
      <c r="E891" s="102">
        <v>8.5</v>
      </c>
      <c r="F891" s="218">
        <v>85</v>
      </c>
      <c r="G891" s="102">
        <v>8</v>
      </c>
      <c r="H891" s="218">
        <v>3.5</v>
      </c>
      <c r="I891" s="102"/>
      <c r="J891" s="102">
        <v>2.2599999999999998</v>
      </c>
      <c r="K891" s="218">
        <v>38</v>
      </c>
      <c r="L891" s="218">
        <v>88</v>
      </c>
      <c r="M891" s="218">
        <v>2700</v>
      </c>
      <c r="N891" s="218">
        <v>290</v>
      </c>
      <c r="O891" s="218">
        <v>3500</v>
      </c>
      <c r="P891" s="112"/>
      <c r="Q891">
        <f t="shared" si="26"/>
        <v>2017</v>
      </c>
      <c r="R891">
        <f t="shared" si="27"/>
        <v>6</v>
      </c>
      <c r="S891" s="112"/>
      <c r="T891" s="102"/>
    </row>
    <row r="892" spans="1:20">
      <c r="A892" s="117">
        <v>23</v>
      </c>
      <c r="B892" s="122" t="s">
        <v>297</v>
      </c>
      <c r="C892" s="206">
        <v>42963</v>
      </c>
      <c r="D892" s="102">
        <v>17.100000000000001</v>
      </c>
      <c r="E892" s="102">
        <v>7.6</v>
      </c>
      <c r="F892" s="218">
        <v>79</v>
      </c>
      <c r="G892" s="102">
        <v>7.8</v>
      </c>
      <c r="H892" s="218">
        <v>2.6</v>
      </c>
      <c r="I892" s="102"/>
      <c r="J892" s="102">
        <v>1.9</v>
      </c>
      <c r="K892" s="218">
        <v>53</v>
      </c>
      <c r="L892" s="218">
        <v>130</v>
      </c>
      <c r="M892" s="218">
        <v>3900</v>
      </c>
      <c r="N892" s="218">
        <v>40</v>
      </c>
      <c r="O892" s="218">
        <v>3900</v>
      </c>
      <c r="P892" s="112"/>
      <c r="Q892">
        <f t="shared" si="26"/>
        <v>2017</v>
      </c>
      <c r="R892">
        <f t="shared" si="27"/>
        <v>8</v>
      </c>
      <c r="S892" s="112"/>
      <c r="T892" s="102"/>
    </row>
    <row r="893" spans="1:20">
      <c r="A893" s="117">
        <v>23</v>
      </c>
      <c r="B893" s="122" t="s">
        <v>297</v>
      </c>
      <c r="C893" s="206">
        <v>43027</v>
      </c>
      <c r="D893" s="102">
        <v>11.5</v>
      </c>
      <c r="E893" s="102">
        <v>8.9</v>
      </c>
      <c r="F893" s="218">
        <v>82</v>
      </c>
      <c r="G893" s="102">
        <v>8</v>
      </c>
      <c r="H893" s="218">
        <v>3.4</v>
      </c>
      <c r="I893" s="102"/>
      <c r="J893" s="102">
        <v>1.2</v>
      </c>
      <c r="K893" s="218">
        <v>23</v>
      </c>
      <c r="L893" s="218">
        <v>43</v>
      </c>
      <c r="M893" s="218">
        <v>4900</v>
      </c>
      <c r="N893" s="218">
        <v>15</v>
      </c>
      <c r="O893" s="218">
        <v>5300</v>
      </c>
      <c r="P893" s="112"/>
      <c r="Q893">
        <f t="shared" si="26"/>
        <v>2017</v>
      </c>
      <c r="R893">
        <f t="shared" si="27"/>
        <v>10</v>
      </c>
      <c r="S893" s="112"/>
      <c r="T893" s="102"/>
    </row>
    <row r="894" spans="1:20">
      <c r="A894" s="117">
        <v>23</v>
      </c>
      <c r="B894" s="122" t="s">
        <v>297</v>
      </c>
      <c r="C894" s="206">
        <v>43081</v>
      </c>
      <c r="D894" s="102">
        <v>3</v>
      </c>
      <c r="E894" s="102">
        <v>10.8</v>
      </c>
      <c r="F894" s="218">
        <v>85</v>
      </c>
      <c r="G894" s="102">
        <v>7.8</v>
      </c>
      <c r="H894" s="218">
        <v>16</v>
      </c>
      <c r="I894" s="102"/>
      <c r="J894" s="102">
        <v>1.8</v>
      </c>
      <c r="K894" s="218">
        <v>27</v>
      </c>
      <c r="L894" s="218">
        <v>59</v>
      </c>
      <c r="M894" s="218">
        <v>4500</v>
      </c>
      <c r="N894" s="218">
        <v>63</v>
      </c>
      <c r="O894" s="218">
        <v>4900</v>
      </c>
      <c r="P894" s="112"/>
      <c r="Q894">
        <f t="shared" si="26"/>
        <v>2017</v>
      </c>
      <c r="R894">
        <f t="shared" si="27"/>
        <v>12</v>
      </c>
      <c r="S894" s="112"/>
      <c r="T894" s="102"/>
    </row>
    <row r="895" spans="1:20">
      <c r="A895" s="117">
        <v>23</v>
      </c>
      <c r="B895" s="122" t="s">
        <v>297</v>
      </c>
      <c r="C895" s="206">
        <v>43151</v>
      </c>
      <c r="D895" s="102">
        <v>3.6</v>
      </c>
      <c r="E895" s="102">
        <v>11.9</v>
      </c>
      <c r="F895" s="218">
        <v>90</v>
      </c>
      <c r="G895" s="102">
        <v>7.9</v>
      </c>
      <c r="H895" s="218">
        <v>8.5</v>
      </c>
      <c r="I895" s="102"/>
      <c r="J895" s="102">
        <v>2.8</v>
      </c>
      <c r="K895" s="218">
        <v>20</v>
      </c>
      <c r="L895" s="218">
        <v>46</v>
      </c>
      <c r="M895" s="218">
        <v>4900</v>
      </c>
      <c r="N895" s="218">
        <v>97</v>
      </c>
      <c r="O895" s="218">
        <v>4900</v>
      </c>
      <c r="P895" s="112"/>
      <c r="Q895">
        <f t="shared" si="26"/>
        <v>2018</v>
      </c>
      <c r="R895">
        <f t="shared" si="27"/>
        <v>2</v>
      </c>
      <c r="S895" s="112"/>
      <c r="T895" s="102"/>
    </row>
    <row r="896" spans="1:20">
      <c r="A896" s="117">
        <v>23</v>
      </c>
      <c r="B896" s="122" t="s">
        <v>297</v>
      </c>
      <c r="C896" s="206">
        <v>43200</v>
      </c>
      <c r="D896" s="102">
        <v>9.1</v>
      </c>
      <c r="E896" s="102">
        <v>14.2</v>
      </c>
      <c r="F896" s="218">
        <v>124</v>
      </c>
      <c r="G896" s="102">
        <v>8.16</v>
      </c>
      <c r="H896" s="218">
        <v>2.5</v>
      </c>
      <c r="I896" s="102"/>
      <c r="J896" s="102">
        <v>2.9</v>
      </c>
      <c r="K896" s="218">
        <v>10</v>
      </c>
      <c r="L896" s="218">
        <v>29</v>
      </c>
      <c r="M896" s="218">
        <v>3300</v>
      </c>
      <c r="N896" s="218">
        <v>13</v>
      </c>
      <c r="O896" s="218">
        <v>3500</v>
      </c>
      <c r="P896" s="112"/>
      <c r="Q896">
        <f t="shared" si="26"/>
        <v>2018</v>
      </c>
      <c r="R896">
        <f t="shared" si="27"/>
        <v>4</v>
      </c>
      <c r="S896" s="112"/>
      <c r="T896" s="102"/>
    </row>
    <row r="897" spans="1:20">
      <c r="A897" s="117">
        <v>23</v>
      </c>
      <c r="B897" s="122" t="s">
        <v>297</v>
      </c>
      <c r="C897" s="206">
        <v>43270</v>
      </c>
      <c r="D897" s="102">
        <v>16.8</v>
      </c>
      <c r="E897" s="102">
        <v>8.6999999999999993</v>
      </c>
      <c r="F897" s="218">
        <v>90</v>
      </c>
      <c r="G897" s="102">
        <v>7.8</v>
      </c>
      <c r="H897" s="218">
        <v>3.5</v>
      </c>
      <c r="I897" s="102"/>
      <c r="J897" s="102">
        <v>3.1</v>
      </c>
      <c r="K897" s="218">
        <v>10</v>
      </c>
      <c r="L897" s="218">
        <v>69</v>
      </c>
      <c r="M897" s="218">
        <v>1400</v>
      </c>
      <c r="N897" s="218">
        <v>84</v>
      </c>
      <c r="O897" s="218">
        <v>2100</v>
      </c>
      <c r="P897" s="112"/>
      <c r="Q897">
        <f t="shared" si="26"/>
        <v>2018</v>
      </c>
      <c r="R897">
        <f t="shared" si="27"/>
        <v>6</v>
      </c>
      <c r="S897" s="112"/>
      <c r="T897" s="102"/>
    </row>
    <row r="898" spans="1:20">
      <c r="A898" s="117">
        <v>23</v>
      </c>
      <c r="B898" s="122" t="s">
        <v>297</v>
      </c>
      <c r="C898" s="206">
        <v>43333</v>
      </c>
      <c r="D898" s="102">
        <v>17.2</v>
      </c>
      <c r="E898" s="102">
        <v>7.5</v>
      </c>
      <c r="F898" s="218">
        <v>78</v>
      </c>
      <c r="G898" s="102">
        <v>7.71</v>
      </c>
      <c r="H898" s="218">
        <v>6.8</v>
      </c>
      <c r="I898" s="102"/>
      <c r="J898" s="102">
        <v>1.6</v>
      </c>
      <c r="K898" s="218">
        <v>35</v>
      </c>
      <c r="L898" s="218">
        <v>56</v>
      </c>
      <c r="M898" s="218">
        <v>2000</v>
      </c>
      <c r="N898" s="218">
        <v>51</v>
      </c>
      <c r="O898" s="218">
        <v>2500</v>
      </c>
      <c r="P898" s="112"/>
      <c r="Q898">
        <f t="shared" si="26"/>
        <v>2018</v>
      </c>
      <c r="R898">
        <f t="shared" si="27"/>
        <v>8</v>
      </c>
      <c r="S898" s="112"/>
      <c r="T898" s="102"/>
    </row>
    <row r="899" spans="1:20">
      <c r="A899" s="117">
        <v>23</v>
      </c>
      <c r="B899" s="122" t="s">
        <v>297</v>
      </c>
      <c r="C899" s="206">
        <v>43389</v>
      </c>
      <c r="D899" s="102">
        <v>11.8</v>
      </c>
      <c r="E899" s="102">
        <v>10</v>
      </c>
      <c r="F899" s="218">
        <v>93</v>
      </c>
      <c r="G899" s="102">
        <v>7.65</v>
      </c>
      <c r="H899" s="218">
        <v>1</v>
      </c>
      <c r="I899" s="102"/>
      <c r="J899" s="102">
        <v>1.8</v>
      </c>
      <c r="K899" s="218">
        <v>8.8000000000000007</v>
      </c>
      <c r="L899" s="218">
        <v>53</v>
      </c>
      <c r="M899" s="218">
        <v>2400</v>
      </c>
      <c r="N899" s="218">
        <v>34</v>
      </c>
      <c r="O899" s="218">
        <v>2800</v>
      </c>
      <c r="P899" s="112"/>
      <c r="Q899">
        <f t="shared" si="26"/>
        <v>2018</v>
      </c>
      <c r="R899">
        <f t="shared" si="27"/>
        <v>10</v>
      </c>
      <c r="S899" s="112"/>
      <c r="T899" s="102"/>
    </row>
    <row r="900" spans="1:20">
      <c r="A900" s="117">
        <v>23</v>
      </c>
      <c r="B900" s="122" t="s">
        <v>297</v>
      </c>
      <c r="C900" s="206">
        <v>43447</v>
      </c>
      <c r="D900" s="102">
        <v>3.8</v>
      </c>
      <c r="E900" s="102">
        <v>11.8</v>
      </c>
      <c r="F900" s="218">
        <v>90</v>
      </c>
      <c r="G900" s="102">
        <v>7.82</v>
      </c>
      <c r="H900" s="218">
        <v>2.9</v>
      </c>
      <c r="I900" s="102"/>
      <c r="J900" s="102">
        <v>2.2000000000000002</v>
      </c>
      <c r="K900" s="218">
        <v>19</v>
      </c>
      <c r="L900" s="218">
        <v>48</v>
      </c>
      <c r="M900" s="218">
        <v>17000</v>
      </c>
      <c r="N900" s="218">
        <v>77</v>
      </c>
      <c r="O900" s="218">
        <v>16000</v>
      </c>
      <c r="P900" s="112"/>
      <c r="Q900">
        <f t="shared" si="26"/>
        <v>2018</v>
      </c>
      <c r="R900">
        <f t="shared" si="27"/>
        <v>12</v>
      </c>
      <c r="S900" s="112"/>
      <c r="T900" s="102"/>
    </row>
    <row r="901" spans="1:20">
      <c r="A901" s="117">
        <v>23</v>
      </c>
      <c r="B901" s="122" t="s">
        <v>297</v>
      </c>
      <c r="C901" s="206">
        <v>43515</v>
      </c>
      <c r="D901" s="102">
        <v>5.6</v>
      </c>
      <c r="E901" s="102">
        <v>12.3</v>
      </c>
      <c r="F901" s="218">
        <v>98</v>
      </c>
      <c r="G901" s="102">
        <v>7.93</v>
      </c>
      <c r="H901" s="218">
        <v>3.7</v>
      </c>
      <c r="I901" s="102"/>
      <c r="J901" s="102">
        <v>4.0999999999999996</v>
      </c>
      <c r="K901" s="218">
        <v>11</v>
      </c>
      <c r="L901" s="218">
        <v>29</v>
      </c>
      <c r="M901" s="218">
        <v>10000</v>
      </c>
      <c r="N901" s="218">
        <v>24</v>
      </c>
      <c r="O901" s="218">
        <v>10000</v>
      </c>
      <c r="P901" s="112"/>
      <c r="Q901">
        <f t="shared" si="26"/>
        <v>2019</v>
      </c>
      <c r="R901">
        <f t="shared" si="27"/>
        <v>2</v>
      </c>
      <c r="S901" s="112"/>
      <c r="T901" s="102"/>
    </row>
    <row r="902" spans="1:20">
      <c r="A902" s="117">
        <v>23</v>
      </c>
      <c r="B902" s="122" t="s">
        <v>297</v>
      </c>
      <c r="C902" s="206">
        <v>43571</v>
      </c>
      <c r="D902" s="102">
        <v>6.1</v>
      </c>
      <c r="E902" s="102">
        <v>13.8</v>
      </c>
      <c r="F902" s="218">
        <v>111</v>
      </c>
      <c r="G902" s="102">
        <v>7.82</v>
      </c>
      <c r="H902" s="218">
        <v>3.4</v>
      </c>
      <c r="I902" s="102"/>
      <c r="J902" s="102">
        <v>3</v>
      </c>
      <c r="K902" s="218">
        <v>8.4</v>
      </c>
      <c r="L902" s="218">
        <v>26</v>
      </c>
      <c r="M902" s="218">
        <v>4200</v>
      </c>
      <c r="N902" s="218">
        <v>17</v>
      </c>
      <c r="O902" s="218">
        <v>4500</v>
      </c>
      <c r="P902" s="112"/>
      <c r="Q902">
        <f t="shared" si="26"/>
        <v>2019</v>
      </c>
      <c r="R902">
        <f t="shared" si="27"/>
        <v>4</v>
      </c>
      <c r="S902" s="112"/>
      <c r="T902" s="102"/>
    </row>
    <row r="903" spans="1:20">
      <c r="A903" s="117">
        <v>23</v>
      </c>
      <c r="B903" s="122" t="s">
        <v>297</v>
      </c>
      <c r="C903" s="206">
        <v>43635</v>
      </c>
      <c r="D903" s="102">
        <v>18.399999999999999</v>
      </c>
      <c r="E903" s="102">
        <v>6.4</v>
      </c>
      <c r="F903" s="218">
        <v>68</v>
      </c>
      <c r="G903" s="102">
        <v>7.64</v>
      </c>
      <c r="H903" s="218">
        <v>3</v>
      </c>
      <c r="I903" s="102"/>
      <c r="J903" s="102">
        <v>2.5999999999999996</v>
      </c>
      <c r="K903" s="218">
        <v>39</v>
      </c>
      <c r="L903" s="218">
        <v>45</v>
      </c>
      <c r="M903" s="218">
        <v>2000</v>
      </c>
      <c r="N903" s="218">
        <v>76</v>
      </c>
      <c r="O903" s="218">
        <v>2300</v>
      </c>
      <c r="P903" s="112"/>
      <c r="Q903">
        <f t="shared" ref="Q903:Q966" si="28">YEAR(C903)</f>
        <v>2019</v>
      </c>
      <c r="R903">
        <f t="shared" ref="R903:R966" si="29">MONTH(C903)</f>
        <v>6</v>
      </c>
      <c r="S903" s="112"/>
      <c r="T903" s="102"/>
    </row>
    <row r="904" spans="1:20">
      <c r="A904" s="117">
        <v>23</v>
      </c>
      <c r="B904" s="122" t="s">
        <v>297</v>
      </c>
      <c r="C904" s="206">
        <v>43698</v>
      </c>
      <c r="D904" s="102">
        <v>16.600000000000001</v>
      </c>
      <c r="E904" s="102">
        <v>7.4</v>
      </c>
      <c r="F904" s="218">
        <v>76</v>
      </c>
      <c r="G904" s="102">
        <v>7.64</v>
      </c>
      <c r="H904" s="218">
        <v>0.7</v>
      </c>
      <c r="I904" s="102"/>
      <c r="J904" s="102">
        <v>5</v>
      </c>
      <c r="K904" s="218">
        <v>42</v>
      </c>
      <c r="L904" s="218">
        <v>76</v>
      </c>
      <c r="M904" s="218">
        <v>3700</v>
      </c>
      <c r="N904" s="218">
        <v>64</v>
      </c>
      <c r="O904" s="218">
        <v>4000</v>
      </c>
      <c r="P904" s="112"/>
      <c r="Q904">
        <f t="shared" si="28"/>
        <v>2019</v>
      </c>
      <c r="R904">
        <f t="shared" si="29"/>
        <v>8</v>
      </c>
      <c r="S904" s="112"/>
      <c r="T904" s="102"/>
    </row>
    <row r="905" spans="1:20">
      <c r="A905" s="117">
        <v>23</v>
      </c>
      <c r="B905" s="122" t="s">
        <v>297</v>
      </c>
      <c r="C905" s="206">
        <v>43748</v>
      </c>
      <c r="D905" s="102">
        <v>11.3</v>
      </c>
      <c r="E905" s="102">
        <v>8.1999999999999993</v>
      </c>
      <c r="F905" s="218">
        <v>75</v>
      </c>
      <c r="G905" s="102">
        <v>7.6</v>
      </c>
      <c r="H905" s="218">
        <v>3.2</v>
      </c>
      <c r="I905" s="102"/>
      <c r="J905" s="102">
        <v>2.1</v>
      </c>
      <c r="K905" s="218">
        <v>190</v>
      </c>
      <c r="L905" s="218">
        <v>190</v>
      </c>
      <c r="M905" s="218">
        <v>3600</v>
      </c>
      <c r="N905" s="218">
        <v>59</v>
      </c>
      <c r="O905" s="218">
        <v>4200</v>
      </c>
      <c r="P905" s="112"/>
      <c r="Q905">
        <f t="shared" si="28"/>
        <v>2019</v>
      </c>
      <c r="R905">
        <f t="shared" si="29"/>
        <v>10</v>
      </c>
      <c r="S905" s="112"/>
      <c r="T905" s="102"/>
    </row>
    <row r="906" spans="1:20">
      <c r="A906" s="117">
        <v>23</v>
      </c>
      <c r="B906" s="122" t="s">
        <v>297</v>
      </c>
      <c r="C906" s="206">
        <v>43812</v>
      </c>
      <c r="D906" s="102">
        <v>5.5</v>
      </c>
      <c r="E906" s="102">
        <v>11.8</v>
      </c>
      <c r="F906" s="218">
        <v>94</v>
      </c>
      <c r="G906" s="102">
        <v>7.81</v>
      </c>
      <c r="H906" s="218">
        <v>18.3</v>
      </c>
      <c r="I906" s="102"/>
      <c r="J906" s="102">
        <v>1.9</v>
      </c>
      <c r="K906" s="218">
        <v>31</v>
      </c>
      <c r="L906" s="218">
        <v>88</v>
      </c>
      <c r="M906" s="218">
        <v>12000</v>
      </c>
      <c r="N906" s="218">
        <v>30</v>
      </c>
      <c r="O906" s="218">
        <v>13000</v>
      </c>
      <c r="P906" s="112"/>
      <c r="Q906">
        <f t="shared" si="28"/>
        <v>2019</v>
      </c>
      <c r="R906">
        <f t="shared" si="29"/>
        <v>12</v>
      </c>
      <c r="S906" s="112"/>
      <c r="T906" s="102"/>
    </row>
    <row r="907" spans="1:20">
      <c r="A907" s="117">
        <v>25</v>
      </c>
      <c r="B907" s="102" t="s">
        <v>263</v>
      </c>
      <c r="C907" s="206">
        <v>40192</v>
      </c>
      <c r="D907" s="102">
        <v>0</v>
      </c>
      <c r="E907" s="102">
        <v>13.1</v>
      </c>
      <c r="F907" s="218">
        <v>89</v>
      </c>
      <c r="G907" s="102">
        <v>7.95</v>
      </c>
      <c r="H907" s="218">
        <v>11</v>
      </c>
      <c r="I907" s="102"/>
      <c r="J907" s="102">
        <v>4.4000000000000004</v>
      </c>
      <c r="K907" s="218">
        <v>28</v>
      </c>
      <c r="L907" s="218">
        <v>78</v>
      </c>
      <c r="M907" s="218">
        <v>1500</v>
      </c>
      <c r="N907" s="218">
        <v>280</v>
      </c>
      <c r="O907" s="218">
        <v>2500</v>
      </c>
      <c r="P907" s="112"/>
      <c r="Q907">
        <f t="shared" si="28"/>
        <v>2010</v>
      </c>
      <c r="R907">
        <f t="shared" si="29"/>
        <v>1</v>
      </c>
      <c r="S907" s="112"/>
      <c r="T907" s="102"/>
    </row>
    <row r="908" spans="1:20">
      <c r="A908" s="117">
        <v>25</v>
      </c>
      <c r="B908" s="122" t="s">
        <v>263</v>
      </c>
      <c r="C908" s="206">
        <v>40233</v>
      </c>
      <c r="D908" s="102">
        <v>0.6</v>
      </c>
      <c r="E908" s="102"/>
      <c r="F908" s="218">
        <v>0</v>
      </c>
      <c r="G908" s="102">
        <v>7.87</v>
      </c>
      <c r="H908" s="218">
        <v>12</v>
      </c>
      <c r="I908" s="102"/>
      <c r="J908" s="102">
        <v>2.5</v>
      </c>
      <c r="K908" s="218">
        <v>29</v>
      </c>
      <c r="L908" s="218">
        <v>68</v>
      </c>
      <c r="M908" s="218">
        <v>1200</v>
      </c>
      <c r="N908" s="218">
        <v>290</v>
      </c>
      <c r="O908" s="218">
        <v>2200</v>
      </c>
      <c r="P908" s="112"/>
      <c r="Q908">
        <f t="shared" si="28"/>
        <v>2010</v>
      </c>
      <c r="R908">
        <f t="shared" si="29"/>
        <v>2</v>
      </c>
      <c r="S908" s="112"/>
      <c r="T908" s="102"/>
    </row>
    <row r="909" spans="1:20">
      <c r="A909" s="117">
        <v>25</v>
      </c>
      <c r="B909" s="122" t="s">
        <v>263</v>
      </c>
      <c r="C909" s="206">
        <v>40247</v>
      </c>
      <c r="D909" s="102">
        <v>1.9</v>
      </c>
      <c r="E909" s="102">
        <v>12.3</v>
      </c>
      <c r="F909" s="218">
        <v>89</v>
      </c>
      <c r="G909" s="102">
        <v>7.87</v>
      </c>
      <c r="H909" s="218">
        <v>7.4</v>
      </c>
      <c r="I909" s="102"/>
      <c r="J909" s="102">
        <v>5.4</v>
      </c>
      <c r="K909" s="218">
        <v>25</v>
      </c>
      <c r="L909" s="218">
        <v>61</v>
      </c>
      <c r="M909" s="218">
        <v>1500</v>
      </c>
      <c r="N909" s="218">
        <v>270</v>
      </c>
      <c r="O909" s="218">
        <v>2300</v>
      </c>
      <c r="P909" s="112"/>
      <c r="Q909">
        <f t="shared" si="28"/>
        <v>2010</v>
      </c>
      <c r="R909">
        <f t="shared" si="29"/>
        <v>3</v>
      </c>
      <c r="S909" s="112"/>
      <c r="T909" s="102"/>
    </row>
    <row r="910" spans="1:20">
      <c r="A910" s="117">
        <v>25</v>
      </c>
      <c r="B910" s="122" t="s">
        <v>263</v>
      </c>
      <c r="C910" s="206">
        <v>40295</v>
      </c>
      <c r="D910" s="102">
        <v>10.7</v>
      </c>
      <c r="E910" s="102">
        <v>10.4</v>
      </c>
      <c r="F910" s="218">
        <v>94</v>
      </c>
      <c r="G910" s="102">
        <v>7.97</v>
      </c>
      <c r="H910" s="218">
        <v>6.7</v>
      </c>
      <c r="I910" s="102"/>
      <c r="J910" s="102">
        <v>2.2999999999999998</v>
      </c>
      <c r="K910" s="218">
        <v>9</v>
      </c>
      <c r="L910" s="218">
        <v>31</v>
      </c>
      <c r="M910" s="218">
        <v>990</v>
      </c>
      <c r="N910" s="218">
        <v>72</v>
      </c>
      <c r="O910" s="218">
        <v>1800</v>
      </c>
      <c r="P910" s="112"/>
      <c r="Q910">
        <f t="shared" si="28"/>
        <v>2010</v>
      </c>
      <c r="R910">
        <f t="shared" si="29"/>
        <v>4</v>
      </c>
      <c r="S910" s="112"/>
      <c r="T910" s="102"/>
    </row>
    <row r="911" spans="1:20">
      <c r="A911" s="117">
        <v>25</v>
      </c>
      <c r="B911" s="122" t="s">
        <v>263</v>
      </c>
      <c r="C911" s="206">
        <v>40317</v>
      </c>
      <c r="D911" s="102">
        <v>15.4</v>
      </c>
      <c r="E911" s="102">
        <v>9.6999999999999993</v>
      </c>
      <c r="F911" s="218">
        <v>97</v>
      </c>
      <c r="G911" s="102">
        <v>7.96</v>
      </c>
      <c r="H911" s="218">
        <v>9</v>
      </c>
      <c r="I911" s="102"/>
      <c r="J911" s="102">
        <v>3.1</v>
      </c>
      <c r="K911" s="218">
        <v>15</v>
      </c>
      <c r="L911" s="218">
        <v>57</v>
      </c>
      <c r="M911" s="218">
        <v>970</v>
      </c>
      <c r="N911" s="218">
        <v>140</v>
      </c>
      <c r="O911" s="218">
        <v>1900</v>
      </c>
      <c r="P911" s="112"/>
      <c r="Q911">
        <f t="shared" si="28"/>
        <v>2010</v>
      </c>
      <c r="R911">
        <f t="shared" si="29"/>
        <v>5</v>
      </c>
      <c r="S911" s="112"/>
      <c r="T911" s="102"/>
    </row>
    <row r="912" spans="1:20">
      <c r="A912" s="117">
        <v>25</v>
      </c>
      <c r="B912" s="122" t="s">
        <v>263</v>
      </c>
      <c r="C912" s="206">
        <v>40346</v>
      </c>
      <c r="D912" s="102">
        <v>18.2</v>
      </c>
      <c r="E912" s="102">
        <v>8.9</v>
      </c>
      <c r="F912" s="218">
        <v>94</v>
      </c>
      <c r="G912" s="102">
        <v>8.02</v>
      </c>
      <c r="H912" s="218">
        <v>20</v>
      </c>
      <c r="I912" s="102"/>
      <c r="J912" s="102">
        <v>0.3</v>
      </c>
      <c r="K912" s="218">
        <v>16</v>
      </c>
      <c r="L912" s="218">
        <v>96</v>
      </c>
      <c r="M912" s="218">
        <v>650</v>
      </c>
      <c r="N912" s="218">
        <v>140</v>
      </c>
      <c r="O912" s="218">
        <v>1700</v>
      </c>
      <c r="P912" s="112"/>
      <c r="Q912">
        <f t="shared" si="28"/>
        <v>2010</v>
      </c>
      <c r="R912">
        <f t="shared" si="29"/>
        <v>6</v>
      </c>
      <c r="S912" s="112"/>
      <c r="T912" s="102"/>
    </row>
    <row r="913" spans="1:20">
      <c r="A913" s="117">
        <v>25</v>
      </c>
      <c r="B913" s="122" t="s">
        <v>263</v>
      </c>
      <c r="C913" s="206">
        <v>40379</v>
      </c>
      <c r="D913" s="102">
        <v>19.899999999999999</v>
      </c>
      <c r="E913" s="102">
        <v>8.82</v>
      </c>
      <c r="F913" s="218">
        <v>97</v>
      </c>
      <c r="G913" s="102">
        <v>7.95</v>
      </c>
      <c r="H913" s="218">
        <v>14</v>
      </c>
      <c r="I913" s="102"/>
      <c r="J913" s="102">
        <v>4.55</v>
      </c>
      <c r="K913" s="218">
        <v>23</v>
      </c>
      <c r="L913" s="218">
        <v>82</v>
      </c>
      <c r="M913" s="218">
        <v>1100</v>
      </c>
      <c r="N913" s="218">
        <v>330</v>
      </c>
      <c r="O913" s="218">
        <v>2200</v>
      </c>
      <c r="P913" s="112"/>
      <c r="Q913">
        <f t="shared" si="28"/>
        <v>2010</v>
      </c>
      <c r="R913">
        <f t="shared" si="29"/>
        <v>7</v>
      </c>
      <c r="S913" s="112"/>
      <c r="T913" s="102"/>
    </row>
    <row r="914" spans="1:20">
      <c r="A914" s="117">
        <v>25</v>
      </c>
      <c r="B914" s="122" t="s">
        <v>263</v>
      </c>
      <c r="C914" s="206">
        <v>40416</v>
      </c>
      <c r="D914" s="102">
        <v>15.6</v>
      </c>
      <c r="E914" s="102">
        <v>9.41</v>
      </c>
      <c r="F914" s="218">
        <v>95</v>
      </c>
      <c r="G914" s="102">
        <v>7.91</v>
      </c>
      <c r="H914" s="218">
        <v>9</v>
      </c>
      <c r="I914" s="102"/>
      <c r="J914" s="102">
        <v>3.4</v>
      </c>
      <c r="K914" s="218">
        <v>32</v>
      </c>
      <c r="L914" s="218">
        <v>62</v>
      </c>
      <c r="M914" s="218">
        <v>820</v>
      </c>
      <c r="N914" s="218">
        <v>260</v>
      </c>
      <c r="O914" s="218">
        <v>1600</v>
      </c>
      <c r="P914" s="112"/>
      <c r="Q914">
        <f t="shared" si="28"/>
        <v>2010</v>
      </c>
      <c r="R914">
        <f t="shared" si="29"/>
        <v>8</v>
      </c>
      <c r="S914" s="112"/>
      <c r="T914" s="102"/>
    </row>
    <row r="915" spans="1:20">
      <c r="A915" s="117">
        <v>25</v>
      </c>
      <c r="B915" s="122" t="s">
        <v>263</v>
      </c>
      <c r="C915" s="206">
        <v>40444</v>
      </c>
      <c r="D915" s="102">
        <v>14.6</v>
      </c>
      <c r="E915" s="102">
        <v>11.07</v>
      </c>
      <c r="F915" s="218">
        <v>109</v>
      </c>
      <c r="G915" s="102">
        <v>7.97</v>
      </c>
      <c r="H915" s="218">
        <v>4.5</v>
      </c>
      <c r="I915" s="102"/>
      <c r="J915" s="102">
        <v>3.2</v>
      </c>
      <c r="K915" s="218">
        <v>19</v>
      </c>
      <c r="L915" s="218">
        <v>33</v>
      </c>
      <c r="M915" s="218">
        <v>1000</v>
      </c>
      <c r="N915" s="218">
        <v>120</v>
      </c>
      <c r="O915" s="218">
        <v>1600</v>
      </c>
      <c r="P915" s="112"/>
      <c r="Q915">
        <f t="shared" si="28"/>
        <v>2010</v>
      </c>
      <c r="R915">
        <f t="shared" si="29"/>
        <v>9</v>
      </c>
      <c r="S915" s="112"/>
      <c r="T915" s="102"/>
    </row>
    <row r="916" spans="1:20">
      <c r="A916" s="117">
        <v>25</v>
      </c>
      <c r="B916" s="122" t="s">
        <v>263</v>
      </c>
      <c r="C916" s="206">
        <v>40471</v>
      </c>
      <c r="D916" s="102">
        <v>8.1999999999999993</v>
      </c>
      <c r="E916" s="102">
        <v>10</v>
      </c>
      <c r="F916" s="218">
        <v>85</v>
      </c>
      <c r="G916" s="102">
        <v>7.83</v>
      </c>
      <c r="H916" s="218">
        <v>4.4000000000000004</v>
      </c>
      <c r="I916" s="102"/>
      <c r="J916" s="102">
        <v>3.2</v>
      </c>
      <c r="K916" s="218">
        <v>12</v>
      </c>
      <c r="L916" s="218">
        <v>32</v>
      </c>
      <c r="M916" s="218">
        <v>850</v>
      </c>
      <c r="N916" s="218">
        <v>250</v>
      </c>
      <c r="O916" s="218">
        <v>1600</v>
      </c>
      <c r="P916" s="112"/>
      <c r="Q916">
        <f t="shared" si="28"/>
        <v>2010</v>
      </c>
      <c r="R916">
        <f t="shared" si="29"/>
        <v>10</v>
      </c>
      <c r="S916" s="112"/>
      <c r="T916" s="102"/>
    </row>
    <row r="917" spans="1:20">
      <c r="A917" s="117">
        <v>25</v>
      </c>
      <c r="B917" s="122" t="s">
        <v>263</v>
      </c>
      <c r="C917" s="206">
        <v>40498</v>
      </c>
      <c r="D917" s="102">
        <v>5.6</v>
      </c>
      <c r="E917" s="102">
        <v>10.8</v>
      </c>
      <c r="F917" s="218">
        <v>86</v>
      </c>
      <c r="G917" s="102">
        <v>7.8</v>
      </c>
      <c r="H917" s="218">
        <v>6.3</v>
      </c>
      <c r="I917" s="102"/>
      <c r="J917" s="102">
        <v>1.6</v>
      </c>
      <c r="K917" s="218">
        <v>16</v>
      </c>
      <c r="L917" s="218">
        <v>63</v>
      </c>
      <c r="M917" s="218">
        <v>2300</v>
      </c>
      <c r="N917" s="218">
        <v>130</v>
      </c>
      <c r="O917" s="218">
        <v>3100</v>
      </c>
      <c r="P917" s="112"/>
      <c r="Q917">
        <f t="shared" si="28"/>
        <v>2010</v>
      </c>
      <c r="R917">
        <f t="shared" si="29"/>
        <v>11</v>
      </c>
      <c r="S917" s="112"/>
      <c r="T917" s="102"/>
    </row>
    <row r="918" spans="1:20">
      <c r="A918" s="117">
        <v>25</v>
      </c>
      <c r="B918" s="122" t="s">
        <v>263</v>
      </c>
      <c r="C918" s="206">
        <v>40526</v>
      </c>
      <c r="D918" s="102">
        <v>0.2</v>
      </c>
      <c r="E918" s="102">
        <v>12.3</v>
      </c>
      <c r="F918" s="218">
        <v>85</v>
      </c>
      <c r="G918" s="102">
        <v>7.58</v>
      </c>
      <c r="H918" s="218">
        <v>5.3</v>
      </c>
      <c r="I918" s="102"/>
      <c r="J918" s="102">
        <v>5.0999999999999996</v>
      </c>
      <c r="K918" s="218">
        <v>22</v>
      </c>
      <c r="L918" s="218">
        <v>44</v>
      </c>
      <c r="M918" s="218">
        <v>2000</v>
      </c>
      <c r="N918" s="218">
        <v>280</v>
      </c>
      <c r="O918" s="218">
        <v>3300</v>
      </c>
      <c r="P918" s="112"/>
      <c r="Q918">
        <f t="shared" si="28"/>
        <v>2010</v>
      </c>
      <c r="R918">
        <f t="shared" si="29"/>
        <v>12</v>
      </c>
      <c r="S918" s="112"/>
      <c r="T918" s="102"/>
    </row>
    <row r="919" spans="1:20">
      <c r="A919" s="117">
        <v>25</v>
      </c>
      <c r="B919" s="102" t="s">
        <v>263</v>
      </c>
      <c r="C919" s="206">
        <v>40554</v>
      </c>
      <c r="D919" s="102">
        <v>0.4</v>
      </c>
      <c r="E919" s="102">
        <v>13.7</v>
      </c>
      <c r="F919" s="218">
        <v>95</v>
      </c>
      <c r="G919" s="102">
        <v>7.69</v>
      </c>
      <c r="H919" s="218">
        <v>8.9</v>
      </c>
      <c r="I919" s="102"/>
      <c r="J919" s="102">
        <v>3.5</v>
      </c>
      <c r="K919" s="218">
        <v>24</v>
      </c>
      <c r="L919" s="218">
        <v>57</v>
      </c>
      <c r="M919" s="218">
        <v>1900</v>
      </c>
      <c r="N919" s="218">
        <v>330</v>
      </c>
      <c r="O919" s="218">
        <v>2800</v>
      </c>
      <c r="P919" s="112"/>
      <c r="Q919">
        <f t="shared" si="28"/>
        <v>2011</v>
      </c>
      <c r="R919">
        <f t="shared" si="29"/>
        <v>1</v>
      </c>
      <c r="S919" s="112"/>
      <c r="T919" s="102"/>
    </row>
    <row r="920" spans="1:20">
      <c r="A920" s="117">
        <v>25</v>
      </c>
      <c r="B920" s="102" t="s">
        <v>263</v>
      </c>
      <c r="C920" s="206">
        <v>40589</v>
      </c>
      <c r="D920" s="102">
        <v>0.4</v>
      </c>
      <c r="E920" s="102">
        <v>3.57</v>
      </c>
      <c r="F920" s="218">
        <v>25</v>
      </c>
      <c r="G920" s="102">
        <v>6.83</v>
      </c>
      <c r="H920" s="218">
        <v>6.1</v>
      </c>
      <c r="I920" s="102"/>
      <c r="J920" s="102">
        <v>4.5</v>
      </c>
      <c r="K920" s="218">
        <v>22</v>
      </c>
      <c r="L920" s="218">
        <v>62</v>
      </c>
      <c r="M920" s="218">
        <v>1900</v>
      </c>
      <c r="N920" s="218">
        <v>140</v>
      </c>
      <c r="O920" s="218">
        <v>4000</v>
      </c>
      <c r="P920" s="112"/>
      <c r="Q920">
        <f t="shared" si="28"/>
        <v>2011</v>
      </c>
      <c r="R920">
        <f t="shared" si="29"/>
        <v>2</v>
      </c>
      <c r="S920" s="112"/>
      <c r="T920" s="102"/>
    </row>
    <row r="921" spans="1:20">
      <c r="A921" s="117">
        <v>25</v>
      </c>
      <c r="B921" s="102" t="s">
        <v>263</v>
      </c>
      <c r="C921" s="206">
        <v>40612</v>
      </c>
      <c r="D921" s="102">
        <v>2.4</v>
      </c>
      <c r="E921" s="102">
        <v>12.6</v>
      </c>
      <c r="F921" s="218">
        <v>106</v>
      </c>
      <c r="G921" s="102">
        <v>7.84</v>
      </c>
      <c r="H921" s="218">
        <v>8.5</v>
      </c>
      <c r="I921" s="102"/>
      <c r="J921" s="102">
        <v>4.4000000000000004</v>
      </c>
      <c r="K921" s="218">
        <v>18</v>
      </c>
      <c r="L921" s="218">
        <v>58</v>
      </c>
      <c r="M921" s="218">
        <v>1800</v>
      </c>
      <c r="N921" s="218">
        <v>220</v>
      </c>
      <c r="O921" s="218">
        <v>2900</v>
      </c>
      <c r="P921" s="112"/>
      <c r="Q921">
        <f t="shared" si="28"/>
        <v>2011</v>
      </c>
      <c r="R921">
        <f t="shared" si="29"/>
        <v>3</v>
      </c>
      <c r="S921" s="112"/>
      <c r="T921" s="102"/>
    </row>
    <row r="922" spans="1:20">
      <c r="A922" s="117">
        <v>25</v>
      </c>
      <c r="B922" s="102" t="s">
        <v>263</v>
      </c>
      <c r="C922" s="206">
        <v>40646</v>
      </c>
      <c r="D922" s="102">
        <v>7.1</v>
      </c>
      <c r="E922" s="102">
        <v>10.5</v>
      </c>
      <c r="F922" s="218">
        <v>87</v>
      </c>
      <c r="G922" s="102">
        <v>7.88</v>
      </c>
      <c r="H922" s="218">
        <v>5.8</v>
      </c>
      <c r="I922" s="102"/>
      <c r="J922" s="102">
        <v>3.5</v>
      </c>
      <c r="K922" s="218">
        <v>12</v>
      </c>
      <c r="L922" s="218">
        <v>49</v>
      </c>
      <c r="M922" s="218">
        <v>1400</v>
      </c>
      <c r="N922" s="218">
        <v>140</v>
      </c>
      <c r="O922" s="218">
        <v>2300</v>
      </c>
      <c r="P922" s="112"/>
      <c r="Q922">
        <f t="shared" si="28"/>
        <v>2011</v>
      </c>
      <c r="R922">
        <f t="shared" si="29"/>
        <v>4</v>
      </c>
      <c r="S922" s="112"/>
      <c r="T922" s="102"/>
    </row>
    <row r="923" spans="1:20">
      <c r="A923" s="117">
        <v>25</v>
      </c>
      <c r="B923" s="102" t="s">
        <v>263</v>
      </c>
      <c r="C923" s="206">
        <v>40673</v>
      </c>
      <c r="D923" s="102">
        <v>13.8</v>
      </c>
      <c r="E923" s="102">
        <v>9.1</v>
      </c>
      <c r="F923" s="218">
        <v>88</v>
      </c>
      <c r="G923" s="102">
        <v>7.95</v>
      </c>
      <c r="H923" s="218">
        <v>4.8</v>
      </c>
      <c r="I923" s="102"/>
      <c r="J923" s="102">
        <v>5.2</v>
      </c>
      <c r="K923" s="218">
        <v>12</v>
      </c>
      <c r="L923" s="218">
        <v>57</v>
      </c>
      <c r="M923" s="218">
        <v>1000</v>
      </c>
      <c r="N923" s="218">
        <v>300</v>
      </c>
      <c r="O923" s="218">
        <v>2000</v>
      </c>
      <c r="P923" s="112"/>
      <c r="Q923">
        <f t="shared" si="28"/>
        <v>2011</v>
      </c>
      <c r="R923">
        <f t="shared" si="29"/>
        <v>5</v>
      </c>
      <c r="S923" s="112"/>
      <c r="T923" s="102"/>
    </row>
    <row r="924" spans="1:20">
      <c r="A924" s="117">
        <v>25</v>
      </c>
      <c r="B924" s="102" t="s">
        <v>263</v>
      </c>
      <c r="C924" s="206">
        <v>40710</v>
      </c>
      <c r="D924" s="102">
        <v>19</v>
      </c>
      <c r="E924" s="102">
        <v>10.199999999999999</v>
      </c>
      <c r="F924" s="218">
        <v>110</v>
      </c>
      <c r="G924" s="102">
        <v>8.02</v>
      </c>
      <c r="H924" s="218">
        <v>12</v>
      </c>
      <c r="I924" s="102"/>
      <c r="J924" s="102">
        <v>4.5999999999999996</v>
      </c>
      <c r="K924" s="218">
        <v>11</v>
      </c>
      <c r="L924" s="218">
        <v>76</v>
      </c>
      <c r="M924" s="218">
        <v>670</v>
      </c>
      <c r="N924" s="218">
        <v>180</v>
      </c>
      <c r="O924" s="218">
        <v>1700</v>
      </c>
      <c r="P924" s="112"/>
      <c r="Q924">
        <f t="shared" si="28"/>
        <v>2011</v>
      </c>
      <c r="R924">
        <f t="shared" si="29"/>
        <v>6</v>
      </c>
      <c r="S924" s="112"/>
      <c r="T924" s="102"/>
    </row>
    <row r="925" spans="1:20">
      <c r="A925" s="117">
        <v>25</v>
      </c>
      <c r="B925" s="102" t="s">
        <v>263</v>
      </c>
      <c r="C925" s="206">
        <v>40738</v>
      </c>
      <c r="D925" s="102">
        <v>15.6</v>
      </c>
      <c r="E925" s="102">
        <v>8</v>
      </c>
      <c r="F925" s="218">
        <v>81</v>
      </c>
      <c r="G925" s="102">
        <v>7.83</v>
      </c>
      <c r="H925" s="218">
        <v>5.6</v>
      </c>
      <c r="I925" s="102"/>
      <c r="J925" s="102">
        <v>2.2999999999999998</v>
      </c>
      <c r="K925" s="218">
        <v>21</v>
      </c>
      <c r="L925" s="218">
        <v>59</v>
      </c>
      <c r="M925" s="218">
        <v>780</v>
      </c>
      <c r="N925" s="218">
        <v>190</v>
      </c>
      <c r="O925" s="218">
        <v>1500</v>
      </c>
      <c r="P925" s="112"/>
      <c r="Q925">
        <f t="shared" si="28"/>
        <v>2011</v>
      </c>
      <c r="R925">
        <f t="shared" si="29"/>
        <v>7</v>
      </c>
      <c r="S925" s="112"/>
      <c r="T925" s="102"/>
    </row>
    <row r="926" spans="1:20">
      <c r="A926" s="117">
        <v>25</v>
      </c>
      <c r="B926" s="102" t="s">
        <v>263</v>
      </c>
      <c r="C926" s="206">
        <v>40778</v>
      </c>
      <c r="D926" s="102">
        <v>17.2</v>
      </c>
      <c r="E926" s="102">
        <v>7.7</v>
      </c>
      <c r="F926" s="218">
        <v>80</v>
      </c>
      <c r="G926" s="102">
        <v>7.66</v>
      </c>
      <c r="H926" s="218">
        <v>7.5</v>
      </c>
      <c r="I926" s="102"/>
      <c r="J926" s="102">
        <v>3</v>
      </c>
      <c r="K926" s="218">
        <v>31</v>
      </c>
      <c r="L926" s="218">
        <v>67</v>
      </c>
      <c r="M926" s="218">
        <v>710</v>
      </c>
      <c r="N926" s="218">
        <v>110</v>
      </c>
      <c r="O926" s="218">
        <v>1600</v>
      </c>
      <c r="P926" s="112"/>
      <c r="Q926">
        <f t="shared" si="28"/>
        <v>2011</v>
      </c>
      <c r="R926">
        <f t="shared" si="29"/>
        <v>8</v>
      </c>
      <c r="S926" s="112"/>
      <c r="T926" s="102"/>
    </row>
    <row r="927" spans="1:20">
      <c r="A927" s="117">
        <v>25</v>
      </c>
      <c r="B927" s="102" t="s">
        <v>263</v>
      </c>
      <c r="C927" s="206">
        <v>40807</v>
      </c>
      <c r="D927" s="102">
        <v>14</v>
      </c>
      <c r="E927" s="102">
        <v>7.7</v>
      </c>
      <c r="F927" s="218">
        <v>75</v>
      </c>
      <c r="G927" s="102">
        <v>7.69</v>
      </c>
      <c r="H927" s="218">
        <v>3.9</v>
      </c>
      <c r="I927" s="102"/>
      <c r="J927" s="102">
        <v>2.7</v>
      </c>
      <c r="K927" s="218">
        <v>21</v>
      </c>
      <c r="L927" s="218">
        <v>47</v>
      </c>
      <c r="M927" s="218">
        <v>850</v>
      </c>
      <c r="N927" s="218">
        <v>130</v>
      </c>
      <c r="O927" s="218">
        <v>1700</v>
      </c>
      <c r="P927" s="112"/>
      <c r="Q927">
        <f t="shared" si="28"/>
        <v>2011</v>
      </c>
      <c r="R927">
        <f t="shared" si="29"/>
        <v>9</v>
      </c>
      <c r="S927" s="112"/>
      <c r="T927" s="102"/>
    </row>
    <row r="928" spans="1:20">
      <c r="A928" s="117">
        <v>25</v>
      </c>
      <c r="B928" s="102" t="s">
        <v>263</v>
      </c>
      <c r="C928" s="206">
        <v>40834</v>
      </c>
      <c r="D928" s="102">
        <v>8.5</v>
      </c>
      <c r="E928" s="102">
        <v>10.7</v>
      </c>
      <c r="F928" s="218">
        <v>92</v>
      </c>
      <c r="G928" s="102">
        <v>7.77</v>
      </c>
      <c r="H928" s="218">
        <v>6.5</v>
      </c>
      <c r="I928" s="102"/>
      <c r="J928" s="102">
        <v>2.5</v>
      </c>
      <c r="K928" s="218">
        <v>24</v>
      </c>
      <c r="L928" s="218">
        <v>56</v>
      </c>
      <c r="M928" s="218">
        <v>900</v>
      </c>
      <c r="N928" s="218">
        <v>210</v>
      </c>
      <c r="O928" s="218">
        <v>1700</v>
      </c>
      <c r="P928" s="112"/>
      <c r="Q928">
        <f t="shared" si="28"/>
        <v>2011</v>
      </c>
      <c r="R928">
        <f t="shared" si="29"/>
        <v>10</v>
      </c>
      <c r="S928" s="112"/>
      <c r="T928" s="102"/>
    </row>
    <row r="929" spans="1:20">
      <c r="A929" s="117">
        <v>25</v>
      </c>
      <c r="B929" s="102" t="s">
        <v>263</v>
      </c>
      <c r="C929" s="206">
        <v>40863</v>
      </c>
      <c r="D929" s="102">
        <v>4.7</v>
      </c>
      <c r="E929" s="102">
        <v>11.9</v>
      </c>
      <c r="F929" s="218">
        <v>93</v>
      </c>
      <c r="G929" s="102">
        <v>7.81</v>
      </c>
      <c r="H929" s="218">
        <v>18</v>
      </c>
      <c r="I929" s="102"/>
      <c r="J929" s="102">
        <v>3.7</v>
      </c>
      <c r="K929" s="218">
        <v>26</v>
      </c>
      <c r="L929" s="218">
        <v>94</v>
      </c>
      <c r="M929" s="218">
        <v>990</v>
      </c>
      <c r="N929" s="218">
        <v>390</v>
      </c>
      <c r="O929" s="218">
        <v>2300</v>
      </c>
      <c r="P929" s="112"/>
      <c r="Q929">
        <f t="shared" si="28"/>
        <v>2011</v>
      </c>
      <c r="R929">
        <f t="shared" si="29"/>
        <v>11</v>
      </c>
      <c r="S929" s="112"/>
      <c r="T929" s="102"/>
    </row>
    <row r="930" spans="1:20">
      <c r="A930" s="117">
        <v>25</v>
      </c>
      <c r="B930" s="102" t="s">
        <v>263</v>
      </c>
      <c r="C930" s="206">
        <v>40896</v>
      </c>
      <c r="D930" s="102">
        <v>2.6</v>
      </c>
      <c r="E930" s="102">
        <v>11.9</v>
      </c>
      <c r="F930" s="218">
        <v>87</v>
      </c>
      <c r="G930" s="102">
        <v>7.69</v>
      </c>
      <c r="H930" s="218">
        <v>7.8</v>
      </c>
      <c r="I930" s="102"/>
      <c r="J930" s="102">
        <v>2.2999999999999998</v>
      </c>
      <c r="K930" s="218">
        <v>25</v>
      </c>
      <c r="L930" s="218">
        <v>63</v>
      </c>
      <c r="M930" s="218">
        <v>1800</v>
      </c>
      <c r="N930" s="218">
        <v>220</v>
      </c>
      <c r="O930" s="218">
        <v>2800</v>
      </c>
      <c r="P930" s="112"/>
      <c r="Q930">
        <f t="shared" si="28"/>
        <v>2011</v>
      </c>
      <c r="R930">
        <f t="shared" si="29"/>
        <v>12</v>
      </c>
      <c r="S930" s="112"/>
      <c r="T930" s="102"/>
    </row>
    <row r="931" spans="1:20">
      <c r="A931" s="117">
        <v>25</v>
      </c>
      <c r="B931" s="102" t="s">
        <v>263</v>
      </c>
      <c r="C931" s="216">
        <v>40926</v>
      </c>
      <c r="D931">
        <v>3</v>
      </c>
      <c r="E931" s="116">
        <v>11.4</v>
      </c>
      <c r="F931" s="101">
        <v>85</v>
      </c>
      <c r="G931">
        <v>7.8</v>
      </c>
      <c r="H931" s="116">
        <v>7.1</v>
      </c>
      <c r="J931">
        <v>1.8</v>
      </c>
      <c r="K931">
        <v>27</v>
      </c>
      <c r="L931" s="218">
        <v>56</v>
      </c>
      <c r="M931">
        <v>1500</v>
      </c>
      <c r="N931">
        <v>160</v>
      </c>
      <c r="O931">
        <v>3000</v>
      </c>
      <c r="Q931">
        <f t="shared" si="28"/>
        <v>2012</v>
      </c>
      <c r="R931">
        <f t="shared" si="29"/>
        <v>1</v>
      </c>
    </row>
    <row r="932" spans="1:20">
      <c r="A932" s="117">
        <v>25</v>
      </c>
      <c r="B932" s="102" t="s">
        <v>263</v>
      </c>
      <c r="C932" s="216">
        <v>40949</v>
      </c>
      <c r="D932">
        <v>-0.1</v>
      </c>
      <c r="E932" s="116">
        <v>12.4</v>
      </c>
      <c r="F932" s="101">
        <v>83</v>
      </c>
      <c r="G932">
        <v>7.9</v>
      </c>
      <c r="H932" s="116">
        <v>10</v>
      </c>
      <c r="J932">
        <v>0.79</v>
      </c>
      <c r="K932">
        <v>18</v>
      </c>
      <c r="L932">
        <v>76</v>
      </c>
      <c r="M932">
        <v>1500</v>
      </c>
      <c r="N932">
        <v>250</v>
      </c>
      <c r="O932">
        <v>2500</v>
      </c>
      <c r="Q932">
        <f t="shared" si="28"/>
        <v>2012</v>
      </c>
      <c r="R932">
        <f t="shared" si="29"/>
        <v>2</v>
      </c>
    </row>
    <row r="933" spans="1:20">
      <c r="A933" s="117">
        <v>25</v>
      </c>
      <c r="B933" s="102" t="s">
        <v>263</v>
      </c>
      <c r="C933" s="216">
        <v>40983</v>
      </c>
      <c r="D933">
        <v>5.5</v>
      </c>
      <c r="E933" s="116">
        <v>11.5</v>
      </c>
      <c r="F933" s="101">
        <v>93</v>
      </c>
      <c r="G933">
        <v>7.9</v>
      </c>
      <c r="H933" s="116">
        <v>5.8</v>
      </c>
      <c r="J933">
        <v>2.5</v>
      </c>
      <c r="K933">
        <v>15</v>
      </c>
      <c r="L933">
        <v>58</v>
      </c>
      <c r="M933">
        <v>1300</v>
      </c>
      <c r="N933">
        <v>97</v>
      </c>
      <c r="O933">
        <v>2100</v>
      </c>
      <c r="Q933">
        <f t="shared" si="28"/>
        <v>2012</v>
      </c>
      <c r="R933">
        <f t="shared" si="29"/>
        <v>3</v>
      </c>
    </row>
    <row r="934" spans="1:20">
      <c r="A934" s="117">
        <v>25</v>
      </c>
      <c r="B934" s="102" t="s">
        <v>263</v>
      </c>
      <c r="C934" s="216">
        <v>41012</v>
      </c>
      <c r="D934">
        <v>9.1999999999999993</v>
      </c>
      <c r="E934" s="116">
        <v>11.3</v>
      </c>
      <c r="F934" s="101">
        <v>92</v>
      </c>
      <c r="G934">
        <v>8</v>
      </c>
      <c r="H934" s="116">
        <v>4.9000000000000004</v>
      </c>
      <c r="J934">
        <v>3.4</v>
      </c>
      <c r="K934">
        <v>9</v>
      </c>
      <c r="L934">
        <v>52</v>
      </c>
      <c r="M934">
        <v>1100</v>
      </c>
      <c r="N934">
        <v>140</v>
      </c>
      <c r="O934">
        <v>2000</v>
      </c>
      <c r="Q934">
        <f t="shared" si="28"/>
        <v>2012</v>
      </c>
      <c r="R934">
        <f t="shared" si="29"/>
        <v>4</v>
      </c>
    </row>
    <row r="935" spans="1:20">
      <c r="A935" s="117">
        <v>25</v>
      </c>
      <c r="B935" s="102" t="s">
        <v>263</v>
      </c>
      <c r="C935" s="216">
        <v>41044</v>
      </c>
      <c r="D935">
        <v>13.7</v>
      </c>
      <c r="E935" s="116">
        <v>10.3</v>
      </c>
      <c r="F935" s="101">
        <v>104</v>
      </c>
      <c r="G935">
        <v>8.1</v>
      </c>
      <c r="H935" s="116">
        <v>6.1</v>
      </c>
      <c r="J935">
        <v>3.2</v>
      </c>
      <c r="K935">
        <v>5</v>
      </c>
      <c r="L935">
        <v>61</v>
      </c>
      <c r="M935">
        <v>880</v>
      </c>
      <c r="N935">
        <v>140</v>
      </c>
      <c r="O935">
        <v>1700</v>
      </c>
      <c r="Q935">
        <f t="shared" si="28"/>
        <v>2012</v>
      </c>
      <c r="R935">
        <f t="shared" si="29"/>
        <v>5</v>
      </c>
    </row>
    <row r="936" spans="1:20">
      <c r="A936" s="117">
        <v>25</v>
      </c>
      <c r="B936" s="102" t="s">
        <v>263</v>
      </c>
      <c r="C936" s="216">
        <v>41078</v>
      </c>
      <c r="D936">
        <v>19.899999999999999</v>
      </c>
      <c r="E936" s="116">
        <v>9.9</v>
      </c>
      <c r="F936" s="101">
        <v>109</v>
      </c>
      <c r="G936">
        <v>8.1</v>
      </c>
      <c r="H936" s="116">
        <v>10</v>
      </c>
      <c r="J936">
        <v>3.4</v>
      </c>
      <c r="K936">
        <v>26</v>
      </c>
      <c r="L936">
        <v>66</v>
      </c>
      <c r="M936">
        <v>1100</v>
      </c>
      <c r="N936">
        <v>110</v>
      </c>
      <c r="O936">
        <v>1800</v>
      </c>
      <c r="Q936">
        <f t="shared" si="28"/>
        <v>2012</v>
      </c>
      <c r="R936">
        <f t="shared" si="29"/>
        <v>6</v>
      </c>
    </row>
    <row r="937" spans="1:20">
      <c r="A937" s="117">
        <v>25</v>
      </c>
      <c r="B937" s="102" t="s">
        <v>263</v>
      </c>
      <c r="C937" s="216">
        <v>41101</v>
      </c>
      <c r="D937">
        <v>17</v>
      </c>
      <c r="E937" s="116">
        <v>9.1</v>
      </c>
      <c r="F937" s="101">
        <v>95</v>
      </c>
      <c r="G937">
        <v>8</v>
      </c>
      <c r="H937" s="116">
        <v>5</v>
      </c>
      <c r="J937">
        <v>1.8</v>
      </c>
      <c r="K937">
        <v>24</v>
      </c>
      <c r="L937" s="218">
        <v>53</v>
      </c>
      <c r="M937">
        <v>910</v>
      </c>
      <c r="N937">
        <v>170</v>
      </c>
      <c r="O937">
        <v>1600</v>
      </c>
      <c r="Q937">
        <f t="shared" si="28"/>
        <v>2012</v>
      </c>
      <c r="R937">
        <f t="shared" si="29"/>
        <v>7</v>
      </c>
    </row>
    <row r="938" spans="1:20">
      <c r="A938" s="117">
        <v>25</v>
      </c>
      <c r="B938" s="102" t="s">
        <v>263</v>
      </c>
      <c r="C938" s="216">
        <v>41136</v>
      </c>
      <c r="D938">
        <v>17.899999999999999</v>
      </c>
      <c r="E938" s="116">
        <v>9.9</v>
      </c>
      <c r="F938" s="101">
        <v>106</v>
      </c>
      <c r="G938">
        <v>8.1</v>
      </c>
      <c r="H938" s="116">
        <v>6.5</v>
      </c>
      <c r="J938">
        <v>2.5</v>
      </c>
      <c r="K938">
        <v>22</v>
      </c>
      <c r="L938" s="218">
        <v>62</v>
      </c>
      <c r="M938">
        <v>1000</v>
      </c>
      <c r="N938">
        <v>58</v>
      </c>
      <c r="O938">
        <v>1700</v>
      </c>
      <c r="Q938">
        <f t="shared" si="28"/>
        <v>2012</v>
      </c>
      <c r="R938">
        <f t="shared" si="29"/>
        <v>8</v>
      </c>
    </row>
    <row r="939" spans="1:20">
      <c r="A939" s="117">
        <v>25</v>
      </c>
      <c r="B939" s="102" t="s">
        <v>263</v>
      </c>
      <c r="C939" s="216">
        <v>41169</v>
      </c>
      <c r="D939">
        <v>14.7</v>
      </c>
      <c r="E939" s="116">
        <v>9.6</v>
      </c>
      <c r="F939" s="101">
        <v>96</v>
      </c>
      <c r="G939">
        <v>8</v>
      </c>
      <c r="H939" s="116">
        <v>30</v>
      </c>
      <c r="J939">
        <v>2.2000000000000002</v>
      </c>
      <c r="K939">
        <v>20</v>
      </c>
      <c r="L939" s="218">
        <v>98</v>
      </c>
      <c r="M939">
        <v>940</v>
      </c>
      <c r="N939">
        <v>100</v>
      </c>
      <c r="O939">
        <v>2300</v>
      </c>
      <c r="Q939">
        <f t="shared" si="28"/>
        <v>2012</v>
      </c>
      <c r="R939">
        <f t="shared" si="29"/>
        <v>9</v>
      </c>
    </row>
    <row r="940" spans="1:20">
      <c r="A940" s="117">
        <v>25</v>
      </c>
      <c r="B940" s="102" t="s">
        <v>263</v>
      </c>
      <c r="C940" s="216">
        <v>41193</v>
      </c>
      <c r="D940">
        <v>9.8000000000000007</v>
      </c>
      <c r="E940" s="116">
        <v>12</v>
      </c>
      <c r="F940" s="101">
        <v>106</v>
      </c>
      <c r="G940">
        <v>8</v>
      </c>
      <c r="H940" s="116">
        <v>19</v>
      </c>
      <c r="J940">
        <v>2.7</v>
      </c>
      <c r="K940">
        <v>40</v>
      </c>
      <c r="L940">
        <v>65</v>
      </c>
      <c r="M940">
        <v>870</v>
      </c>
      <c r="N940">
        <v>260</v>
      </c>
      <c r="O940">
        <v>1800</v>
      </c>
      <c r="Q940">
        <f t="shared" si="28"/>
        <v>2012</v>
      </c>
      <c r="R940">
        <f t="shared" si="29"/>
        <v>10</v>
      </c>
    </row>
    <row r="941" spans="1:20">
      <c r="A941" s="117">
        <v>25</v>
      </c>
      <c r="B941" s="102" t="s">
        <v>263</v>
      </c>
      <c r="C941" s="216">
        <v>41225</v>
      </c>
      <c r="D941">
        <v>7.8</v>
      </c>
      <c r="E941" s="116">
        <v>10.4</v>
      </c>
      <c r="F941" s="101">
        <v>87</v>
      </c>
      <c r="G941">
        <v>7.9</v>
      </c>
      <c r="H941" s="116">
        <v>4.7</v>
      </c>
      <c r="J941">
        <v>1.8</v>
      </c>
      <c r="K941">
        <v>20</v>
      </c>
      <c r="L941">
        <v>51</v>
      </c>
      <c r="M941">
        <v>1400</v>
      </c>
      <c r="N941">
        <v>140</v>
      </c>
      <c r="O941">
        <v>2200</v>
      </c>
      <c r="Q941">
        <f t="shared" si="28"/>
        <v>2012</v>
      </c>
      <c r="R941">
        <f t="shared" si="29"/>
        <v>11</v>
      </c>
    </row>
    <row r="942" spans="1:20">
      <c r="A942" s="117">
        <v>25</v>
      </c>
      <c r="B942" s="102" t="s">
        <v>263</v>
      </c>
      <c r="C942" s="216">
        <v>41263</v>
      </c>
      <c r="D942">
        <v>2.2000000000000002</v>
      </c>
      <c r="E942" s="116">
        <v>12</v>
      </c>
      <c r="F942" s="101">
        <v>85</v>
      </c>
      <c r="G942">
        <v>7.9</v>
      </c>
      <c r="H942" s="116">
        <v>9.9</v>
      </c>
      <c r="J942">
        <v>2.7</v>
      </c>
      <c r="K942">
        <v>22</v>
      </c>
      <c r="L942">
        <v>66</v>
      </c>
      <c r="M942">
        <v>2100</v>
      </c>
      <c r="N942">
        <v>250</v>
      </c>
      <c r="O942">
        <v>2600</v>
      </c>
      <c r="Q942">
        <f t="shared" si="28"/>
        <v>2012</v>
      </c>
      <c r="R942">
        <f t="shared" si="29"/>
        <v>12</v>
      </c>
    </row>
    <row r="943" spans="1:20">
      <c r="A943" s="117">
        <v>25</v>
      </c>
      <c r="B943" s="102" t="s">
        <v>263</v>
      </c>
      <c r="C943" s="206">
        <v>41292</v>
      </c>
      <c r="D943" s="102">
        <v>0.9</v>
      </c>
      <c r="E943" s="102">
        <v>12.2</v>
      </c>
      <c r="F943" s="218">
        <v>85</v>
      </c>
      <c r="G943" s="102">
        <v>7.8</v>
      </c>
      <c r="H943" s="218">
        <v>6.1</v>
      </c>
      <c r="I943" s="102"/>
      <c r="J943" s="102">
        <v>3</v>
      </c>
      <c r="K943" s="218">
        <v>20</v>
      </c>
      <c r="L943" s="218">
        <v>51</v>
      </c>
      <c r="M943" s="218">
        <v>1600</v>
      </c>
      <c r="N943" s="218">
        <v>310</v>
      </c>
      <c r="O943" s="218">
        <v>2500</v>
      </c>
      <c r="P943" s="112"/>
      <c r="Q943">
        <f t="shared" si="28"/>
        <v>2013</v>
      </c>
      <c r="R943">
        <f t="shared" si="29"/>
        <v>1</v>
      </c>
      <c r="S943" s="112"/>
      <c r="T943" s="102"/>
    </row>
    <row r="944" spans="1:20">
      <c r="A944" s="117">
        <v>25</v>
      </c>
      <c r="B944" s="102" t="s">
        <v>263</v>
      </c>
      <c r="C944" s="206">
        <v>41323</v>
      </c>
      <c r="D944" s="102">
        <v>1.9</v>
      </c>
      <c r="E944" s="102">
        <v>11.4</v>
      </c>
      <c r="F944" s="218">
        <v>89</v>
      </c>
      <c r="G944" s="102">
        <v>7.8</v>
      </c>
      <c r="H944" s="218">
        <v>4.5</v>
      </c>
      <c r="I944" s="102"/>
      <c r="J944" s="102">
        <v>2.2999999999999998</v>
      </c>
      <c r="K944" s="218">
        <v>20</v>
      </c>
      <c r="L944" s="218">
        <v>51</v>
      </c>
      <c r="M944" s="218">
        <v>1800</v>
      </c>
      <c r="N944" s="218">
        <v>180</v>
      </c>
      <c r="O944" s="218">
        <v>2500</v>
      </c>
      <c r="P944" s="112"/>
      <c r="Q944">
        <f t="shared" si="28"/>
        <v>2013</v>
      </c>
      <c r="R944">
        <f t="shared" si="29"/>
        <v>2</v>
      </c>
      <c r="S944" s="112"/>
      <c r="T944" s="102"/>
    </row>
    <row r="945" spans="1:20">
      <c r="A945" s="117">
        <v>25</v>
      </c>
      <c r="B945" s="102" t="s">
        <v>263</v>
      </c>
      <c r="C945" s="206">
        <v>41347</v>
      </c>
      <c r="D945" s="102">
        <v>2.7</v>
      </c>
      <c r="E945" s="102">
        <v>12.1</v>
      </c>
      <c r="F945" s="218">
        <v>91</v>
      </c>
      <c r="G945" s="102">
        <v>7.9</v>
      </c>
      <c r="H945" s="218">
        <v>8</v>
      </c>
      <c r="I945" s="102"/>
      <c r="J945" s="102">
        <v>3.6</v>
      </c>
      <c r="K945" s="218">
        <v>10</v>
      </c>
      <c r="L945" s="218">
        <v>60</v>
      </c>
      <c r="M945" s="218">
        <v>1900</v>
      </c>
      <c r="N945" s="218">
        <v>120</v>
      </c>
      <c r="O945" s="218">
        <v>2600</v>
      </c>
      <c r="P945" s="112"/>
      <c r="Q945">
        <f t="shared" si="28"/>
        <v>2013</v>
      </c>
      <c r="R945">
        <f t="shared" si="29"/>
        <v>3</v>
      </c>
      <c r="S945" s="112"/>
      <c r="T945" s="102"/>
    </row>
    <row r="946" spans="1:20">
      <c r="A946" s="117">
        <v>25</v>
      </c>
      <c r="B946" s="102" t="s">
        <v>263</v>
      </c>
      <c r="C946" s="206">
        <v>41379</v>
      </c>
      <c r="D946" s="102">
        <v>9.4</v>
      </c>
      <c r="E946" s="102">
        <v>10.7</v>
      </c>
      <c r="F946" s="218">
        <v>93</v>
      </c>
      <c r="G946" s="102">
        <v>7.9</v>
      </c>
      <c r="H946" s="218">
        <v>3.9</v>
      </c>
      <c r="I946" s="102"/>
      <c r="J946" s="102">
        <v>2.7</v>
      </c>
      <c r="K946" s="218">
        <v>7</v>
      </c>
      <c r="L946" s="218">
        <v>35</v>
      </c>
      <c r="M946" s="218">
        <v>850</v>
      </c>
      <c r="N946" s="218">
        <v>58</v>
      </c>
      <c r="O946" s="218">
        <v>1800</v>
      </c>
      <c r="P946" s="112"/>
      <c r="Q946">
        <f t="shared" si="28"/>
        <v>2013</v>
      </c>
      <c r="R946">
        <f t="shared" si="29"/>
        <v>4</v>
      </c>
      <c r="S946" s="112"/>
      <c r="T946" s="102"/>
    </row>
    <row r="947" spans="1:20">
      <c r="A947" s="117">
        <v>25</v>
      </c>
      <c r="B947" s="102" t="s">
        <v>263</v>
      </c>
      <c r="C947" s="206">
        <v>41408</v>
      </c>
      <c r="D947" s="102">
        <v>14.5</v>
      </c>
      <c r="E947" s="102">
        <v>9.8000000000000007</v>
      </c>
      <c r="F947" s="218">
        <v>98</v>
      </c>
      <c r="G947" s="102">
        <v>8.1999999999999993</v>
      </c>
      <c r="H947" s="218">
        <v>3.6</v>
      </c>
      <c r="I947" s="102"/>
      <c r="J947" s="102">
        <v>2.8</v>
      </c>
      <c r="K947" s="218">
        <v>12</v>
      </c>
      <c r="L947" s="218">
        <v>45</v>
      </c>
      <c r="M947" s="218">
        <v>520</v>
      </c>
      <c r="N947" s="218">
        <v>29</v>
      </c>
      <c r="O947" s="218">
        <v>1300</v>
      </c>
      <c r="P947" s="112"/>
      <c r="Q947">
        <f t="shared" si="28"/>
        <v>2013</v>
      </c>
      <c r="R947">
        <f t="shared" si="29"/>
        <v>5</v>
      </c>
      <c r="S947" s="112"/>
      <c r="T947" s="102"/>
    </row>
    <row r="948" spans="1:20">
      <c r="A948" s="117">
        <v>25</v>
      </c>
      <c r="B948" s="102" t="s">
        <v>263</v>
      </c>
      <c r="C948" s="206">
        <v>41443</v>
      </c>
      <c r="D948" s="102">
        <v>17.600000000000001</v>
      </c>
      <c r="E948" s="102">
        <v>8.3000000000000007</v>
      </c>
      <c r="F948" s="218">
        <v>88</v>
      </c>
      <c r="G948" s="102">
        <v>7.9</v>
      </c>
      <c r="H948" s="218">
        <v>5.8</v>
      </c>
      <c r="I948" s="102"/>
      <c r="J948" s="102">
        <v>3.6</v>
      </c>
      <c r="K948" s="218">
        <v>31</v>
      </c>
      <c r="L948" s="218">
        <v>64</v>
      </c>
      <c r="M948" s="218">
        <v>500</v>
      </c>
      <c r="N948" s="218">
        <v>320</v>
      </c>
      <c r="O948" s="218">
        <v>1600</v>
      </c>
      <c r="P948" s="112"/>
      <c r="Q948">
        <f t="shared" si="28"/>
        <v>2013</v>
      </c>
      <c r="R948">
        <f t="shared" si="29"/>
        <v>6</v>
      </c>
      <c r="S948" s="112"/>
      <c r="T948" s="102"/>
    </row>
    <row r="949" spans="1:20">
      <c r="A949" s="117">
        <v>25</v>
      </c>
      <c r="B949" s="102" t="s">
        <v>263</v>
      </c>
      <c r="C949" s="206">
        <v>41465</v>
      </c>
      <c r="D949" s="102">
        <v>20.3</v>
      </c>
      <c r="E949" s="102">
        <v>11</v>
      </c>
      <c r="F949" s="218">
        <v>125</v>
      </c>
      <c r="G949" s="102">
        <v>8.3000000000000007</v>
      </c>
      <c r="H949" s="218">
        <v>3.7</v>
      </c>
      <c r="I949" s="102"/>
      <c r="J949" s="102">
        <v>1.9</v>
      </c>
      <c r="K949" s="218">
        <v>14</v>
      </c>
      <c r="L949" s="218">
        <v>42</v>
      </c>
      <c r="M949" s="218">
        <v>480</v>
      </c>
      <c r="N949" s="218">
        <v>46</v>
      </c>
      <c r="O949" s="218">
        <v>1200</v>
      </c>
      <c r="P949" s="112"/>
      <c r="Q949">
        <f t="shared" si="28"/>
        <v>2013</v>
      </c>
      <c r="R949">
        <f t="shared" si="29"/>
        <v>7</v>
      </c>
      <c r="S949" s="112"/>
      <c r="T949" s="102"/>
    </row>
    <row r="950" spans="1:20">
      <c r="A950" s="117">
        <v>25</v>
      </c>
      <c r="B950" s="102" t="s">
        <v>263</v>
      </c>
      <c r="C950" s="206">
        <v>41500</v>
      </c>
      <c r="D950" s="102">
        <v>14.9</v>
      </c>
      <c r="E950" s="102">
        <v>7</v>
      </c>
      <c r="F950" s="218">
        <v>69</v>
      </c>
      <c r="G950" s="102">
        <v>7.8</v>
      </c>
      <c r="H950" s="218">
        <v>3.3</v>
      </c>
      <c r="I950" s="102"/>
      <c r="J950" s="102">
        <v>1.7</v>
      </c>
      <c r="K950" s="218">
        <v>17</v>
      </c>
      <c r="L950" s="218">
        <v>48</v>
      </c>
      <c r="M950" s="218">
        <v>420</v>
      </c>
      <c r="N950" s="218">
        <v>24</v>
      </c>
      <c r="O950" s="218">
        <v>1000</v>
      </c>
      <c r="P950" s="112"/>
      <c r="Q950">
        <f t="shared" si="28"/>
        <v>2013</v>
      </c>
      <c r="R950">
        <f t="shared" si="29"/>
        <v>8</v>
      </c>
      <c r="S950" s="112"/>
      <c r="T950" s="102"/>
    </row>
    <row r="951" spans="1:20">
      <c r="A951" s="117">
        <v>25</v>
      </c>
      <c r="B951" s="102" t="s">
        <v>263</v>
      </c>
      <c r="C951" s="206">
        <v>41529</v>
      </c>
      <c r="D951" s="102">
        <v>14.8</v>
      </c>
      <c r="E951" s="102">
        <v>9.6</v>
      </c>
      <c r="F951" s="218">
        <v>97</v>
      </c>
      <c r="G951" s="102">
        <v>7.9</v>
      </c>
      <c r="H951" s="218">
        <v>2.8</v>
      </c>
      <c r="I951" s="102"/>
      <c r="J951" s="102">
        <v>1.4</v>
      </c>
      <c r="K951" s="218">
        <v>5</v>
      </c>
      <c r="L951" s="218">
        <v>33</v>
      </c>
      <c r="M951" s="218">
        <v>460</v>
      </c>
      <c r="N951" s="218">
        <v>23</v>
      </c>
      <c r="O951" s="218">
        <v>1000</v>
      </c>
      <c r="P951" s="112"/>
      <c r="Q951">
        <f t="shared" si="28"/>
        <v>2013</v>
      </c>
      <c r="R951">
        <f t="shared" si="29"/>
        <v>9</v>
      </c>
      <c r="S951" s="112"/>
      <c r="T951" s="102"/>
    </row>
    <row r="952" spans="1:20">
      <c r="A952" s="117">
        <v>25</v>
      </c>
      <c r="B952" s="102" t="s">
        <v>263</v>
      </c>
      <c r="C952" s="206">
        <v>41572</v>
      </c>
      <c r="D952" s="102">
        <v>9.9</v>
      </c>
      <c r="E952" s="102">
        <v>8.9</v>
      </c>
      <c r="F952" s="218">
        <v>82</v>
      </c>
      <c r="G952" s="102">
        <v>7.9</v>
      </c>
      <c r="H952" s="218">
        <v>2.9</v>
      </c>
      <c r="I952" s="102"/>
      <c r="J952" s="102" t="s">
        <v>287</v>
      </c>
      <c r="K952" s="218">
        <v>24</v>
      </c>
      <c r="L952" s="218">
        <v>39</v>
      </c>
      <c r="M952" s="218">
        <v>1300</v>
      </c>
      <c r="N952" s="218">
        <v>71</v>
      </c>
      <c r="O952" s="218">
        <v>2000</v>
      </c>
      <c r="P952" s="112"/>
      <c r="Q952">
        <f t="shared" si="28"/>
        <v>2013</v>
      </c>
      <c r="R952">
        <f t="shared" si="29"/>
        <v>10</v>
      </c>
      <c r="S952" s="112"/>
      <c r="T952" s="102"/>
    </row>
    <row r="953" spans="1:20">
      <c r="A953" s="117">
        <v>25</v>
      </c>
      <c r="B953" s="102" t="s">
        <v>263</v>
      </c>
      <c r="C953" s="206">
        <v>41597</v>
      </c>
      <c r="D953" s="102">
        <v>7.5</v>
      </c>
      <c r="E953" s="102">
        <v>9.5</v>
      </c>
      <c r="F953" s="218">
        <v>81</v>
      </c>
      <c r="G953" s="102">
        <v>7.9</v>
      </c>
      <c r="H953" s="218">
        <v>5.9</v>
      </c>
      <c r="I953" s="102"/>
      <c r="J953" s="102">
        <v>2.5</v>
      </c>
      <c r="K953" s="218">
        <v>25</v>
      </c>
      <c r="L953" s="218">
        <v>64</v>
      </c>
      <c r="M953" s="218">
        <v>1800</v>
      </c>
      <c r="N953" s="218">
        <v>340</v>
      </c>
      <c r="O953" s="218">
        <v>2900</v>
      </c>
      <c r="P953" s="112"/>
      <c r="Q953">
        <f t="shared" si="28"/>
        <v>2013</v>
      </c>
      <c r="R953">
        <f t="shared" si="29"/>
        <v>11</v>
      </c>
      <c r="S953" s="112"/>
      <c r="T953" s="102"/>
    </row>
    <row r="954" spans="1:20">
      <c r="A954" s="117">
        <v>25</v>
      </c>
      <c r="B954" s="102" t="s">
        <v>263</v>
      </c>
      <c r="C954" s="206">
        <v>41619</v>
      </c>
      <c r="D954" s="102">
        <v>6.3</v>
      </c>
      <c r="E954" s="102">
        <v>10.5</v>
      </c>
      <c r="F954" s="218">
        <v>84</v>
      </c>
      <c r="G954" s="102">
        <v>7.9</v>
      </c>
      <c r="H954" s="218">
        <v>3.7</v>
      </c>
      <c r="I954" s="102"/>
      <c r="J954" s="102">
        <v>2.7</v>
      </c>
      <c r="K954" s="218">
        <v>34</v>
      </c>
      <c r="L954" s="218">
        <v>63</v>
      </c>
      <c r="M954" s="218">
        <v>2100</v>
      </c>
      <c r="N954" s="218">
        <v>320</v>
      </c>
      <c r="O954" s="218">
        <v>3400</v>
      </c>
      <c r="P954" s="112"/>
      <c r="Q954">
        <f t="shared" si="28"/>
        <v>2013</v>
      </c>
      <c r="R954">
        <f t="shared" si="29"/>
        <v>12</v>
      </c>
      <c r="S954" s="112"/>
      <c r="T954" s="102"/>
    </row>
    <row r="955" spans="1:20">
      <c r="A955" s="117">
        <v>25</v>
      </c>
      <c r="B955" s="102" t="s">
        <v>263</v>
      </c>
      <c r="C955" s="206">
        <v>41654</v>
      </c>
      <c r="D955" s="102">
        <v>3</v>
      </c>
      <c r="E955" s="102">
        <v>11.7</v>
      </c>
      <c r="F955" s="218">
        <v>87</v>
      </c>
      <c r="G955" s="102">
        <v>7.8</v>
      </c>
      <c r="H955" s="218">
        <v>3.3</v>
      </c>
      <c r="I955" s="102"/>
      <c r="J955" s="102">
        <v>2.4</v>
      </c>
      <c r="K955" s="218">
        <v>28</v>
      </c>
      <c r="L955" s="218">
        <v>55</v>
      </c>
      <c r="M955" s="218">
        <v>2000</v>
      </c>
      <c r="N955" s="218">
        <v>240</v>
      </c>
      <c r="O955" s="218">
        <v>3100</v>
      </c>
      <c r="P955" s="112"/>
      <c r="Q955">
        <f t="shared" si="28"/>
        <v>2014</v>
      </c>
      <c r="R955">
        <f t="shared" si="29"/>
        <v>1</v>
      </c>
      <c r="S955" s="112"/>
      <c r="T955" s="102"/>
    </row>
    <row r="956" spans="1:20">
      <c r="A956" s="117">
        <v>25</v>
      </c>
      <c r="B956" s="102" t="s">
        <v>263</v>
      </c>
      <c r="C956" s="206">
        <v>41681</v>
      </c>
      <c r="D956" s="102">
        <v>2.8</v>
      </c>
      <c r="E956" s="102">
        <v>12.4</v>
      </c>
      <c r="F956" s="218">
        <v>96</v>
      </c>
      <c r="G956" s="102">
        <v>7.8</v>
      </c>
      <c r="H956" s="218">
        <v>5.8</v>
      </c>
      <c r="I956" s="102"/>
      <c r="J956" s="102">
        <v>2.1</v>
      </c>
      <c r="K956" s="218">
        <v>14</v>
      </c>
      <c r="L956" s="218">
        <v>48</v>
      </c>
      <c r="M956" s="218">
        <v>2100</v>
      </c>
      <c r="N956" s="218">
        <v>150</v>
      </c>
      <c r="O956" s="218">
        <v>3000</v>
      </c>
      <c r="P956" s="112"/>
      <c r="Q956">
        <f t="shared" si="28"/>
        <v>2014</v>
      </c>
      <c r="R956">
        <f t="shared" si="29"/>
        <v>2</v>
      </c>
      <c r="S956" s="112"/>
      <c r="T956" s="102"/>
    </row>
    <row r="957" spans="1:20">
      <c r="A957" s="117">
        <v>25</v>
      </c>
      <c r="B957" s="102" t="s">
        <v>263</v>
      </c>
      <c r="C957" s="206">
        <v>41709</v>
      </c>
      <c r="D957" s="102">
        <v>6.9</v>
      </c>
      <c r="E957" s="102">
        <v>12.5</v>
      </c>
      <c r="F957" s="218">
        <v>101</v>
      </c>
      <c r="G957" s="102">
        <v>8</v>
      </c>
      <c r="H957" s="218">
        <v>5</v>
      </c>
      <c r="I957" s="102"/>
      <c r="J957" s="102">
        <v>3.6</v>
      </c>
      <c r="K957" s="218">
        <v>9</v>
      </c>
      <c r="L957" s="218">
        <v>44</v>
      </c>
      <c r="M957" s="218">
        <v>1600</v>
      </c>
      <c r="N957" s="218">
        <v>55</v>
      </c>
      <c r="O957" s="218">
        <v>2700</v>
      </c>
      <c r="P957" s="112"/>
      <c r="Q957">
        <f t="shared" si="28"/>
        <v>2014</v>
      </c>
      <c r="R957">
        <f t="shared" si="29"/>
        <v>3</v>
      </c>
      <c r="S957" s="112"/>
      <c r="T957" s="102"/>
    </row>
    <row r="958" spans="1:20">
      <c r="A958" s="117">
        <v>25</v>
      </c>
      <c r="B958" s="102" t="s">
        <v>263</v>
      </c>
      <c r="C958" s="206">
        <v>41743</v>
      </c>
      <c r="D958" s="102">
        <v>7.9</v>
      </c>
      <c r="E958" s="102">
        <v>10.8</v>
      </c>
      <c r="F958" s="218">
        <v>93</v>
      </c>
      <c r="G958" s="102">
        <v>8</v>
      </c>
      <c r="H958" s="218">
        <v>12</v>
      </c>
      <c r="I958" s="102"/>
      <c r="J958" s="102">
        <v>5.8</v>
      </c>
      <c r="K958" s="218">
        <v>7</v>
      </c>
      <c r="L958" s="218">
        <v>56</v>
      </c>
      <c r="M958" s="218">
        <v>1100</v>
      </c>
      <c r="N958" s="218">
        <v>170</v>
      </c>
      <c r="O958" s="218">
        <v>2400</v>
      </c>
      <c r="P958" s="112"/>
      <c r="Q958">
        <f t="shared" si="28"/>
        <v>2014</v>
      </c>
      <c r="R958">
        <f t="shared" si="29"/>
        <v>4</v>
      </c>
      <c r="S958" s="112"/>
      <c r="T958" s="102"/>
    </row>
    <row r="959" spans="1:20">
      <c r="A959" s="117">
        <v>25</v>
      </c>
      <c r="B959" s="102" t="s">
        <v>263</v>
      </c>
      <c r="C959" s="206">
        <v>41771</v>
      </c>
      <c r="D959" s="102">
        <v>12.9</v>
      </c>
      <c r="E959" s="102">
        <v>10.9</v>
      </c>
      <c r="F959" s="218">
        <v>99</v>
      </c>
      <c r="G959" s="102">
        <v>8.1</v>
      </c>
      <c r="H959" s="218">
        <v>6.5</v>
      </c>
      <c r="I959" s="102"/>
      <c r="J959" s="102">
        <v>4.2</v>
      </c>
      <c r="K959" s="218">
        <v>13</v>
      </c>
      <c r="L959" s="218">
        <v>46</v>
      </c>
      <c r="M959" s="218">
        <v>640</v>
      </c>
      <c r="N959" s="218">
        <v>80</v>
      </c>
      <c r="O959" s="218">
        <v>1600</v>
      </c>
      <c r="P959" s="112"/>
      <c r="Q959">
        <f t="shared" si="28"/>
        <v>2014</v>
      </c>
      <c r="R959">
        <f t="shared" si="29"/>
        <v>5</v>
      </c>
      <c r="S959" s="112"/>
      <c r="T959" s="102"/>
    </row>
    <row r="960" spans="1:20">
      <c r="A960" s="117">
        <v>25</v>
      </c>
      <c r="B960" s="102" t="s">
        <v>263</v>
      </c>
      <c r="C960" s="206">
        <v>41807</v>
      </c>
      <c r="D960" s="102">
        <v>19.600000000000001</v>
      </c>
      <c r="E960" s="102">
        <v>11</v>
      </c>
      <c r="F960" s="218">
        <v>118</v>
      </c>
      <c r="G960" s="102">
        <v>8.3000000000000007</v>
      </c>
      <c r="H960" s="218">
        <v>3.3</v>
      </c>
      <c r="I960" s="102"/>
      <c r="J960" s="102">
        <v>2.2999999999999998</v>
      </c>
      <c r="K960" s="218">
        <v>13</v>
      </c>
      <c r="L960" s="218">
        <v>41</v>
      </c>
      <c r="M960" s="218">
        <v>740</v>
      </c>
      <c r="N960" s="218">
        <v>110</v>
      </c>
      <c r="O960" s="218">
        <v>1600</v>
      </c>
      <c r="P960" s="112"/>
      <c r="Q960">
        <f t="shared" si="28"/>
        <v>2014</v>
      </c>
      <c r="R960">
        <f t="shared" si="29"/>
        <v>6</v>
      </c>
      <c r="S960" s="112"/>
      <c r="T960" s="102"/>
    </row>
    <row r="961" spans="1:20">
      <c r="A961" s="117">
        <v>25</v>
      </c>
      <c r="B961" s="102" t="s">
        <v>263</v>
      </c>
      <c r="C961" s="206">
        <v>41835</v>
      </c>
      <c r="D961" s="102">
        <v>18.5</v>
      </c>
      <c r="E961" s="102">
        <v>7.5</v>
      </c>
      <c r="F961" s="218">
        <v>80</v>
      </c>
      <c r="G961" s="102"/>
      <c r="H961" s="218"/>
      <c r="I961" s="102"/>
      <c r="J961" s="102"/>
      <c r="K961" s="218">
        <v>26</v>
      </c>
      <c r="L961" s="218">
        <v>49</v>
      </c>
      <c r="M961" s="218">
        <v>640</v>
      </c>
      <c r="N961" s="218">
        <v>100</v>
      </c>
      <c r="O961" s="218">
        <v>1500</v>
      </c>
      <c r="P961" s="112"/>
      <c r="Q961">
        <f t="shared" si="28"/>
        <v>2014</v>
      </c>
      <c r="R961">
        <f t="shared" si="29"/>
        <v>7</v>
      </c>
      <c r="S961" s="112"/>
      <c r="T961" s="102"/>
    </row>
    <row r="962" spans="1:20">
      <c r="A962" s="117">
        <v>25</v>
      </c>
      <c r="B962" s="102" t="s">
        <v>263</v>
      </c>
      <c r="C962" s="206">
        <v>41863</v>
      </c>
      <c r="D962" s="102">
        <v>16.7</v>
      </c>
      <c r="E962" s="102">
        <v>6.4</v>
      </c>
      <c r="F962" s="218">
        <v>61</v>
      </c>
      <c r="G962" s="102">
        <v>7.8</v>
      </c>
      <c r="H962" s="218">
        <v>3.1</v>
      </c>
      <c r="I962" s="102"/>
      <c r="J962" s="102">
        <v>1.3</v>
      </c>
      <c r="K962" s="218">
        <v>25</v>
      </c>
      <c r="L962" s="218">
        <v>44</v>
      </c>
      <c r="M962" s="218">
        <v>840</v>
      </c>
      <c r="N962" s="218">
        <v>98</v>
      </c>
      <c r="O962" s="218">
        <v>1500</v>
      </c>
      <c r="P962" s="112"/>
      <c r="Q962">
        <f t="shared" si="28"/>
        <v>2014</v>
      </c>
      <c r="R962">
        <f t="shared" si="29"/>
        <v>8</v>
      </c>
      <c r="S962" s="112"/>
      <c r="T962" s="102"/>
    </row>
    <row r="963" spans="1:20">
      <c r="A963" s="117">
        <v>25</v>
      </c>
      <c r="B963" s="102" t="s">
        <v>263</v>
      </c>
      <c r="C963" s="206">
        <v>41893</v>
      </c>
      <c r="D963" s="102">
        <v>14.9</v>
      </c>
      <c r="E963" s="102">
        <v>7.5</v>
      </c>
      <c r="F963" s="218">
        <v>74</v>
      </c>
      <c r="G963" s="102">
        <v>7.8</v>
      </c>
      <c r="H963" s="218">
        <v>2.2999999999999998</v>
      </c>
      <c r="I963" s="102"/>
      <c r="J963" s="102">
        <v>1.1000000000000001</v>
      </c>
      <c r="K963" s="218">
        <v>12</v>
      </c>
      <c r="L963" s="218">
        <v>30</v>
      </c>
      <c r="M963" s="218">
        <v>690</v>
      </c>
      <c r="N963" s="218">
        <v>26</v>
      </c>
      <c r="O963" s="218">
        <v>1500</v>
      </c>
      <c r="P963" s="112"/>
      <c r="Q963">
        <f t="shared" si="28"/>
        <v>2014</v>
      </c>
      <c r="R963">
        <f t="shared" si="29"/>
        <v>9</v>
      </c>
      <c r="S963" s="112"/>
      <c r="T963" s="102"/>
    </row>
    <row r="964" spans="1:20">
      <c r="A964" s="117">
        <v>25</v>
      </c>
      <c r="B964" s="102" t="s">
        <v>263</v>
      </c>
      <c r="C964" s="206">
        <v>41929</v>
      </c>
      <c r="D964" s="102">
        <v>12.3</v>
      </c>
      <c r="E964" s="102">
        <v>9</v>
      </c>
      <c r="F964" s="218">
        <v>89</v>
      </c>
      <c r="G964" s="102">
        <v>7.7</v>
      </c>
      <c r="H964" s="218">
        <v>12</v>
      </c>
      <c r="I964" s="102"/>
      <c r="J964" s="102">
        <v>1.7</v>
      </c>
      <c r="K964" s="218">
        <v>42</v>
      </c>
      <c r="L964" s="218">
        <v>91</v>
      </c>
      <c r="M964" s="218">
        <v>1500</v>
      </c>
      <c r="N964" s="218">
        <v>110</v>
      </c>
      <c r="O964" s="218">
        <v>2500</v>
      </c>
      <c r="P964" s="112"/>
      <c r="Q964">
        <f t="shared" si="28"/>
        <v>2014</v>
      </c>
      <c r="R964">
        <f t="shared" si="29"/>
        <v>10</v>
      </c>
      <c r="S964" s="112"/>
      <c r="T964" s="102"/>
    </row>
    <row r="965" spans="1:20" ht="13">
      <c r="A965" s="117">
        <v>25</v>
      </c>
      <c r="B965" s="102" t="s">
        <v>263</v>
      </c>
      <c r="C965" s="206">
        <v>41954</v>
      </c>
      <c r="D965" s="102">
        <v>9.6999999999999993</v>
      </c>
      <c r="E965" s="102">
        <v>9.6</v>
      </c>
      <c r="F965" s="218">
        <v>89</v>
      </c>
      <c r="G965" s="102">
        <v>7.9</v>
      </c>
      <c r="H965" s="102">
        <v>4.5</v>
      </c>
      <c r="I965" s="102"/>
      <c r="J965" s="102">
        <v>1.7</v>
      </c>
      <c r="K965" s="218">
        <v>28</v>
      </c>
      <c r="L965" s="218">
        <v>59</v>
      </c>
      <c r="M965" s="218">
        <v>1400</v>
      </c>
      <c r="N965" s="218">
        <v>120</v>
      </c>
      <c r="O965" s="218">
        <v>2100</v>
      </c>
      <c r="P965" s="121"/>
      <c r="Q965">
        <f t="shared" si="28"/>
        <v>2014</v>
      </c>
      <c r="R965">
        <f t="shared" si="29"/>
        <v>11</v>
      </c>
      <c r="S965" s="103"/>
      <c r="T965" s="102"/>
    </row>
    <row r="966" spans="1:20">
      <c r="A966" s="117">
        <v>25</v>
      </c>
      <c r="B966" s="102" t="s">
        <v>263</v>
      </c>
      <c r="C966" s="206">
        <v>41985</v>
      </c>
      <c r="D966" s="102">
        <v>4</v>
      </c>
      <c r="E966" s="102">
        <v>11.7</v>
      </c>
      <c r="F966" s="218">
        <v>97</v>
      </c>
      <c r="G966" s="102">
        <v>7.9</v>
      </c>
      <c r="H966" s="102">
        <v>8.4</v>
      </c>
      <c r="I966" s="102"/>
      <c r="J966" s="102" t="s">
        <v>287</v>
      </c>
      <c r="K966" s="218">
        <v>43</v>
      </c>
      <c r="L966" s="218">
        <v>64</v>
      </c>
      <c r="M966" s="218">
        <v>1800</v>
      </c>
      <c r="N966" s="218">
        <v>110</v>
      </c>
      <c r="O966" s="218">
        <v>2600</v>
      </c>
      <c r="P966" s="111"/>
      <c r="Q966">
        <f t="shared" si="28"/>
        <v>2014</v>
      </c>
      <c r="R966">
        <f t="shared" si="29"/>
        <v>12</v>
      </c>
      <c r="S966" s="119"/>
      <c r="T966" s="102"/>
    </row>
    <row r="967" spans="1:20" ht="13">
      <c r="A967" s="118">
        <v>25</v>
      </c>
      <c r="B967" s="102" t="s">
        <v>263</v>
      </c>
      <c r="C967" s="124">
        <v>42045</v>
      </c>
      <c r="D967" s="192">
        <v>3.3</v>
      </c>
      <c r="E967" s="192">
        <v>12.5</v>
      </c>
      <c r="F967" s="204">
        <v>93</v>
      </c>
      <c r="G967" s="192">
        <v>7.9</v>
      </c>
      <c r="H967" s="192">
        <v>6</v>
      </c>
      <c r="I967" s="193"/>
      <c r="J967" s="194">
        <v>1.9</v>
      </c>
      <c r="K967" s="189">
        <v>19</v>
      </c>
      <c r="L967" s="195">
        <v>50</v>
      </c>
      <c r="M967" s="195">
        <v>1900</v>
      </c>
      <c r="N967" s="195">
        <v>140</v>
      </c>
      <c r="O967" s="195">
        <v>2900</v>
      </c>
      <c r="P967" s="201"/>
      <c r="Q967">
        <f t="shared" ref="Q967:Q1030" si="30">YEAR(C967)</f>
        <v>2015</v>
      </c>
      <c r="R967">
        <f t="shared" ref="R967:R1030" si="31">MONTH(C967)</f>
        <v>2</v>
      </c>
      <c r="T967" s="102"/>
    </row>
    <row r="968" spans="1:20">
      <c r="A968" s="117">
        <v>25</v>
      </c>
      <c r="B968" s="102" t="s">
        <v>263</v>
      </c>
      <c r="C968" s="124">
        <v>42075</v>
      </c>
      <c r="D968" s="193">
        <v>5.5</v>
      </c>
      <c r="E968" s="193">
        <v>12.7</v>
      </c>
      <c r="F968" s="204">
        <v>99</v>
      </c>
      <c r="G968" s="193">
        <v>8.1</v>
      </c>
      <c r="H968" s="193">
        <v>7</v>
      </c>
      <c r="I968" s="193"/>
      <c r="J968" s="193">
        <v>2.4</v>
      </c>
      <c r="K968" s="189">
        <v>21</v>
      </c>
      <c r="L968" s="189">
        <v>53</v>
      </c>
      <c r="M968" s="189">
        <v>1800</v>
      </c>
      <c r="N968" s="189">
        <v>100</v>
      </c>
      <c r="O968" s="189">
        <v>2300</v>
      </c>
      <c r="P968" s="202"/>
      <c r="Q968">
        <f t="shared" si="30"/>
        <v>2015</v>
      </c>
      <c r="R968">
        <f t="shared" si="31"/>
        <v>3</v>
      </c>
      <c r="T968" s="102"/>
    </row>
    <row r="969" spans="1:20">
      <c r="A969" s="117">
        <v>25</v>
      </c>
      <c r="B969" s="102" t="s">
        <v>263</v>
      </c>
      <c r="C969" s="206">
        <v>42107</v>
      </c>
      <c r="D969" s="192">
        <v>8.6</v>
      </c>
      <c r="E969" s="193">
        <v>11.5</v>
      </c>
      <c r="F969" s="204">
        <v>96</v>
      </c>
      <c r="G969" s="193">
        <v>8.1</v>
      </c>
      <c r="H969" s="189">
        <v>5.0999999999999996</v>
      </c>
      <c r="I969" s="192"/>
      <c r="J969" s="119">
        <v>2.2000000000000002</v>
      </c>
      <c r="K969" s="195">
        <v>10</v>
      </c>
      <c r="L969" s="195">
        <v>47</v>
      </c>
      <c r="M969" s="195">
        <v>1200</v>
      </c>
      <c r="N969" s="195">
        <v>140</v>
      </c>
      <c r="O969" s="195">
        <v>2000</v>
      </c>
      <c r="P969" s="199"/>
      <c r="Q969">
        <f t="shared" si="30"/>
        <v>2015</v>
      </c>
      <c r="R969">
        <f t="shared" si="31"/>
        <v>4</v>
      </c>
      <c r="T969" s="102"/>
    </row>
    <row r="970" spans="1:20">
      <c r="A970" s="117">
        <v>25</v>
      </c>
      <c r="B970" s="102" t="s">
        <v>263</v>
      </c>
      <c r="C970" s="124">
        <v>42142</v>
      </c>
      <c r="D970" s="192">
        <v>12.6</v>
      </c>
      <c r="E970" s="192">
        <v>10.3</v>
      </c>
      <c r="F970" s="204">
        <v>101</v>
      </c>
      <c r="G970" s="192">
        <v>8.1</v>
      </c>
      <c r="H970" s="192">
        <v>6.6</v>
      </c>
      <c r="I970" s="192"/>
      <c r="J970" s="195">
        <v>3.1</v>
      </c>
      <c r="K970" s="195">
        <v>9.1</v>
      </c>
      <c r="L970" s="218">
        <v>48</v>
      </c>
      <c r="M970" s="197">
        <v>810</v>
      </c>
      <c r="N970" s="197">
        <v>94</v>
      </c>
      <c r="O970" s="197">
        <v>1600</v>
      </c>
      <c r="P970" s="200"/>
      <c r="Q970">
        <f t="shared" si="30"/>
        <v>2015</v>
      </c>
      <c r="R970">
        <f t="shared" si="31"/>
        <v>5</v>
      </c>
      <c r="T970" s="102"/>
    </row>
    <row r="971" spans="1:20">
      <c r="A971" s="117">
        <v>25</v>
      </c>
      <c r="B971" s="102" t="s">
        <v>263</v>
      </c>
      <c r="C971" s="206">
        <v>42172</v>
      </c>
      <c r="D971" s="192">
        <v>13.4</v>
      </c>
      <c r="E971" s="192">
        <v>9.6999999999999993</v>
      </c>
      <c r="F971" s="204">
        <v>92</v>
      </c>
      <c r="G971" s="192">
        <v>8</v>
      </c>
      <c r="H971" s="192">
        <v>8.1999999999999993</v>
      </c>
      <c r="I971" s="193"/>
      <c r="J971" s="193">
        <v>4.2</v>
      </c>
      <c r="K971" s="189">
        <v>6.9</v>
      </c>
      <c r="L971" s="195">
        <v>69</v>
      </c>
      <c r="M971" s="195">
        <v>720</v>
      </c>
      <c r="N971" s="195">
        <v>320</v>
      </c>
      <c r="O971" s="195">
        <v>2100</v>
      </c>
      <c r="P971" s="200"/>
      <c r="Q971">
        <f t="shared" si="30"/>
        <v>2015</v>
      </c>
      <c r="R971">
        <f t="shared" si="31"/>
        <v>6</v>
      </c>
      <c r="T971" s="102"/>
    </row>
    <row r="972" spans="1:20">
      <c r="A972" s="117">
        <v>25</v>
      </c>
      <c r="B972" s="102" t="s">
        <v>263</v>
      </c>
      <c r="C972" s="125">
        <v>42199</v>
      </c>
      <c r="D972" s="193">
        <v>18</v>
      </c>
      <c r="E972" s="193">
        <v>9.8000000000000007</v>
      </c>
      <c r="F972" s="204">
        <v>103</v>
      </c>
      <c r="G972" s="193">
        <v>8.1</v>
      </c>
      <c r="H972" s="211">
        <v>6.1</v>
      </c>
      <c r="I972" s="193"/>
      <c r="J972" s="193">
        <v>2.9</v>
      </c>
      <c r="K972" s="189">
        <v>19</v>
      </c>
      <c r="L972" s="189">
        <v>50</v>
      </c>
      <c r="M972" s="189">
        <v>610</v>
      </c>
      <c r="N972" s="189">
        <v>71</v>
      </c>
      <c r="O972" s="189">
        <v>1600</v>
      </c>
      <c r="P972" s="200"/>
      <c r="Q972">
        <f t="shared" si="30"/>
        <v>2015</v>
      </c>
      <c r="R972">
        <f t="shared" si="31"/>
        <v>7</v>
      </c>
      <c r="T972" s="102"/>
    </row>
    <row r="973" spans="1:20">
      <c r="A973" s="117">
        <v>25</v>
      </c>
      <c r="B973" s="102" t="s">
        <v>263</v>
      </c>
      <c r="C973" s="124">
        <v>42234</v>
      </c>
      <c r="D973" s="192">
        <v>16.399999999999999</v>
      </c>
      <c r="E973" s="192">
        <v>8.8000000000000007</v>
      </c>
      <c r="F973" s="204">
        <v>90</v>
      </c>
      <c r="G973" s="192">
        <v>8</v>
      </c>
      <c r="H973" s="212">
        <v>5.7</v>
      </c>
      <c r="I973" s="192"/>
      <c r="J973" s="195">
        <v>1.4</v>
      </c>
      <c r="K973" s="195">
        <v>18</v>
      </c>
      <c r="L973" s="195">
        <v>48</v>
      </c>
      <c r="M973" s="195">
        <v>790</v>
      </c>
      <c r="N973" s="195">
        <v>30</v>
      </c>
      <c r="O973" s="195">
        <v>1400</v>
      </c>
      <c r="P973" s="200"/>
      <c r="Q973">
        <f t="shared" si="30"/>
        <v>2015</v>
      </c>
      <c r="R973">
        <f t="shared" si="31"/>
        <v>8</v>
      </c>
      <c r="T973" s="102"/>
    </row>
    <row r="974" spans="1:20">
      <c r="A974" s="117">
        <v>25</v>
      </c>
      <c r="B974" s="102" t="s">
        <v>263</v>
      </c>
      <c r="C974" s="206">
        <v>42265</v>
      </c>
      <c r="D974" s="193">
        <v>14.2</v>
      </c>
      <c r="E974" s="193">
        <v>7.9</v>
      </c>
      <c r="F974" s="188">
        <v>77.7</v>
      </c>
      <c r="G974" s="193">
        <v>7.9</v>
      </c>
      <c r="H974" s="193">
        <v>4</v>
      </c>
      <c r="I974" s="193"/>
      <c r="J974" s="193">
        <v>0.56999999999999995</v>
      </c>
      <c r="K974" s="189">
        <v>29</v>
      </c>
      <c r="L974" s="189">
        <v>54</v>
      </c>
      <c r="M974" s="189">
        <v>630</v>
      </c>
      <c r="N974" s="189">
        <v>54</v>
      </c>
      <c r="O974" s="189">
        <v>1300</v>
      </c>
      <c r="P974" s="200"/>
      <c r="Q974">
        <f t="shared" si="30"/>
        <v>2015</v>
      </c>
      <c r="R974">
        <f t="shared" si="31"/>
        <v>9</v>
      </c>
      <c r="T974" s="102"/>
    </row>
    <row r="975" spans="1:20">
      <c r="A975" s="117">
        <v>25</v>
      </c>
      <c r="B975" s="102" t="s">
        <v>263</v>
      </c>
      <c r="C975" s="125">
        <v>42290</v>
      </c>
      <c r="D975" s="193">
        <v>7.7</v>
      </c>
      <c r="E975" s="193">
        <v>10.6</v>
      </c>
      <c r="F975" s="204">
        <v>88</v>
      </c>
      <c r="G975" s="193">
        <v>8</v>
      </c>
      <c r="H975" s="193">
        <v>5.5</v>
      </c>
      <c r="I975" s="193"/>
      <c r="J975" s="193">
        <v>1.7</v>
      </c>
      <c r="K975" s="189">
        <v>14</v>
      </c>
      <c r="L975" s="189">
        <v>51</v>
      </c>
      <c r="M975" s="189">
        <v>860</v>
      </c>
      <c r="N975" s="189">
        <v>87</v>
      </c>
      <c r="O975" s="189">
        <v>1500</v>
      </c>
      <c r="P975" s="200"/>
      <c r="Q975">
        <f t="shared" si="30"/>
        <v>2015</v>
      </c>
      <c r="R975">
        <f t="shared" si="31"/>
        <v>10</v>
      </c>
      <c r="T975" s="102"/>
    </row>
    <row r="976" spans="1:20">
      <c r="A976" s="117">
        <v>25</v>
      </c>
      <c r="B976" s="102" t="s">
        <v>263</v>
      </c>
      <c r="C976" s="125">
        <v>42325</v>
      </c>
      <c r="D976" s="193">
        <v>7.5</v>
      </c>
      <c r="E976" s="193">
        <v>9.5</v>
      </c>
      <c r="F976" s="204">
        <v>79</v>
      </c>
      <c r="G976" s="193">
        <v>8.1</v>
      </c>
      <c r="H976" s="193">
        <v>9.6</v>
      </c>
      <c r="I976" s="193"/>
      <c r="J976" s="193">
        <v>2.2999999999999998</v>
      </c>
      <c r="K976" s="189">
        <v>22</v>
      </c>
      <c r="L976" s="189">
        <v>72</v>
      </c>
      <c r="M976" s="189">
        <v>1000</v>
      </c>
      <c r="N976" s="189">
        <v>190</v>
      </c>
      <c r="O976" s="189">
        <v>1900</v>
      </c>
      <c r="P976" s="200"/>
      <c r="Q976">
        <f t="shared" si="30"/>
        <v>2015</v>
      </c>
      <c r="R976">
        <f t="shared" si="31"/>
        <v>11</v>
      </c>
      <c r="T976" s="102"/>
    </row>
    <row r="977" spans="1:20">
      <c r="A977" s="117">
        <v>25</v>
      </c>
      <c r="B977" s="102" t="s">
        <v>263</v>
      </c>
      <c r="C977" s="125">
        <v>42352</v>
      </c>
      <c r="D977" s="193">
        <v>3.1</v>
      </c>
      <c r="E977" s="193">
        <v>11.7</v>
      </c>
      <c r="F977" s="204">
        <v>87</v>
      </c>
      <c r="G977" s="193">
        <v>7.9</v>
      </c>
      <c r="H977" s="193">
        <v>12</v>
      </c>
      <c r="I977" s="193"/>
      <c r="J977" s="193">
        <v>2.6</v>
      </c>
      <c r="K977" s="189">
        <v>20</v>
      </c>
      <c r="L977" s="189">
        <v>81</v>
      </c>
      <c r="M977" s="189">
        <v>1700</v>
      </c>
      <c r="N977" s="189">
        <v>140</v>
      </c>
      <c r="O977" s="189">
        <v>3100</v>
      </c>
      <c r="P977" s="200"/>
      <c r="Q977">
        <f t="shared" si="30"/>
        <v>2015</v>
      </c>
      <c r="R977">
        <f t="shared" si="31"/>
        <v>12</v>
      </c>
      <c r="T977" s="102"/>
    </row>
    <row r="978" spans="1:20">
      <c r="A978" s="117">
        <v>25</v>
      </c>
      <c r="B978" s="102" t="s">
        <v>263</v>
      </c>
      <c r="C978" s="213">
        <v>42389</v>
      </c>
      <c r="D978" s="193">
        <v>0.1</v>
      </c>
      <c r="E978" s="193">
        <v>13</v>
      </c>
      <c r="F978" s="204">
        <v>89</v>
      </c>
      <c r="G978" s="193">
        <v>7.8</v>
      </c>
      <c r="H978" s="193">
        <v>16</v>
      </c>
      <c r="I978" s="193"/>
      <c r="J978" s="193">
        <v>1.9</v>
      </c>
      <c r="K978" s="189">
        <v>25</v>
      </c>
      <c r="L978" s="189">
        <v>89</v>
      </c>
      <c r="M978" s="189">
        <v>1600</v>
      </c>
      <c r="N978" s="189">
        <v>210</v>
      </c>
      <c r="O978" s="189">
        <v>2300</v>
      </c>
      <c r="P978" s="200"/>
      <c r="Q978">
        <f t="shared" si="30"/>
        <v>2016</v>
      </c>
      <c r="R978">
        <f t="shared" si="31"/>
        <v>1</v>
      </c>
      <c r="T978" s="102"/>
    </row>
    <row r="979" spans="1:20">
      <c r="A979" s="117">
        <v>25</v>
      </c>
      <c r="B979" s="102" t="s">
        <v>263</v>
      </c>
      <c r="C979" s="206">
        <v>42416</v>
      </c>
      <c r="D979" s="102">
        <v>1.3</v>
      </c>
      <c r="E979" s="102">
        <v>12.7</v>
      </c>
      <c r="F979" s="218">
        <v>88</v>
      </c>
      <c r="G979" s="102">
        <v>7.9</v>
      </c>
      <c r="H979" s="218">
        <v>8.5</v>
      </c>
      <c r="I979" s="102"/>
      <c r="J979" s="102">
        <v>2.9</v>
      </c>
      <c r="K979" s="218">
        <v>25</v>
      </c>
      <c r="L979" s="218">
        <v>66</v>
      </c>
      <c r="M979" s="218">
        <v>1800</v>
      </c>
      <c r="N979" s="218">
        <v>89</v>
      </c>
      <c r="O979" s="218">
        <v>2600</v>
      </c>
      <c r="P979" s="112"/>
      <c r="Q979">
        <f t="shared" si="30"/>
        <v>2016</v>
      </c>
      <c r="R979">
        <f t="shared" si="31"/>
        <v>2</v>
      </c>
      <c r="S979" s="112"/>
      <c r="T979" s="102"/>
    </row>
    <row r="980" spans="1:20">
      <c r="A980" s="117">
        <v>25</v>
      </c>
      <c r="B980" s="102" t="s">
        <v>263</v>
      </c>
      <c r="C980" s="206">
        <v>42444</v>
      </c>
      <c r="D980" s="102">
        <v>5.9</v>
      </c>
      <c r="E980" s="102">
        <v>11.9</v>
      </c>
      <c r="F980" s="218">
        <v>94</v>
      </c>
      <c r="G980" s="102">
        <v>8.1</v>
      </c>
      <c r="H980" s="218">
        <v>4.4000000000000004</v>
      </c>
      <c r="I980" s="102"/>
      <c r="J980" s="102">
        <v>1.9</v>
      </c>
      <c r="K980" s="218">
        <v>15</v>
      </c>
      <c r="L980" s="218">
        <v>45</v>
      </c>
      <c r="M980" s="218">
        <v>1300</v>
      </c>
      <c r="N980" s="218">
        <v>70</v>
      </c>
      <c r="O980" s="218">
        <v>2000</v>
      </c>
      <c r="P980" s="112"/>
      <c r="Q980">
        <f t="shared" si="30"/>
        <v>2016</v>
      </c>
      <c r="R980">
        <f t="shared" si="31"/>
        <v>3</v>
      </c>
      <c r="S980" s="112"/>
      <c r="T980" s="102"/>
    </row>
    <row r="981" spans="1:20">
      <c r="A981" s="117">
        <v>25</v>
      </c>
      <c r="B981" s="102" t="s">
        <v>263</v>
      </c>
      <c r="C981" s="206">
        <v>42472</v>
      </c>
      <c r="D981" s="102">
        <v>8.9</v>
      </c>
      <c r="E981" s="102">
        <v>11.2</v>
      </c>
      <c r="F981" s="218">
        <v>97</v>
      </c>
      <c r="G981" s="102">
        <v>8</v>
      </c>
      <c r="H981" s="218">
        <v>9.6999999999999993</v>
      </c>
      <c r="I981" s="102"/>
      <c r="J981" s="102">
        <v>2.8</v>
      </c>
      <c r="K981" s="218">
        <v>17</v>
      </c>
      <c r="L981" s="218">
        <v>64</v>
      </c>
      <c r="M981" s="218">
        <v>770</v>
      </c>
      <c r="N981" s="218">
        <v>64</v>
      </c>
      <c r="O981" s="218">
        <v>1800</v>
      </c>
      <c r="P981" s="112"/>
      <c r="Q981">
        <f t="shared" si="30"/>
        <v>2016</v>
      </c>
      <c r="R981">
        <f t="shared" si="31"/>
        <v>4</v>
      </c>
      <c r="S981" s="112"/>
      <c r="T981" s="102"/>
    </row>
    <row r="982" spans="1:20">
      <c r="A982" s="117">
        <v>25</v>
      </c>
      <c r="B982" s="102" t="s">
        <v>263</v>
      </c>
      <c r="C982" s="206">
        <v>42507</v>
      </c>
      <c r="D982" s="102">
        <v>12</v>
      </c>
      <c r="E982" s="102">
        <v>10.4</v>
      </c>
      <c r="F982" s="218">
        <v>97</v>
      </c>
      <c r="G982" s="102">
        <v>8.1</v>
      </c>
      <c r="H982" s="218">
        <v>12</v>
      </c>
      <c r="I982" s="102"/>
      <c r="J982" s="102">
        <v>2.9</v>
      </c>
      <c r="K982" s="218">
        <v>12</v>
      </c>
      <c r="L982" s="218">
        <v>65</v>
      </c>
      <c r="M982" s="218">
        <v>710</v>
      </c>
      <c r="N982" s="218">
        <v>120</v>
      </c>
      <c r="O982" s="218">
        <v>1600</v>
      </c>
      <c r="P982" s="112"/>
      <c r="Q982">
        <f t="shared" si="30"/>
        <v>2016</v>
      </c>
      <c r="R982">
        <f t="shared" si="31"/>
        <v>5</v>
      </c>
      <c r="S982" s="112"/>
      <c r="T982" s="102"/>
    </row>
    <row r="983" spans="1:20">
      <c r="A983" s="117">
        <v>25</v>
      </c>
      <c r="B983" s="102" t="s">
        <v>263</v>
      </c>
      <c r="C983" s="206">
        <v>42536</v>
      </c>
      <c r="D983" s="102">
        <v>16.899999999999999</v>
      </c>
      <c r="E983" s="102">
        <v>9.9</v>
      </c>
      <c r="F983" s="218">
        <v>104</v>
      </c>
      <c r="G983" s="102">
        <v>8</v>
      </c>
      <c r="H983" s="218">
        <v>6.7</v>
      </c>
      <c r="I983" s="102"/>
      <c r="J983" s="102">
        <v>4</v>
      </c>
      <c r="K983" s="218">
        <v>21</v>
      </c>
      <c r="L983" s="218">
        <v>55</v>
      </c>
      <c r="M983" s="218">
        <v>640</v>
      </c>
      <c r="N983" s="218">
        <v>480</v>
      </c>
      <c r="O983" s="218">
        <v>1900</v>
      </c>
      <c r="P983" s="112"/>
      <c r="Q983">
        <f t="shared" si="30"/>
        <v>2016</v>
      </c>
      <c r="R983">
        <f t="shared" si="31"/>
        <v>6</v>
      </c>
      <c r="S983" s="112"/>
      <c r="T983" s="102"/>
    </row>
    <row r="984" spans="1:20">
      <c r="A984" s="117">
        <v>25</v>
      </c>
      <c r="B984" s="102" t="s">
        <v>263</v>
      </c>
      <c r="C984" s="206">
        <v>42563</v>
      </c>
      <c r="D984" s="102">
        <v>18.7</v>
      </c>
      <c r="E984" s="102">
        <v>8.3000000000000007</v>
      </c>
      <c r="F984" s="218">
        <v>90</v>
      </c>
      <c r="G984" s="102">
        <v>7.9</v>
      </c>
      <c r="H984" s="218">
        <v>6.8</v>
      </c>
      <c r="I984" s="102"/>
      <c r="J984" s="102">
        <v>1.9</v>
      </c>
      <c r="K984" s="218">
        <v>27</v>
      </c>
      <c r="L984" s="218">
        <v>75</v>
      </c>
      <c r="M984" s="218">
        <v>650</v>
      </c>
      <c r="N984" s="218">
        <v>80</v>
      </c>
      <c r="O984" s="218">
        <v>1400</v>
      </c>
      <c r="P984" s="112"/>
      <c r="Q984">
        <f t="shared" si="30"/>
        <v>2016</v>
      </c>
      <c r="R984">
        <f t="shared" si="31"/>
        <v>7</v>
      </c>
      <c r="S984" s="112"/>
      <c r="T984" s="102"/>
    </row>
    <row r="985" spans="1:20">
      <c r="A985" s="117">
        <v>25</v>
      </c>
      <c r="B985" s="102" t="s">
        <v>263</v>
      </c>
      <c r="C985" s="206">
        <v>42592</v>
      </c>
      <c r="D985" s="102">
        <v>15.7</v>
      </c>
      <c r="E985" s="102">
        <v>11.5</v>
      </c>
      <c r="F985" s="218">
        <v>116</v>
      </c>
      <c r="G985" s="102">
        <v>8.3000000000000007</v>
      </c>
      <c r="H985" s="218">
        <v>3.8</v>
      </c>
      <c r="I985" s="102"/>
      <c r="J985" s="102">
        <v>1.1000000000000001</v>
      </c>
      <c r="K985" s="218">
        <v>17</v>
      </c>
      <c r="L985" s="218">
        <v>38</v>
      </c>
      <c r="M985" s="218">
        <v>800</v>
      </c>
      <c r="N985" s="218">
        <v>130</v>
      </c>
      <c r="O985" s="218">
        <v>1400</v>
      </c>
      <c r="P985" s="112"/>
      <c r="Q985">
        <f t="shared" si="30"/>
        <v>2016</v>
      </c>
      <c r="R985">
        <f t="shared" si="31"/>
        <v>8</v>
      </c>
      <c r="S985" s="112"/>
      <c r="T985" s="102"/>
    </row>
    <row r="986" spans="1:20">
      <c r="A986" s="117">
        <v>25</v>
      </c>
      <c r="B986" s="102" t="s">
        <v>263</v>
      </c>
      <c r="C986" s="206">
        <v>42625</v>
      </c>
      <c r="D986" s="102">
        <v>14.1</v>
      </c>
      <c r="E986" s="102">
        <v>8.5</v>
      </c>
      <c r="F986" s="218">
        <v>82</v>
      </c>
      <c r="G986" s="102">
        <v>7.9</v>
      </c>
      <c r="H986" s="218">
        <v>4.5999999999999996</v>
      </c>
      <c r="I986" s="102"/>
      <c r="J986" s="102">
        <v>1</v>
      </c>
      <c r="K986" s="218">
        <v>14</v>
      </c>
      <c r="L986" s="218">
        <v>41</v>
      </c>
      <c r="M986" s="218">
        <v>440</v>
      </c>
      <c r="N986" s="218">
        <v>21</v>
      </c>
      <c r="O986" s="218">
        <v>870</v>
      </c>
      <c r="P986" s="112"/>
      <c r="Q986">
        <f t="shared" si="30"/>
        <v>2016</v>
      </c>
      <c r="R986">
        <f t="shared" si="31"/>
        <v>9</v>
      </c>
      <c r="S986" s="112"/>
      <c r="T986" s="102"/>
    </row>
    <row r="987" spans="1:20">
      <c r="A987" s="117">
        <v>25</v>
      </c>
      <c r="B987" s="102" t="s">
        <v>263</v>
      </c>
      <c r="C987" s="206">
        <v>42661</v>
      </c>
      <c r="D987" s="102">
        <v>8.3000000000000007</v>
      </c>
      <c r="E987" s="102">
        <v>10</v>
      </c>
      <c r="F987" s="218">
        <v>85</v>
      </c>
      <c r="G987" s="102">
        <v>7.9</v>
      </c>
      <c r="H987" s="218">
        <v>4.5999999999999996</v>
      </c>
      <c r="I987" s="102"/>
      <c r="J987" s="102">
        <v>1.2</v>
      </c>
      <c r="K987" s="218">
        <v>16</v>
      </c>
      <c r="L987" s="218">
        <v>47</v>
      </c>
      <c r="M987" s="218">
        <v>780</v>
      </c>
      <c r="N987" s="218">
        <v>62</v>
      </c>
      <c r="O987" s="218">
        <v>1100</v>
      </c>
      <c r="P987" s="112"/>
      <c r="Q987">
        <f t="shared" si="30"/>
        <v>2016</v>
      </c>
      <c r="R987">
        <f t="shared" si="31"/>
        <v>10</v>
      </c>
      <c r="S987" s="112"/>
      <c r="T987" s="102"/>
    </row>
    <row r="988" spans="1:20">
      <c r="A988" s="117">
        <v>25</v>
      </c>
      <c r="B988" s="102" t="s">
        <v>263</v>
      </c>
      <c r="C988" s="206">
        <v>42690</v>
      </c>
      <c r="D988" s="102">
        <v>5.4</v>
      </c>
      <c r="E988" s="102">
        <v>10.199999999999999</v>
      </c>
      <c r="F988" s="218">
        <v>82</v>
      </c>
      <c r="G988" s="102">
        <v>7.8</v>
      </c>
      <c r="H988" s="218">
        <v>8.1</v>
      </c>
      <c r="I988" s="102"/>
      <c r="J988" s="102">
        <v>2.7</v>
      </c>
      <c r="K988" s="218">
        <v>25</v>
      </c>
      <c r="L988" s="218">
        <v>73</v>
      </c>
      <c r="M988" s="218">
        <v>1600</v>
      </c>
      <c r="N988" s="218">
        <v>210</v>
      </c>
      <c r="O988" s="218">
        <v>2400</v>
      </c>
      <c r="P988" s="112"/>
      <c r="Q988">
        <f t="shared" si="30"/>
        <v>2016</v>
      </c>
      <c r="R988">
        <f t="shared" si="31"/>
        <v>11</v>
      </c>
      <c r="S988" s="112"/>
      <c r="T988" s="102"/>
    </row>
    <row r="989" spans="1:20">
      <c r="A989" s="117">
        <v>25</v>
      </c>
      <c r="B989" s="102" t="s">
        <v>263</v>
      </c>
      <c r="C989" s="206">
        <v>42724</v>
      </c>
      <c r="D989" s="102">
        <v>4.4000000000000004</v>
      </c>
      <c r="E989" s="102">
        <v>12</v>
      </c>
      <c r="F989" s="218">
        <v>90</v>
      </c>
      <c r="G989" s="102">
        <v>8</v>
      </c>
      <c r="H989" s="218">
        <v>5.8</v>
      </c>
      <c r="I989" s="102"/>
      <c r="J989" s="102">
        <v>2.1</v>
      </c>
      <c r="K989" s="218">
        <v>25</v>
      </c>
      <c r="L989" s="218">
        <v>45</v>
      </c>
      <c r="M989" s="218">
        <v>1100</v>
      </c>
      <c r="N989" s="218">
        <v>99</v>
      </c>
      <c r="O989" s="218">
        <v>1900</v>
      </c>
      <c r="P989" s="112"/>
      <c r="Q989">
        <f t="shared" si="30"/>
        <v>2016</v>
      </c>
      <c r="R989">
        <f t="shared" si="31"/>
        <v>12</v>
      </c>
      <c r="S989" s="112"/>
      <c r="T989" s="102"/>
    </row>
    <row r="990" spans="1:20">
      <c r="A990" s="117">
        <v>25</v>
      </c>
      <c r="B990" s="102" t="s">
        <v>263</v>
      </c>
      <c r="C990" s="206">
        <v>42752</v>
      </c>
      <c r="D990" s="102">
        <v>-0.1</v>
      </c>
      <c r="E990" s="102">
        <v>13.4</v>
      </c>
      <c r="F990" s="218">
        <v>89</v>
      </c>
      <c r="G990" s="102">
        <v>7.9</v>
      </c>
      <c r="H990" s="218">
        <v>20</v>
      </c>
      <c r="I990" s="102"/>
      <c r="J990" s="102">
        <v>2.2000000000000002</v>
      </c>
      <c r="K990" s="218">
        <v>20</v>
      </c>
      <c r="L990" s="218">
        <v>86</v>
      </c>
      <c r="M990" s="218">
        <v>1100</v>
      </c>
      <c r="N990" s="218">
        <v>120</v>
      </c>
      <c r="O990" s="218">
        <v>1800</v>
      </c>
      <c r="P990" s="112"/>
      <c r="Q990">
        <f t="shared" si="30"/>
        <v>2017</v>
      </c>
      <c r="R990">
        <f t="shared" si="31"/>
        <v>1</v>
      </c>
      <c r="S990" s="112"/>
      <c r="T990" s="102"/>
    </row>
    <row r="991" spans="1:20">
      <c r="A991" s="117">
        <v>25</v>
      </c>
      <c r="B991" s="102" t="s">
        <v>263</v>
      </c>
      <c r="C991" s="206">
        <v>42773</v>
      </c>
      <c r="D991" s="102">
        <v>1.1000000000000001</v>
      </c>
      <c r="E991" s="102">
        <v>13.3</v>
      </c>
      <c r="F991" s="218">
        <v>92</v>
      </c>
      <c r="G991" s="102">
        <v>8.1</v>
      </c>
      <c r="H991" s="218">
        <v>11</v>
      </c>
      <c r="I991" s="102"/>
      <c r="J991" s="102">
        <v>2.8</v>
      </c>
      <c r="K991" s="218">
        <v>8.8000000000000007</v>
      </c>
      <c r="L991" s="218">
        <v>67</v>
      </c>
      <c r="M991" s="218">
        <v>1100</v>
      </c>
      <c r="N991" s="218">
        <v>48</v>
      </c>
      <c r="O991" s="218">
        <v>1700</v>
      </c>
      <c r="P991" s="112"/>
      <c r="Q991">
        <f t="shared" si="30"/>
        <v>2017</v>
      </c>
      <c r="R991">
        <f t="shared" si="31"/>
        <v>2</v>
      </c>
      <c r="S991" s="112"/>
      <c r="T991" s="102"/>
    </row>
    <row r="992" spans="1:20">
      <c r="A992" s="117">
        <v>25</v>
      </c>
      <c r="B992" s="102" t="s">
        <v>263</v>
      </c>
      <c r="C992" s="206">
        <v>42808</v>
      </c>
      <c r="D992" s="102">
        <v>4.5999999999999996</v>
      </c>
      <c r="E992" s="102">
        <v>11.8</v>
      </c>
      <c r="F992" s="218">
        <v>91</v>
      </c>
      <c r="G992" s="102">
        <v>8.1</v>
      </c>
      <c r="H992" s="218">
        <v>5.5</v>
      </c>
      <c r="I992" s="102"/>
      <c r="J992" s="102">
        <v>2.6</v>
      </c>
      <c r="K992" s="218">
        <v>7.1</v>
      </c>
      <c r="L992" s="218">
        <v>46</v>
      </c>
      <c r="M992" s="218">
        <v>1100</v>
      </c>
      <c r="N992" s="218">
        <v>31</v>
      </c>
      <c r="O992" s="218">
        <v>1900</v>
      </c>
      <c r="P992" s="112"/>
      <c r="Q992">
        <f t="shared" si="30"/>
        <v>2017</v>
      </c>
      <c r="R992">
        <f t="shared" si="31"/>
        <v>3</v>
      </c>
      <c r="S992" s="112"/>
      <c r="T992" s="102"/>
    </row>
    <row r="993" spans="1:20">
      <c r="A993" s="117">
        <v>25</v>
      </c>
      <c r="B993" s="102" t="s">
        <v>263</v>
      </c>
      <c r="C993" s="206">
        <v>42837</v>
      </c>
      <c r="D993" s="102">
        <v>8.3000000000000007</v>
      </c>
      <c r="E993" s="102">
        <v>10.9</v>
      </c>
      <c r="F993" s="218">
        <v>84</v>
      </c>
      <c r="G993" s="102">
        <v>8</v>
      </c>
      <c r="H993" s="218">
        <v>7.7</v>
      </c>
      <c r="I993" s="102"/>
      <c r="J993" s="102">
        <v>2.9</v>
      </c>
      <c r="K993" s="218">
        <v>7.3</v>
      </c>
      <c r="L993" s="218">
        <v>56</v>
      </c>
      <c r="M993" s="218">
        <v>770</v>
      </c>
      <c r="N993" s="218">
        <v>39</v>
      </c>
      <c r="O993" s="218">
        <v>1500</v>
      </c>
      <c r="P993" s="112"/>
      <c r="Q993">
        <f t="shared" si="30"/>
        <v>2017</v>
      </c>
      <c r="R993">
        <f t="shared" si="31"/>
        <v>4</v>
      </c>
      <c r="S993" s="112"/>
      <c r="T993" s="102"/>
    </row>
    <row r="994" spans="1:20">
      <c r="A994" s="117">
        <v>25</v>
      </c>
      <c r="B994" s="102" t="s">
        <v>263</v>
      </c>
      <c r="C994" s="206">
        <v>42871</v>
      </c>
      <c r="D994" s="102">
        <v>13.4</v>
      </c>
      <c r="E994" s="102">
        <v>10.4</v>
      </c>
      <c r="F994" s="218">
        <v>99</v>
      </c>
      <c r="G994" s="102">
        <v>8.1999999999999993</v>
      </c>
      <c r="H994" s="218">
        <v>4.8</v>
      </c>
      <c r="I994" s="102"/>
      <c r="J994" s="102">
        <v>2.4</v>
      </c>
      <c r="K994" s="218">
        <v>9.1999999999999993</v>
      </c>
      <c r="L994" s="218">
        <v>58</v>
      </c>
      <c r="M994" s="218">
        <v>420</v>
      </c>
      <c r="N994" s="218">
        <v>29</v>
      </c>
      <c r="O994" s="218">
        <v>1100</v>
      </c>
      <c r="P994" s="112"/>
      <c r="Q994">
        <f t="shared" si="30"/>
        <v>2017</v>
      </c>
      <c r="R994">
        <f t="shared" si="31"/>
        <v>5</v>
      </c>
      <c r="S994" s="112"/>
      <c r="T994" s="102"/>
    </row>
    <row r="995" spans="1:20">
      <c r="A995" s="117">
        <v>25</v>
      </c>
      <c r="B995" s="102" t="s">
        <v>263</v>
      </c>
      <c r="C995" s="206">
        <v>42901</v>
      </c>
      <c r="D995" s="102">
        <v>18</v>
      </c>
      <c r="E995" s="102">
        <v>11</v>
      </c>
      <c r="F995" s="218">
        <v>116</v>
      </c>
      <c r="G995" s="102">
        <v>8.1999999999999993</v>
      </c>
      <c r="H995" s="218">
        <v>7.9</v>
      </c>
      <c r="I995" s="102"/>
      <c r="J995" s="102">
        <v>1.76</v>
      </c>
      <c r="K995" s="218">
        <v>15</v>
      </c>
      <c r="L995" s="218">
        <v>65</v>
      </c>
      <c r="M995" s="218">
        <v>290</v>
      </c>
      <c r="N995" s="218">
        <v>31</v>
      </c>
      <c r="O995" s="218">
        <v>990</v>
      </c>
      <c r="P995" s="112"/>
      <c r="Q995">
        <f t="shared" si="30"/>
        <v>2017</v>
      </c>
      <c r="R995">
        <f t="shared" si="31"/>
        <v>6</v>
      </c>
      <c r="S995" s="112"/>
      <c r="T995" s="102"/>
    </row>
    <row r="996" spans="1:20">
      <c r="A996" s="117">
        <v>25</v>
      </c>
      <c r="B996" s="102" t="s">
        <v>263</v>
      </c>
      <c r="C996" s="206">
        <v>42927</v>
      </c>
      <c r="D996" s="102">
        <v>18.600000000000001</v>
      </c>
      <c r="E996" s="102">
        <v>11.6</v>
      </c>
      <c r="F996" s="218">
        <v>125</v>
      </c>
      <c r="G996" s="102">
        <v>8.3000000000000007</v>
      </c>
      <c r="H996" s="218">
        <v>4.5999999999999996</v>
      </c>
      <c r="I996" s="102"/>
      <c r="J996" s="102">
        <v>1.1000000000000001</v>
      </c>
      <c r="K996" s="218">
        <v>11</v>
      </c>
      <c r="L996" s="218">
        <v>44</v>
      </c>
      <c r="M996" s="218">
        <v>150</v>
      </c>
      <c r="N996" s="218">
        <v>23</v>
      </c>
      <c r="O996" s="218">
        <v>750</v>
      </c>
      <c r="P996" s="112"/>
      <c r="Q996">
        <f t="shared" si="30"/>
        <v>2017</v>
      </c>
      <c r="R996">
        <f t="shared" si="31"/>
        <v>7</v>
      </c>
      <c r="S996" s="112"/>
      <c r="T996" s="102"/>
    </row>
    <row r="997" spans="1:20">
      <c r="A997" s="117">
        <v>25</v>
      </c>
      <c r="B997" s="102" t="s">
        <v>263</v>
      </c>
      <c r="C997" s="206">
        <v>42963</v>
      </c>
      <c r="D997" s="102">
        <v>17.600000000000001</v>
      </c>
      <c r="E997" s="102">
        <v>10</v>
      </c>
      <c r="F997" s="218">
        <v>105</v>
      </c>
      <c r="G997" s="102">
        <v>8.1</v>
      </c>
      <c r="H997" s="218">
        <v>5.5</v>
      </c>
      <c r="I997" s="102"/>
      <c r="J997" s="102">
        <v>1.2</v>
      </c>
      <c r="K997" s="218">
        <v>7.5</v>
      </c>
      <c r="L997" s="218">
        <v>60</v>
      </c>
      <c r="M997" s="218">
        <v>160</v>
      </c>
      <c r="N997" s="218">
        <v>23</v>
      </c>
      <c r="O997" s="218">
        <v>710</v>
      </c>
      <c r="P997" s="112"/>
      <c r="Q997">
        <f t="shared" si="30"/>
        <v>2017</v>
      </c>
      <c r="R997">
        <f t="shared" si="31"/>
        <v>8</v>
      </c>
      <c r="S997" s="112"/>
      <c r="T997" s="102"/>
    </row>
    <row r="998" spans="1:20">
      <c r="A998" s="117">
        <v>25</v>
      </c>
      <c r="B998" s="102" t="s">
        <v>263</v>
      </c>
      <c r="C998" s="206">
        <v>42990</v>
      </c>
      <c r="D998" s="102">
        <v>14.7</v>
      </c>
      <c r="E998" s="102">
        <v>8</v>
      </c>
      <c r="F998" s="218">
        <v>79</v>
      </c>
      <c r="G998" s="102">
        <v>7.9</v>
      </c>
      <c r="H998" s="218">
        <v>4.2</v>
      </c>
      <c r="I998" s="102"/>
      <c r="J998" s="102">
        <v>1.8</v>
      </c>
      <c r="K998" s="218">
        <v>31</v>
      </c>
      <c r="L998" s="218">
        <v>70</v>
      </c>
      <c r="M998" s="218">
        <v>1000</v>
      </c>
      <c r="N998" s="218">
        <v>32</v>
      </c>
      <c r="O998" s="218">
        <v>2000</v>
      </c>
      <c r="P998" s="112"/>
      <c r="Q998">
        <f t="shared" si="30"/>
        <v>2017</v>
      </c>
      <c r="R998">
        <f t="shared" si="31"/>
        <v>9</v>
      </c>
      <c r="S998" s="112"/>
      <c r="T998" s="102"/>
    </row>
    <row r="999" spans="1:20">
      <c r="A999" s="117">
        <v>25</v>
      </c>
      <c r="B999" s="102" t="s">
        <v>263</v>
      </c>
      <c r="C999" s="206">
        <v>43027</v>
      </c>
      <c r="D999" s="102">
        <v>11.2</v>
      </c>
      <c r="E999" s="102">
        <v>8.5</v>
      </c>
      <c r="F999" s="218">
        <v>77</v>
      </c>
      <c r="G999" s="102">
        <v>7.9</v>
      </c>
      <c r="H999" s="218">
        <v>6.7</v>
      </c>
      <c r="I999" s="102"/>
      <c r="J999" s="102">
        <v>1.6</v>
      </c>
      <c r="K999" s="218">
        <v>20</v>
      </c>
      <c r="L999" s="218">
        <v>68</v>
      </c>
      <c r="M999" s="218">
        <v>630</v>
      </c>
      <c r="N999" s="218">
        <v>43</v>
      </c>
      <c r="O999" s="218">
        <v>1400</v>
      </c>
      <c r="P999" s="112"/>
      <c r="Q999">
        <f t="shared" si="30"/>
        <v>2017</v>
      </c>
      <c r="R999">
        <f t="shared" si="31"/>
        <v>10</v>
      </c>
      <c r="S999" s="112"/>
      <c r="T999" s="102"/>
    </row>
    <row r="1000" spans="1:20">
      <c r="A1000" s="117">
        <v>25</v>
      </c>
      <c r="B1000" s="102" t="s">
        <v>263</v>
      </c>
      <c r="C1000" s="206">
        <v>43053</v>
      </c>
      <c r="D1000" s="102">
        <v>3.2</v>
      </c>
      <c r="E1000" s="102">
        <v>11.3</v>
      </c>
      <c r="F1000" s="218">
        <v>85</v>
      </c>
      <c r="G1000" s="102">
        <v>7.9</v>
      </c>
      <c r="H1000" s="218">
        <v>4.8</v>
      </c>
      <c r="I1000" s="102"/>
      <c r="J1000" s="102">
        <v>2</v>
      </c>
      <c r="K1000" s="218">
        <v>26</v>
      </c>
      <c r="L1000" s="218">
        <v>54</v>
      </c>
      <c r="M1000" s="218">
        <v>1300</v>
      </c>
      <c r="N1000" s="218">
        <v>87</v>
      </c>
      <c r="O1000" s="218">
        <v>2100</v>
      </c>
      <c r="P1000" s="112"/>
      <c r="Q1000">
        <f t="shared" si="30"/>
        <v>2017</v>
      </c>
      <c r="R1000">
        <f t="shared" si="31"/>
        <v>11</v>
      </c>
      <c r="S1000" s="112"/>
      <c r="T1000" s="102"/>
    </row>
    <row r="1001" spans="1:20">
      <c r="A1001" s="117">
        <v>25</v>
      </c>
      <c r="B1001" s="122" t="s">
        <v>263</v>
      </c>
      <c r="C1001" s="206">
        <v>43117</v>
      </c>
      <c r="D1001" s="102">
        <v>1.2</v>
      </c>
      <c r="E1001" s="102">
        <v>11.7</v>
      </c>
      <c r="F1001" s="218">
        <v>83</v>
      </c>
      <c r="G1001" s="102">
        <v>7.71</v>
      </c>
      <c r="H1001" s="218">
        <v>6.9</v>
      </c>
      <c r="I1001" s="102"/>
      <c r="J1001" s="102">
        <v>2.9</v>
      </c>
      <c r="K1001" s="218">
        <v>32</v>
      </c>
      <c r="L1001" s="218">
        <v>67</v>
      </c>
      <c r="M1001" s="218">
        <v>1500</v>
      </c>
      <c r="N1001" s="218">
        <v>150</v>
      </c>
      <c r="O1001" s="218">
        <v>2300</v>
      </c>
      <c r="P1001" s="112" t="s">
        <v>292</v>
      </c>
      <c r="Q1001">
        <f t="shared" si="30"/>
        <v>2018</v>
      </c>
      <c r="R1001">
        <f t="shared" si="31"/>
        <v>1</v>
      </c>
      <c r="S1001" s="112"/>
      <c r="T1001" s="102"/>
    </row>
    <row r="1002" spans="1:20">
      <c r="A1002" s="117">
        <v>25</v>
      </c>
      <c r="B1002" s="102" t="s">
        <v>263</v>
      </c>
      <c r="C1002" s="206">
        <v>43151</v>
      </c>
      <c r="D1002" s="102">
        <v>2.7</v>
      </c>
      <c r="E1002" s="102">
        <v>11.4</v>
      </c>
      <c r="F1002" s="218">
        <v>84</v>
      </c>
      <c r="G1002" s="102">
        <v>7.95</v>
      </c>
      <c r="H1002" s="218">
        <v>3.3</v>
      </c>
      <c r="I1002" s="102"/>
      <c r="J1002" s="102">
        <v>3.5</v>
      </c>
      <c r="K1002" s="218">
        <v>24</v>
      </c>
      <c r="L1002" s="218">
        <v>67</v>
      </c>
      <c r="M1002" s="218">
        <v>1400</v>
      </c>
      <c r="N1002" s="218">
        <v>62</v>
      </c>
      <c r="O1002" s="218">
        <v>2400</v>
      </c>
      <c r="P1002" s="112"/>
      <c r="Q1002">
        <f t="shared" si="30"/>
        <v>2018</v>
      </c>
      <c r="R1002">
        <f t="shared" si="31"/>
        <v>2</v>
      </c>
      <c r="S1002" s="112"/>
      <c r="T1002" s="102"/>
    </row>
    <row r="1003" spans="1:20">
      <c r="A1003" s="117">
        <v>25</v>
      </c>
      <c r="B1003" s="102" t="s">
        <v>263</v>
      </c>
      <c r="C1003" s="206">
        <v>43172</v>
      </c>
      <c r="D1003" s="102">
        <v>1.8</v>
      </c>
      <c r="E1003" s="102">
        <v>11.6</v>
      </c>
      <c r="F1003" s="218">
        <v>83</v>
      </c>
      <c r="G1003" s="102">
        <v>7.61</v>
      </c>
      <c r="H1003" s="218">
        <v>9.8000000000000007</v>
      </c>
      <c r="I1003" s="102"/>
      <c r="J1003" s="102">
        <v>4.7</v>
      </c>
      <c r="K1003" s="218">
        <v>22</v>
      </c>
      <c r="L1003" s="218">
        <v>75</v>
      </c>
      <c r="M1003" s="218">
        <v>1100</v>
      </c>
      <c r="N1003" s="218">
        <v>180</v>
      </c>
      <c r="O1003" s="218">
        <v>2100</v>
      </c>
      <c r="P1003" s="112" t="s">
        <v>292</v>
      </c>
      <c r="Q1003">
        <f t="shared" si="30"/>
        <v>2018</v>
      </c>
      <c r="R1003">
        <f t="shared" si="31"/>
        <v>3</v>
      </c>
      <c r="S1003" s="112"/>
      <c r="T1003" s="102"/>
    </row>
    <row r="1004" spans="1:20">
      <c r="A1004" s="117">
        <v>25</v>
      </c>
      <c r="B1004" s="102" t="s">
        <v>263</v>
      </c>
      <c r="C1004" s="206">
        <v>43200</v>
      </c>
      <c r="D1004" s="102">
        <v>9.6999999999999993</v>
      </c>
      <c r="E1004" s="102">
        <v>11</v>
      </c>
      <c r="F1004" s="218">
        <v>97</v>
      </c>
      <c r="G1004" s="102">
        <v>8.16</v>
      </c>
      <c r="H1004" s="218">
        <v>3.3</v>
      </c>
      <c r="I1004" s="102"/>
      <c r="J1004" s="102">
        <v>3.8</v>
      </c>
      <c r="K1004" s="218">
        <v>7.9</v>
      </c>
      <c r="L1004" s="218">
        <v>47</v>
      </c>
      <c r="M1004" s="218">
        <v>720</v>
      </c>
      <c r="N1004" s="218">
        <v>10</v>
      </c>
      <c r="O1004" s="218">
        <v>1500</v>
      </c>
      <c r="P1004" s="112" t="s">
        <v>294</v>
      </c>
      <c r="Q1004">
        <f t="shared" si="30"/>
        <v>2018</v>
      </c>
      <c r="R1004">
        <f t="shared" si="31"/>
        <v>4</v>
      </c>
      <c r="S1004" s="112"/>
      <c r="T1004" s="102"/>
    </row>
    <row r="1005" spans="1:20">
      <c r="A1005" s="117">
        <v>25</v>
      </c>
      <c r="B1005" s="102" t="s">
        <v>263</v>
      </c>
      <c r="C1005" s="206">
        <v>43229</v>
      </c>
      <c r="D1005" s="102">
        <v>15.4</v>
      </c>
      <c r="E1005" s="102">
        <v>8.6999999999999993</v>
      </c>
      <c r="F1005" s="218">
        <v>87</v>
      </c>
      <c r="G1005" s="102">
        <v>8.0399999999999991</v>
      </c>
      <c r="H1005" s="218">
        <v>6.1</v>
      </c>
      <c r="I1005" s="102"/>
      <c r="J1005" s="102">
        <v>2.2999999999999998</v>
      </c>
      <c r="K1005" s="218">
        <v>14</v>
      </c>
      <c r="L1005" s="218">
        <v>62</v>
      </c>
      <c r="M1005" s="218">
        <v>820</v>
      </c>
      <c r="N1005" s="218">
        <v>52</v>
      </c>
      <c r="O1005" s="218">
        <v>1500</v>
      </c>
      <c r="P1005" s="112"/>
      <c r="Q1005">
        <f t="shared" si="30"/>
        <v>2018</v>
      </c>
      <c r="R1005">
        <f t="shared" si="31"/>
        <v>5</v>
      </c>
      <c r="S1005" s="112"/>
      <c r="T1005" s="102"/>
    </row>
    <row r="1006" spans="1:20">
      <c r="A1006" s="117">
        <v>25</v>
      </c>
      <c r="B1006" s="102" t="s">
        <v>263</v>
      </c>
      <c r="C1006" s="206">
        <v>43270</v>
      </c>
      <c r="D1006" s="102">
        <v>17.3</v>
      </c>
      <c r="E1006" s="102">
        <v>10.199999999999999</v>
      </c>
      <c r="F1006" s="218">
        <v>106</v>
      </c>
      <c r="G1006" s="102">
        <v>8.1</v>
      </c>
      <c r="H1006" s="218">
        <v>7</v>
      </c>
      <c r="I1006" s="102"/>
      <c r="J1006" s="102">
        <v>3.5</v>
      </c>
      <c r="K1006" s="218">
        <v>15</v>
      </c>
      <c r="L1006" s="218">
        <v>130</v>
      </c>
      <c r="M1006" s="218">
        <v>310</v>
      </c>
      <c r="N1006" s="218">
        <v>32</v>
      </c>
      <c r="O1006" s="218">
        <v>1100</v>
      </c>
      <c r="P1006" s="112"/>
      <c r="Q1006">
        <f t="shared" si="30"/>
        <v>2018</v>
      </c>
      <c r="R1006">
        <f t="shared" si="31"/>
        <v>6</v>
      </c>
      <c r="S1006" s="112"/>
      <c r="T1006" s="102"/>
    </row>
    <row r="1007" spans="1:20">
      <c r="A1007" s="117">
        <v>25</v>
      </c>
      <c r="B1007" s="102" t="s">
        <v>263</v>
      </c>
      <c r="C1007" s="206">
        <v>43297</v>
      </c>
      <c r="D1007" s="102">
        <v>20.5</v>
      </c>
      <c r="E1007" s="102">
        <v>6.7</v>
      </c>
      <c r="F1007" s="218">
        <v>74</v>
      </c>
      <c r="G1007" s="102">
        <v>7.71</v>
      </c>
      <c r="H1007" s="218">
        <v>4.2</v>
      </c>
      <c r="I1007" s="102"/>
      <c r="J1007" s="102">
        <v>2.4</v>
      </c>
      <c r="K1007" s="218">
        <v>24</v>
      </c>
      <c r="L1007" s="218">
        <v>51</v>
      </c>
      <c r="M1007" s="218">
        <v>290</v>
      </c>
      <c r="N1007" s="218">
        <v>72</v>
      </c>
      <c r="O1007" s="218">
        <v>970</v>
      </c>
      <c r="P1007" s="112"/>
      <c r="Q1007">
        <f t="shared" si="30"/>
        <v>2018</v>
      </c>
      <c r="R1007">
        <f t="shared" si="31"/>
        <v>7</v>
      </c>
      <c r="S1007" s="112"/>
      <c r="T1007" s="102"/>
    </row>
    <row r="1008" spans="1:20">
      <c r="A1008" s="117">
        <v>25</v>
      </c>
      <c r="B1008" s="102" t="s">
        <v>263</v>
      </c>
      <c r="C1008" s="206">
        <v>43333</v>
      </c>
      <c r="D1008" s="102">
        <v>18.399999999999999</v>
      </c>
      <c r="E1008" s="102">
        <v>9.1</v>
      </c>
      <c r="F1008" s="218">
        <v>97</v>
      </c>
      <c r="G1008" s="102">
        <v>7.84</v>
      </c>
      <c r="H1008" s="218">
        <v>7.8</v>
      </c>
      <c r="I1008" s="102"/>
      <c r="J1008" s="102">
        <v>2.2000000000000002</v>
      </c>
      <c r="K1008" s="218">
        <v>15</v>
      </c>
      <c r="L1008" s="218">
        <v>40</v>
      </c>
      <c r="M1008" s="218">
        <v>120</v>
      </c>
      <c r="N1008" s="218">
        <v>35</v>
      </c>
      <c r="O1008" s="218">
        <v>720</v>
      </c>
      <c r="P1008" s="112"/>
      <c r="Q1008">
        <f t="shared" si="30"/>
        <v>2018</v>
      </c>
      <c r="R1008">
        <f t="shared" si="31"/>
        <v>8</v>
      </c>
      <c r="S1008" s="112"/>
      <c r="T1008" s="102"/>
    </row>
    <row r="1009" spans="1:20">
      <c r="A1009" s="117">
        <v>25</v>
      </c>
      <c r="B1009" s="102" t="s">
        <v>263</v>
      </c>
      <c r="C1009" s="206">
        <v>43361</v>
      </c>
      <c r="D1009" s="102">
        <v>14.3</v>
      </c>
      <c r="E1009" s="102">
        <v>9.1</v>
      </c>
      <c r="F1009" s="218">
        <v>89</v>
      </c>
      <c r="G1009" s="102">
        <v>7.79</v>
      </c>
      <c r="H1009" s="218">
        <v>5.3</v>
      </c>
      <c r="I1009" s="102"/>
      <c r="J1009" s="102">
        <v>1.3</v>
      </c>
      <c r="K1009" s="218">
        <v>18</v>
      </c>
      <c r="L1009" s="218">
        <v>37</v>
      </c>
      <c r="M1009" s="218">
        <v>470</v>
      </c>
      <c r="N1009" s="218">
        <v>36</v>
      </c>
      <c r="O1009" s="218">
        <v>780</v>
      </c>
      <c r="P1009" s="112"/>
      <c r="Q1009">
        <f t="shared" si="30"/>
        <v>2018</v>
      </c>
      <c r="R1009">
        <f t="shared" si="31"/>
        <v>9</v>
      </c>
      <c r="S1009" s="112"/>
      <c r="T1009" s="102"/>
    </row>
    <row r="1010" spans="1:20">
      <c r="A1010" s="117">
        <v>25</v>
      </c>
      <c r="B1010" s="102" t="s">
        <v>263</v>
      </c>
      <c r="C1010" s="206">
        <v>43389</v>
      </c>
      <c r="D1010" s="102">
        <v>10.7</v>
      </c>
      <c r="E1010" s="102">
        <v>11.2</v>
      </c>
      <c r="F1010" s="218">
        <v>101</v>
      </c>
      <c r="G1010" s="102">
        <v>7.86</v>
      </c>
      <c r="H1010" s="218">
        <v>6.3</v>
      </c>
      <c r="I1010" s="102"/>
      <c r="J1010" s="102">
        <v>1.8</v>
      </c>
      <c r="K1010" s="218">
        <v>9.4</v>
      </c>
      <c r="L1010" s="218">
        <v>41</v>
      </c>
      <c r="M1010" s="218">
        <v>440</v>
      </c>
      <c r="N1010" s="218">
        <v>33</v>
      </c>
      <c r="O1010" s="218">
        <v>790</v>
      </c>
      <c r="P1010" s="112"/>
      <c r="Q1010">
        <f t="shared" si="30"/>
        <v>2018</v>
      </c>
      <c r="R1010">
        <f t="shared" si="31"/>
        <v>10</v>
      </c>
      <c r="S1010" s="112"/>
      <c r="T1010" s="102"/>
    </row>
    <row r="1011" spans="1:20">
      <c r="A1011" s="117">
        <v>25</v>
      </c>
      <c r="B1011" s="102" t="s">
        <v>263</v>
      </c>
      <c r="C1011" s="206">
        <v>43424</v>
      </c>
      <c r="D1011" s="102">
        <v>4.8</v>
      </c>
      <c r="E1011" s="102">
        <v>11.5</v>
      </c>
      <c r="F1011" s="218">
        <v>90</v>
      </c>
      <c r="G1011" s="102">
        <v>7.89</v>
      </c>
      <c r="H1011" s="218">
        <v>11</v>
      </c>
      <c r="I1011" s="102"/>
      <c r="J1011" s="102">
        <v>2.6</v>
      </c>
      <c r="K1011" s="218">
        <v>14</v>
      </c>
      <c r="L1011" s="218">
        <v>52</v>
      </c>
      <c r="M1011" s="218">
        <v>610</v>
      </c>
      <c r="N1011" s="218">
        <v>93</v>
      </c>
      <c r="O1011" s="218">
        <v>1000</v>
      </c>
      <c r="P1011" s="112"/>
      <c r="Q1011">
        <f t="shared" si="30"/>
        <v>2018</v>
      </c>
      <c r="R1011">
        <f t="shared" si="31"/>
        <v>11</v>
      </c>
      <c r="S1011" s="112"/>
      <c r="T1011" s="102"/>
    </row>
    <row r="1012" spans="1:20">
      <c r="A1012" s="117">
        <v>25</v>
      </c>
      <c r="B1012" s="102" t="s">
        <v>263</v>
      </c>
      <c r="C1012" s="206">
        <v>43447</v>
      </c>
      <c r="D1012" s="102">
        <v>2.6</v>
      </c>
      <c r="E1012" s="102">
        <v>12.2</v>
      </c>
      <c r="F1012" s="218">
        <v>90</v>
      </c>
      <c r="G1012" s="102">
        <v>7.82</v>
      </c>
      <c r="H1012" s="218">
        <v>25</v>
      </c>
      <c r="I1012" s="102"/>
      <c r="J1012" s="102">
        <v>3.1</v>
      </c>
      <c r="K1012" s="218">
        <v>26</v>
      </c>
      <c r="L1012" s="218">
        <v>120</v>
      </c>
      <c r="M1012" s="218">
        <v>1500</v>
      </c>
      <c r="N1012" s="218">
        <v>180</v>
      </c>
      <c r="O1012" s="218">
        <v>1800</v>
      </c>
      <c r="P1012" s="112"/>
      <c r="Q1012">
        <f t="shared" si="30"/>
        <v>2018</v>
      </c>
      <c r="R1012">
        <f t="shared" si="31"/>
        <v>12</v>
      </c>
      <c r="S1012" s="112"/>
      <c r="T1012" s="102"/>
    </row>
    <row r="1013" spans="1:20">
      <c r="A1013" s="117">
        <v>25</v>
      </c>
      <c r="B1013" s="102" t="s">
        <v>263</v>
      </c>
      <c r="C1013" s="206">
        <v>43475</v>
      </c>
      <c r="D1013" s="102">
        <v>1</v>
      </c>
      <c r="E1013" s="102">
        <v>13.2</v>
      </c>
      <c r="F1013" s="218">
        <v>93</v>
      </c>
      <c r="G1013" s="102">
        <v>8.0500000000000007</v>
      </c>
      <c r="H1013" s="218">
        <v>13</v>
      </c>
      <c r="I1013" s="102"/>
      <c r="J1013" s="102">
        <v>3.9</v>
      </c>
      <c r="K1013" s="218">
        <v>33</v>
      </c>
      <c r="L1013" s="218">
        <v>83</v>
      </c>
      <c r="M1013" s="218">
        <v>1700</v>
      </c>
      <c r="N1013" s="218">
        <v>270</v>
      </c>
      <c r="O1013" s="218">
        <v>2700</v>
      </c>
      <c r="P1013" s="112"/>
      <c r="Q1013">
        <f t="shared" si="30"/>
        <v>2019</v>
      </c>
      <c r="R1013">
        <f t="shared" si="31"/>
        <v>1</v>
      </c>
      <c r="S1013" s="112"/>
      <c r="T1013" s="102"/>
    </row>
    <row r="1014" spans="1:20">
      <c r="A1014" s="117">
        <v>25</v>
      </c>
      <c r="B1014" s="102" t="s">
        <v>263</v>
      </c>
      <c r="C1014" s="206">
        <v>43515</v>
      </c>
      <c r="D1014" s="102">
        <v>5.5</v>
      </c>
      <c r="E1014" s="102">
        <v>12</v>
      </c>
      <c r="F1014" s="218">
        <v>95</v>
      </c>
      <c r="G1014" s="102">
        <v>7.92</v>
      </c>
      <c r="H1014" s="218">
        <v>6.8</v>
      </c>
      <c r="I1014" s="102"/>
      <c r="J1014" s="102">
        <v>4.8</v>
      </c>
      <c r="K1014" s="218">
        <v>16</v>
      </c>
      <c r="L1014" s="218">
        <v>49</v>
      </c>
      <c r="M1014" s="218">
        <v>1800</v>
      </c>
      <c r="N1014" s="218">
        <v>110</v>
      </c>
      <c r="O1014" s="218">
        <v>2600</v>
      </c>
      <c r="P1014" s="112"/>
      <c r="Q1014">
        <f t="shared" si="30"/>
        <v>2019</v>
      </c>
      <c r="R1014">
        <f t="shared" si="31"/>
        <v>2</v>
      </c>
      <c r="S1014" s="112"/>
      <c r="T1014" s="102"/>
    </row>
    <row r="1015" spans="1:20">
      <c r="A1015" s="117">
        <v>25</v>
      </c>
      <c r="B1015" s="102" t="s">
        <v>263</v>
      </c>
      <c r="C1015" s="206">
        <v>43536</v>
      </c>
      <c r="D1015" s="102">
        <v>2.1</v>
      </c>
      <c r="E1015" s="102">
        <v>13</v>
      </c>
      <c r="F1015" s="218">
        <v>94</v>
      </c>
      <c r="G1015" s="102">
        <v>7.96</v>
      </c>
      <c r="H1015" s="218">
        <v>4</v>
      </c>
      <c r="I1015" s="102"/>
      <c r="J1015" s="102">
        <v>3.4000000000000004</v>
      </c>
      <c r="K1015" s="218">
        <v>11</v>
      </c>
      <c r="L1015" s="218">
        <v>41</v>
      </c>
      <c r="M1015" s="218">
        <v>1900</v>
      </c>
      <c r="N1015" s="218" t="s">
        <v>148</v>
      </c>
      <c r="O1015" s="218">
        <v>2700</v>
      </c>
      <c r="P1015" s="112"/>
      <c r="Q1015">
        <f t="shared" si="30"/>
        <v>2019</v>
      </c>
      <c r="R1015">
        <f t="shared" si="31"/>
        <v>3</v>
      </c>
      <c r="S1015" s="112"/>
      <c r="T1015" s="102"/>
    </row>
    <row r="1016" spans="1:20" ht="13">
      <c r="A1016" s="118">
        <v>25</v>
      </c>
      <c r="B1016" s="102" t="s">
        <v>263</v>
      </c>
      <c r="C1016" s="206">
        <v>43571</v>
      </c>
      <c r="D1016" s="102">
        <v>6.5</v>
      </c>
      <c r="E1016" s="102">
        <v>11.7</v>
      </c>
      <c r="F1016" s="218">
        <v>95</v>
      </c>
      <c r="G1016" s="102">
        <v>8.0399999999999991</v>
      </c>
      <c r="H1016" s="102">
        <v>6.1</v>
      </c>
      <c r="I1016" s="102"/>
      <c r="J1016" s="102">
        <v>4.3000000000000007</v>
      </c>
      <c r="K1016" s="218">
        <v>5.4</v>
      </c>
      <c r="L1016" s="218">
        <v>33</v>
      </c>
      <c r="M1016" s="218">
        <v>1300</v>
      </c>
      <c r="N1016" s="218">
        <v>16</v>
      </c>
      <c r="O1016" s="218">
        <v>1900</v>
      </c>
      <c r="P1016" s="112"/>
      <c r="Q1016">
        <f t="shared" si="30"/>
        <v>2019</v>
      </c>
      <c r="R1016">
        <f t="shared" si="31"/>
        <v>4</v>
      </c>
      <c r="S1016" s="103"/>
      <c r="T1016" s="102"/>
    </row>
    <row r="1017" spans="1:20" ht="13">
      <c r="A1017" s="118">
        <v>25</v>
      </c>
      <c r="B1017" s="102" t="s">
        <v>263</v>
      </c>
      <c r="C1017" s="206">
        <v>43600</v>
      </c>
      <c r="D1017" s="102">
        <v>13.3</v>
      </c>
      <c r="E1017" s="102">
        <v>14</v>
      </c>
      <c r="F1017" s="218">
        <v>134</v>
      </c>
      <c r="G1017" s="102">
        <v>8.44</v>
      </c>
      <c r="H1017" s="102">
        <v>4.7</v>
      </c>
      <c r="I1017" s="102"/>
      <c r="J1017" s="102">
        <v>4.5</v>
      </c>
      <c r="K1017" s="218">
        <v>21</v>
      </c>
      <c r="L1017" s="218">
        <v>45</v>
      </c>
      <c r="M1017" s="218">
        <v>570</v>
      </c>
      <c r="N1017" s="218">
        <v>28</v>
      </c>
      <c r="O1017" s="218">
        <v>1200</v>
      </c>
      <c r="P1017" s="121"/>
      <c r="Q1017">
        <f t="shared" si="30"/>
        <v>2019</v>
      </c>
      <c r="R1017">
        <f t="shared" si="31"/>
        <v>5</v>
      </c>
      <c r="S1017" s="103"/>
      <c r="T1017" s="102"/>
    </row>
    <row r="1018" spans="1:20" ht="13">
      <c r="A1018" s="118">
        <v>25</v>
      </c>
      <c r="B1018" s="102" t="s">
        <v>263</v>
      </c>
      <c r="C1018" s="206">
        <v>43635</v>
      </c>
      <c r="D1018" s="102">
        <v>21.7</v>
      </c>
      <c r="E1018" s="102">
        <v>9.3000000000000007</v>
      </c>
      <c r="F1018" s="218">
        <v>105</v>
      </c>
      <c r="G1018" s="102">
        <v>8</v>
      </c>
      <c r="H1018" s="102">
        <v>7.8</v>
      </c>
      <c r="I1018" s="102"/>
      <c r="J1018" s="102">
        <v>2.1000000000000005</v>
      </c>
      <c r="K1018" s="218">
        <v>27</v>
      </c>
      <c r="L1018" s="218">
        <v>76</v>
      </c>
      <c r="M1018" s="218">
        <v>180</v>
      </c>
      <c r="N1018" s="218">
        <v>60</v>
      </c>
      <c r="O1018" s="218">
        <v>900</v>
      </c>
      <c r="P1018" s="102"/>
      <c r="Q1018">
        <f t="shared" si="30"/>
        <v>2019</v>
      </c>
      <c r="R1018">
        <f t="shared" si="31"/>
        <v>6</v>
      </c>
      <c r="S1018" s="102"/>
      <c r="T1018" s="102"/>
    </row>
    <row r="1019" spans="1:20" ht="13">
      <c r="A1019" s="118">
        <v>25</v>
      </c>
      <c r="B1019" s="102" t="s">
        <v>263</v>
      </c>
      <c r="C1019" s="206">
        <v>43662</v>
      </c>
      <c r="D1019" s="102">
        <v>15.7</v>
      </c>
      <c r="E1019" s="102">
        <v>6.4</v>
      </c>
      <c r="F1019" s="218">
        <v>65</v>
      </c>
      <c r="G1019" s="102">
        <v>7.77</v>
      </c>
      <c r="H1019" s="102">
        <v>6.3</v>
      </c>
      <c r="I1019" s="102"/>
      <c r="J1019" s="102">
        <v>1.6</v>
      </c>
      <c r="K1019" s="218">
        <v>23</v>
      </c>
      <c r="L1019" s="218">
        <v>45</v>
      </c>
      <c r="M1019" s="218">
        <v>180</v>
      </c>
      <c r="N1019" s="218">
        <v>57</v>
      </c>
      <c r="O1019" s="218">
        <v>740</v>
      </c>
      <c r="P1019" s="111"/>
      <c r="Q1019">
        <f t="shared" si="30"/>
        <v>2019</v>
      </c>
      <c r="R1019">
        <f t="shared" si="31"/>
        <v>7</v>
      </c>
      <c r="S1019" s="119"/>
      <c r="T1019" s="102"/>
    </row>
    <row r="1020" spans="1:20" ht="13">
      <c r="A1020" s="118">
        <v>25</v>
      </c>
      <c r="B1020" s="102" t="s">
        <v>263</v>
      </c>
      <c r="C1020" s="206">
        <v>43698</v>
      </c>
      <c r="D1020" s="102">
        <v>17.7</v>
      </c>
      <c r="E1020" s="102">
        <v>9.9</v>
      </c>
      <c r="F1020" s="218">
        <v>104</v>
      </c>
      <c r="G1020" s="102">
        <v>8.0299999999999994</v>
      </c>
      <c r="H1020" s="102">
        <v>3.4</v>
      </c>
      <c r="I1020" s="102"/>
      <c r="J1020" s="102">
        <v>4.5999999999999996</v>
      </c>
      <c r="K1020" s="218">
        <v>19</v>
      </c>
      <c r="L1020" s="218">
        <v>39</v>
      </c>
      <c r="M1020" s="218">
        <v>65</v>
      </c>
      <c r="N1020" s="218">
        <v>24</v>
      </c>
      <c r="O1020" s="218">
        <v>570</v>
      </c>
      <c r="P1020" s="112"/>
      <c r="Q1020">
        <f t="shared" si="30"/>
        <v>2019</v>
      </c>
      <c r="R1020">
        <f t="shared" si="31"/>
        <v>8</v>
      </c>
      <c r="S1020" s="112"/>
      <c r="T1020" s="102"/>
    </row>
    <row r="1021" spans="1:20" ht="13">
      <c r="A1021" s="118">
        <v>25</v>
      </c>
      <c r="B1021" s="102" t="s">
        <v>263</v>
      </c>
      <c r="C1021" s="206">
        <v>43725</v>
      </c>
      <c r="D1021" s="102">
        <v>11.3</v>
      </c>
      <c r="E1021" s="102">
        <v>9.5</v>
      </c>
      <c r="F1021" s="218">
        <v>87</v>
      </c>
      <c r="G1021" s="102">
        <v>7.87</v>
      </c>
      <c r="H1021" s="102">
        <v>36</v>
      </c>
      <c r="I1021" s="102"/>
      <c r="J1021" s="102">
        <v>2.1</v>
      </c>
      <c r="K1021" s="218">
        <v>29</v>
      </c>
      <c r="L1021" s="218">
        <v>110</v>
      </c>
      <c r="M1021" s="218">
        <v>280</v>
      </c>
      <c r="N1021" s="218">
        <v>40</v>
      </c>
      <c r="O1021" s="218">
        <v>1200</v>
      </c>
      <c r="P1021" s="112"/>
      <c r="Q1021">
        <f t="shared" si="30"/>
        <v>2019</v>
      </c>
      <c r="R1021">
        <f t="shared" si="31"/>
        <v>9</v>
      </c>
      <c r="S1021" s="112"/>
      <c r="T1021" s="102"/>
    </row>
    <row r="1022" spans="1:20" ht="13">
      <c r="A1022" s="118">
        <v>25</v>
      </c>
      <c r="B1022" s="102" t="s">
        <v>263</v>
      </c>
      <c r="C1022" s="124">
        <v>43748</v>
      </c>
      <c r="D1022" s="193">
        <v>10.3</v>
      </c>
      <c r="E1022" s="193">
        <v>10.8</v>
      </c>
      <c r="F1022" s="204">
        <v>97</v>
      </c>
      <c r="G1022" s="193">
        <v>8.01</v>
      </c>
      <c r="H1022" s="189">
        <v>4.5999999999999996</v>
      </c>
      <c r="I1022" s="193"/>
      <c r="J1022" s="193">
        <v>2</v>
      </c>
      <c r="K1022" s="189">
        <v>19</v>
      </c>
      <c r="L1022" s="189">
        <v>30</v>
      </c>
      <c r="M1022" s="189">
        <v>380</v>
      </c>
      <c r="N1022" s="189">
        <v>31</v>
      </c>
      <c r="O1022" s="189">
        <v>830</v>
      </c>
      <c r="P1022" s="202"/>
      <c r="Q1022">
        <f t="shared" si="30"/>
        <v>2019</v>
      </c>
      <c r="R1022">
        <f t="shared" si="31"/>
        <v>10</v>
      </c>
      <c r="T1022" s="102"/>
    </row>
    <row r="1023" spans="1:20" ht="13">
      <c r="A1023" s="118">
        <v>25</v>
      </c>
      <c r="B1023" s="102" t="s">
        <v>263</v>
      </c>
      <c r="C1023" s="124">
        <v>43782</v>
      </c>
      <c r="D1023" s="192">
        <v>5.4</v>
      </c>
      <c r="E1023" s="192">
        <v>11</v>
      </c>
      <c r="F1023" s="204">
        <v>87</v>
      </c>
      <c r="G1023" s="192">
        <v>7.85</v>
      </c>
      <c r="H1023" s="192">
        <v>6.3</v>
      </c>
      <c r="I1023" s="193"/>
      <c r="J1023" s="193">
        <v>2.2999999999999998</v>
      </c>
      <c r="K1023" s="189">
        <v>20</v>
      </c>
      <c r="L1023" s="195">
        <v>52</v>
      </c>
      <c r="M1023" s="195">
        <v>890</v>
      </c>
      <c r="N1023" s="195">
        <v>61</v>
      </c>
      <c r="O1023" s="195">
        <v>1500</v>
      </c>
      <c r="P1023" s="200"/>
      <c r="Q1023">
        <f t="shared" si="30"/>
        <v>2019</v>
      </c>
      <c r="R1023">
        <f t="shared" si="31"/>
        <v>11</v>
      </c>
      <c r="T1023" s="102"/>
    </row>
    <row r="1024" spans="1:20" ht="13">
      <c r="A1024" s="118">
        <v>25</v>
      </c>
      <c r="B1024" s="102" t="s">
        <v>263</v>
      </c>
      <c r="C1024" s="125">
        <v>43812</v>
      </c>
      <c r="D1024" s="193">
        <v>4.4000000000000004</v>
      </c>
      <c r="E1024" s="193">
        <v>11.8</v>
      </c>
      <c r="F1024" s="204">
        <v>91</v>
      </c>
      <c r="G1024" s="193">
        <v>7.77</v>
      </c>
      <c r="H1024" s="193">
        <v>11.6</v>
      </c>
      <c r="I1024" s="193"/>
      <c r="J1024" s="193">
        <v>2</v>
      </c>
      <c r="K1024" s="189">
        <v>34</v>
      </c>
      <c r="L1024" s="189">
        <v>91</v>
      </c>
      <c r="M1024" s="189">
        <v>1900</v>
      </c>
      <c r="N1024" s="189">
        <v>97</v>
      </c>
      <c r="O1024" s="189">
        <v>3100</v>
      </c>
      <c r="P1024" s="200"/>
      <c r="Q1024">
        <f t="shared" si="30"/>
        <v>2019</v>
      </c>
      <c r="R1024">
        <f t="shared" si="31"/>
        <v>12</v>
      </c>
      <c r="T1024" s="102"/>
    </row>
    <row r="1025" spans="1:20" ht="13">
      <c r="A1025" s="118">
        <v>27</v>
      </c>
      <c r="B1025" s="102" t="s">
        <v>264</v>
      </c>
      <c r="C1025" s="206">
        <v>40225</v>
      </c>
      <c r="D1025" s="193">
        <v>1.1000000000000001</v>
      </c>
      <c r="E1025" s="193">
        <v>7.8</v>
      </c>
      <c r="F1025" s="188">
        <v>55</v>
      </c>
      <c r="G1025" s="193">
        <v>7.72</v>
      </c>
      <c r="H1025" s="193">
        <v>1.8</v>
      </c>
      <c r="I1025" s="193"/>
      <c r="J1025" s="193">
        <v>4.5</v>
      </c>
      <c r="K1025" s="189">
        <v>25</v>
      </c>
      <c r="L1025" s="189">
        <v>33</v>
      </c>
      <c r="M1025" s="189">
        <v>1300</v>
      </c>
      <c r="N1025" s="189">
        <v>170</v>
      </c>
      <c r="O1025" s="189">
        <v>2400</v>
      </c>
      <c r="P1025" s="200"/>
      <c r="Q1025">
        <f t="shared" si="30"/>
        <v>2010</v>
      </c>
      <c r="R1025">
        <f t="shared" si="31"/>
        <v>2</v>
      </c>
      <c r="T1025" s="102"/>
    </row>
    <row r="1026" spans="1:20" ht="13">
      <c r="A1026" s="118">
        <v>27</v>
      </c>
      <c r="B1026" s="102" t="s">
        <v>264</v>
      </c>
      <c r="C1026" s="125">
        <v>40290</v>
      </c>
      <c r="D1026" s="193">
        <v>9.4</v>
      </c>
      <c r="E1026" s="193">
        <v>8.9</v>
      </c>
      <c r="F1026" s="204">
        <v>78</v>
      </c>
      <c r="G1026" s="193">
        <v>8.75</v>
      </c>
      <c r="H1026" s="211">
        <v>7.2</v>
      </c>
      <c r="I1026" s="193"/>
      <c r="J1026" s="193">
        <v>5.8</v>
      </c>
      <c r="K1026" s="189" t="s">
        <v>149</v>
      </c>
      <c r="L1026" s="189">
        <v>30</v>
      </c>
      <c r="M1026" s="189">
        <v>950</v>
      </c>
      <c r="N1026" s="189">
        <v>14</v>
      </c>
      <c r="O1026" s="189">
        <v>1900</v>
      </c>
      <c r="P1026" s="200"/>
      <c r="Q1026">
        <f t="shared" si="30"/>
        <v>2010</v>
      </c>
      <c r="R1026">
        <f t="shared" si="31"/>
        <v>4</v>
      </c>
      <c r="T1026" s="102"/>
    </row>
    <row r="1027" spans="1:20" ht="13">
      <c r="A1027" s="118">
        <v>27</v>
      </c>
      <c r="B1027" s="102" t="s">
        <v>264</v>
      </c>
      <c r="C1027" s="213">
        <v>40346</v>
      </c>
      <c r="D1027" s="193">
        <v>19.899999999999999</v>
      </c>
      <c r="E1027" s="193">
        <v>12.6</v>
      </c>
      <c r="F1027" s="204">
        <v>138</v>
      </c>
      <c r="G1027" s="193">
        <v>8.99</v>
      </c>
      <c r="H1027" s="193">
        <v>14</v>
      </c>
      <c r="I1027" s="193"/>
      <c r="J1027" s="193">
        <v>4.2</v>
      </c>
      <c r="K1027" s="189">
        <v>7</v>
      </c>
      <c r="L1027" s="189">
        <v>55</v>
      </c>
      <c r="M1027" s="189">
        <v>76</v>
      </c>
      <c r="N1027" s="189">
        <v>10</v>
      </c>
      <c r="O1027" s="189">
        <v>1200</v>
      </c>
      <c r="P1027" s="200"/>
      <c r="Q1027">
        <f t="shared" si="30"/>
        <v>2010</v>
      </c>
      <c r="R1027">
        <f t="shared" si="31"/>
        <v>6</v>
      </c>
      <c r="T1027" s="102"/>
    </row>
    <row r="1028" spans="1:20">
      <c r="A1028" s="117">
        <v>27</v>
      </c>
      <c r="B1028" s="122" t="s">
        <v>264</v>
      </c>
      <c r="C1028" s="206">
        <v>40416</v>
      </c>
      <c r="D1028" s="102">
        <v>16.600000000000001</v>
      </c>
      <c r="E1028" s="102">
        <v>9.4700000000000006</v>
      </c>
      <c r="F1028" s="218">
        <v>97</v>
      </c>
      <c r="G1028" s="102">
        <v>8.86</v>
      </c>
      <c r="H1028" s="218">
        <v>25</v>
      </c>
      <c r="I1028" s="102"/>
      <c r="J1028" s="102">
        <v>9.1</v>
      </c>
      <c r="K1028" s="218">
        <v>6</v>
      </c>
      <c r="L1028" s="218">
        <v>77</v>
      </c>
      <c r="M1028" s="218" t="s">
        <v>289</v>
      </c>
      <c r="N1028" s="218">
        <v>13</v>
      </c>
      <c r="O1028" s="218">
        <v>1700</v>
      </c>
      <c r="P1028" s="112"/>
      <c r="Q1028">
        <f t="shared" si="30"/>
        <v>2010</v>
      </c>
      <c r="R1028">
        <f t="shared" si="31"/>
        <v>8</v>
      </c>
      <c r="S1028" s="112"/>
      <c r="T1028" s="102"/>
    </row>
    <row r="1029" spans="1:20">
      <c r="A1029" s="117">
        <v>27</v>
      </c>
      <c r="B1029" s="122" t="s">
        <v>264</v>
      </c>
      <c r="C1029" s="206">
        <v>40471</v>
      </c>
      <c r="D1029" s="102">
        <v>8.4</v>
      </c>
      <c r="E1029" s="102">
        <v>9.5</v>
      </c>
      <c r="F1029" s="218">
        <v>81</v>
      </c>
      <c r="G1029" s="102">
        <v>8.1</v>
      </c>
      <c r="H1029" s="218">
        <v>11</v>
      </c>
      <c r="I1029" s="102"/>
      <c r="J1029" s="102">
        <v>5</v>
      </c>
      <c r="K1029" s="218">
        <v>4</v>
      </c>
      <c r="L1029" s="218">
        <v>58</v>
      </c>
      <c r="M1029" s="218">
        <v>62</v>
      </c>
      <c r="N1029" s="218">
        <v>210</v>
      </c>
      <c r="O1029" s="218">
        <v>1400</v>
      </c>
      <c r="P1029" s="112"/>
      <c r="Q1029">
        <f t="shared" si="30"/>
        <v>2010</v>
      </c>
      <c r="R1029">
        <f t="shared" si="31"/>
        <v>10</v>
      </c>
      <c r="S1029" s="112"/>
      <c r="T1029" s="102"/>
    </row>
    <row r="1030" spans="1:20">
      <c r="A1030" s="117">
        <v>27</v>
      </c>
      <c r="B1030" s="122" t="s">
        <v>264</v>
      </c>
      <c r="C1030" s="206">
        <v>40526</v>
      </c>
      <c r="D1030" s="102">
        <v>0.8</v>
      </c>
      <c r="E1030" s="102">
        <v>12.1</v>
      </c>
      <c r="F1030" s="218">
        <v>85</v>
      </c>
      <c r="G1030" s="102">
        <v>7.89</v>
      </c>
      <c r="H1030" s="218">
        <v>3</v>
      </c>
      <c r="I1030" s="102"/>
      <c r="J1030" s="102">
        <v>4.8</v>
      </c>
      <c r="K1030" s="218">
        <v>23</v>
      </c>
      <c r="L1030" s="218">
        <v>41</v>
      </c>
      <c r="M1030" s="218">
        <v>850</v>
      </c>
      <c r="N1030" s="218">
        <v>460</v>
      </c>
      <c r="O1030" s="218">
        <v>2400</v>
      </c>
      <c r="P1030" s="112"/>
      <c r="Q1030">
        <f t="shared" si="30"/>
        <v>2010</v>
      </c>
      <c r="R1030">
        <f t="shared" si="31"/>
        <v>12</v>
      </c>
      <c r="S1030" s="112"/>
      <c r="T1030" s="102"/>
    </row>
    <row r="1031" spans="1:20">
      <c r="A1031" s="117">
        <v>27</v>
      </c>
      <c r="B1031" s="122" t="s">
        <v>264</v>
      </c>
      <c r="C1031" s="206">
        <v>40589</v>
      </c>
      <c r="D1031" s="102">
        <v>1.9</v>
      </c>
      <c r="E1031" s="102">
        <v>8.9</v>
      </c>
      <c r="F1031" s="218">
        <v>64</v>
      </c>
      <c r="G1031" s="102">
        <v>7.41</v>
      </c>
      <c r="H1031" s="218">
        <v>4.5</v>
      </c>
      <c r="I1031" s="102"/>
      <c r="J1031" s="102">
        <v>4.2</v>
      </c>
      <c r="K1031" s="218">
        <v>40</v>
      </c>
      <c r="L1031" s="218">
        <v>68</v>
      </c>
      <c r="M1031" s="218">
        <v>2100</v>
      </c>
      <c r="N1031" s="218">
        <v>320</v>
      </c>
      <c r="O1031" s="218">
        <v>3400</v>
      </c>
      <c r="P1031" s="112"/>
      <c r="Q1031">
        <f t="shared" ref="Q1031:Q1086" si="32">YEAR(C1031)</f>
        <v>2011</v>
      </c>
      <c r="R1031">
        <f t="shared" ref="R1031:R1086" si="33">MONTH(C1031)</f>
        <v>2</v>
      </c>
      <c r="S1031" s="112"/>
      <c r="T1031" s="102"/>
    </row>
    <row r="1032" spans="1:20">
      <c r="A1032" s="117">
        <v>27</v>
      </c>
      <c r="B1032" s="122" t="s">
        <v>264</v>
      </c>
      <c r="C1032" s="206">
        <v>40646</v>
      </c>
      <c r="D1032" s="102">
        <v>8.3000000000000007</v>
      </c>
      <c r="E1032" s="102">
        <v>11.2</v>
      </c>
      <c r="F1032" s="218">
        <v>96</v>
      </c>
      <c r="G1032" s="102">
        <v>8.68</v>
      </c>
      <c r="H1032" s="218">
        <v>6</v>
      </c>
      <c r="I1032" s="102"/>
      <c r="J1032" s="102">
        <v>4</v>
      </c>
      <c r="K1032" s="218" t="s">
        <v>148</v>
      </c>
      <c r="L1032" s="218">
        <v>44</v>
      </c>
      <c r="M1032" s="218">
        <v>1500</v>
      </c>
      <c r="N1032" s="218">
        <v>45</v>
      </c>
      <c r="O1032" s="218">
        <v>2700</v>
      </c>
      <c r="P1032" s="112"/>
      <c r="Q1032">
        <f t="shared" si="32"/>
        <v>2011</v>
      </c>
      <c r="R1032">
        <f t="shared" si="33"/>
        <v>4</v>
      </c>
      <c r="S1032" s="112"/>
      <c r="T1032" s="102"/>
    </row>
    <row r="1033" spans="1:20">
      <c r="A1033" s="117">
        <v>27</v>
      </c>
      <c r="B1033" s="122" t="s">
        <v>264</v>
      </c>
      <c r="C1033" s="206">
        <v>40710</v>
      </c>
      <c r="D1033" s="102">
        <v>18.600000000000001</v>
      </c>
      <c r="E1033" s="102">
        <v>9.6999999999999993</v>
      </c>
      <c r="F1033" s="218">
        <v>104</v>
      </c>
      <c r="G1033" s="102">
        <v>8.66</v>
      </c>
      <c r="H1033" s="218">
        <v>23</v>
      </c>
      <c r="I1033" s="102"/>
      <c r="J1033" s="102">
        <v>6.6</v>
      </c>
      <c r="K1033" s="218" t="s">
        <v>149</v>
      </c>
      <c r="L1033" s="218">
        <v>80</v>
      </c>
      <c r="M1033" s="218" t="s">
        <v>148</v>
      </c>
      <c r="N1033" s="218" t="s">
        <v>148</v>
      </c>
      <c r="O1033" s="218">
        <v>1600</v>
      </c>
      <c r="P1033" s="112"/>
      <c r="Q1033">
        <f t="shared" si="32"/>
        <v>2011</v>
      </c>
      <c r="R1033">
        <f t="shared" si="33"/>
        <v>6</v>
      </c>
      <c r="S1033" s="112"/>
      <c r="T1033" s="102"/>
    </row>
    <row r="1034" spans="1:20">
      <c r="A1034" s="117">
        <v>27</v>
      </c>
      <c r="B1034" s="122" t="s">
        <v>264</v>
      </c>
      <c r="C1034" s="206">
        <v>40778</v>
      </c>
      <c r="D1034" s="102">
        <v>20.399999999999999</v>
      </c>
      <c r="E1034" s="102">
        <v>13.8</v>
      </c>
      <c r="F1034" s="218">
        <v>153</v>
      </c>
      <c r="G1034" s="102">
        <v>9.1999999999999993</v>
      </c>
      <c r="H1034" s="218">
        <v>30</v>
      </c>
      <c r="I1034" s="102"/>
      <c r="J1034" s="102">
        <v>9.8000000000000007</v>
      </c>
      <c r="K1034" s="218">
        <v>7</v>
      </c>
      <c r="L1034" s="218">
        <v>110</v>
      </c>
      <c r="M1034" s="218" t="s">
        <v>148</v>
      </c>
      <c r="N1034" s="218">
        <v>12</v>
      </c>
      <c r="O1034" s="218">
        <v>1900</v>
      </c>
      <c r="P1034" s="112"/>
      <c r="Q1034">
        <f t="shared" si="32"/>
        <v>2011</v>
      </c>
      <c r="R1034">
        <f t="shared" si="33"/>
        <v>8</v>
      </c>
      <c r="S1034" s="112"/>
      <c r="T1034" s="102"/>
    </row>
    <row r="1035" spans="1:20">
      <c r="A1035" s="117">
        <v>27</v>
      </c>
      <c r="B1035" s="122" t="s">
        <v>264</v>
      </c>
      <c r="C1035" s="206">
        <v>40834</v>
      </c>
      <c r="D1035" s="102">
        <v>10.4</v>
      </c>
      <c r="E1035" s="102">
        <v>8</v>
      </c>
      <c r="F1035" s="218">
        <v>72</v>
      </c>
      <c r="G1035" s="102">
        <v>7.83</v>
      </c>
      <c r="H1035" s="218">
        <v>12</v>
      </c>
      <c r="I1035" s="102"/>
      <c r="J1035" s="102">
        <v>3.2</v>
      </c>
      <c r="K1035" s="218">
        <v>35</v>
      </c>
      <c r="L1035" s="218">
        <v>86</v>
      </c>
      <c r="M1035" s="218">
        <v>12</v>
      </c>
      <c r="N1035" s="218">
        <v>45</v>
      </c>
      <c r="O1035" s="218">
        <v>1700</v>
      </c>
      <c r="P1035" s="112"/>
      <c r="Q1035">
        <f t="shared" si="32"/>
        <v>2011</v>
      </c>
      <c r="R1035">
        <f t="shared" si="33"/>
        <v>10</v>
      </c>
      <c r="S1035" s="112"/>
      <c r="T1035" s="102"/>
    </row>
    <row r="1036" spans="1:20">
      <c r="A1036" s="117">
        <v>27</v>
      </c>
      <c r="B1036" s="122" t="s">
        <v>264</v>
      </c>
      <c r="C1036" s="206">
        <v>40896</v>
      </c>
      <c r="D1036" s="102">
        <v>3.3</v>
      </c>
      <c r="E1036" s="102">
        <v>11.4</v>
      </c>
      <c r="F1036" s="218">
        <v>85</v>
      </c>
      <c r="G1036" s="102">
        <v>7.88</v>
      </c>
      <c r="H1036" s="218">
        <v>6</v>
      </c>
      <c r="I1036" s="102"/>
      <c r="J1036" s="102">
        <v>3.8</v>
      </c>
      <c r="K1036" s="218">
        <v>43</v>
      </c>
      <c r="L1036" s="218">
        <v>69</v>
      </c>
      <c r="M1036" s="218">
        <v>800</v>
      </c>
      <c r="N1036" s="218">
        <v>460</v>
      </c>
      <c r="O1036" s="218">
        <v>2200</v>
      </c>
      <c r="P1036" s="112"/>
      <c r="Q1036">
        <f t="shared" si="32"/>
        <v>2011</v>
      </c>
      <c r="R1036">
        <f t="shared" si="33"/>
        <v>12</v>
      </c>
      <c r="S1036" s="112"/>
      <c r="T1036" s="102"/>
    </row>
    <row r="1037" spans="1:20">
      <c r="A1037" s="117">
        <v>27</v>
      </c>
      <c r="B1037" s="122" t="s">
        <v>264</v>
      </c>
      <c r="C1037" s="206">
        <v>40949</v>
      </c>
      <c r="D1037" s="102">
        <v>1.5</v>
      </c>
      <c r="E1037" s="102">
        <v>12.5</v>
      </c>
      <c r="F1037" s="218">
        <v>86</v>
      </c>
      <c r="G1037" s="102">
        <v>8</v>
      </c>
      <c r="H1037" s="218">
        <v>3.9</v>
      </c>
      <c r="I1037" s="102"/>
      <c r="J1037" s="102">
        <v>0.54</v>
      </c>
      <c r="K1037" s="218">
        <v>11</v>
      </c>
      <c r="L1037" s="218">
        <v>43</v>
      </c>
      <c r="M1037" s="218">
        <v>1600</v>
      </c>
      <c r="N1037" s="218">
        <v>100</v>
      </c>
      <c r="O1037" s="218">
        <v>2200</v>
      </c>
      <c r="P1037" s="112"/>
      <c r="Q1037">
        <f t="shared" si="32"/>
        <v>2012</v>
      </c>
      <c r="R1037">
        <f t="shared" si="33"/>
        <v>2</v>
      </c>
      <c r="S1037" s="112"/>
      <c r="T1037" s="102"/>
    </row>
    <row r="1038" spans="1:20">
      <c r="A1038" s="117">
        <v>27</v>
      </c>
      <c r="B1038" s="122" t="s">
        <v>264</v>
      </c>
      <c r="C1038" s="206">
        <v>41012</v>
      </c>
      <c r="D1038" s="102">
        <v>7.9</v>
      </c>
      <c r="E1038" s="102">
        <v>12</v>
      </c>
      <c r="F1038" s="218">
        <v>109</v>
      </c>
      <c r="G1038" s="102">
        <v>8.6</v>
      </c>
      <c r="H1038" s="218">
        <v>16</v>
      </c>
      <c r="I1038" s="102"/>
      <c r="J1038" s="102">
        <v>4.4000000000000004</v>
      </c>
      <c r="K1038" s="218">
        <v>5</v>
      </c>
      <c r="L1038" s="218">
        <v>35</v>
      </c>
      <c r="M1038" s="218">
        <v>1000</v>
      </c>
      <c r="N1038" s="218">
        <v>10</v>
      </c>
      <c r="O1038" s="218">
        <v>1900</v>
      </c>
      <c r="P1038" s="112"/>
      <c r="Q1038">
        <f t="shared" si="32"/>
        <v>2012</v>
      </c>
      <c r="R1038">
        <f t="shared" si="33"/>
        <v>4</v>
      </c>
      <c r="S1038" s="112"/>
      <c r="T1038" s="102"/>
    </row>
    <row r="1039" spans="1:20">
      <c r="A1039" s="117">
        <v>27</v>
      </c>
      <c r="B1039" s="102" t="s">
        <v>264</v>
      </c>
      <c r="C1039" s="206">
        <v>41078</v>
      </c>
      <c r="D1039" s="102">
        <v>19.8</v>
      </c>
      <c r="E1039" s="102">
        <v>10.3</v>
      </c>
      <c r="F1039" s="218">
        <v>115</v>
      </c>
      <c r="G1039" s="102">
        <v>8.6</v>
      </c>
      <c r="H1039" s="218">
        <v>13</v>
      </c>
      <c r="I1039" s="102"/>
      <c r="J1039" s="102">
        <v>4.8</v>
      </c>
      <c r="K1039" s="218">
        <v>6</v>
      </c>
      <c r="L1039" s="218">
        <v>82</v>
      </c>
      <c r="M1039" s="218" t="s">
        <v>148</v>
      </c>
      <c r="N1039" s="218" t="s">
        <v>148</v>
      </c>
      <c r="O1039" s="218">
        <v>1300</v>
      </c>
      <c r="P1039" s="112"/>
      <c r="Q1039">
        <f t="shared" si="32"/>
        <v>2012</v>
      </c>
      <c r="R1039">
        <f t="shared" si="33"/>
        <v>6</v>
      </c>
      <c r="S1039" s="112"/>
      <c r="T1039" s="102"/>
    </row>
    <row r="1040" spans="1:20">
      <c r="A1040" s="117">
        <v>27</v>
      </c>
      <c r="B1040" s="102" t="s">
        <v>264</v>
      </c>
      <c r="C1040" s="206">
        <v>41136</v>
      </c>
      <c r="D1040" s="102">
        <v>21.8</v>
      </c>
      <c r="E1040" s="102">
        <v>17.399999999999999</v>
      </c>
      <c r="F1040" s="218">
        <v>199</v>
      </c>
      <c r="G1040" s="102">
        <v>9.1</v>
      </c>
      <c r="H1040" s="218">
        <v>24</v>
      </c>
      <c r="I1040" s="102"/>
      <c r="J1040" s="102" t="s">
        <v>288</v>
      </c>
      <c r="K1040" s="218">
        <v>8</v>
      </c>
      <c r="L1040" s="218">
        <v>90</v>
      </c>
      <c r="M1040" s="218" t="s">
        <v>148</v>
      </c>
      <c r="N1040" s="218" t="s">
        <v>148</v>
      </c>
      <c r="O1040" s="218">
        <v>2000</v>
      </c>
      <c r="P1040" s="112"/>
      <c r="Q1040">
        <f t="shared" si="32"/>
        <v>2012</v>
      </c>
      <c r="R1040">
        <f t="shared" si="33"/>
        <v>8</v>
      </c>
      <c r="S1040" s="112"/>
      <c r="T1040" s="102"/>
    </row>
    <row r="1041" spans="1:20">
      <c r="A1041" s="117">
        <v>27</v>
      </c>
      <c r="B1041" s="102" t="s">
        <v>264</v>
      </c>
      <c r="C1041" s="206">
        <v>41193</v>
      </c>
      <c r="D1041" s="102">
        <v>11.6</v>
      </c>
      <c r="E1041" s="102">
        <v>10.4</v>
      </c>
      <c r="F1041" s="218">
        <v>96</v>
      </c>
      <c r="G1041" s="102">
        <v>8.3000000000000007</v>
      </c>
      <c r="H1041" s="218">
        <v>8.6</v>
      </c>
      <c r="I1041" s="102"/>
      <c r="J1041" s="102">
        <v>4.2</v>
      </c>
      <c r="K1041" s="218" t="s">
        <v>149</v>
      </c>
      <c r="L1041" s="218">
        <v>30</v>
      </c>
      <c r="M1041" s="218">
        <v>13</v>
      </c>
      <c r="N1041" s="218">
        <v>31</v>
      </c>
      <c r="O1041" s="218">
        <v>1200</v>
      </c>
      <c r="P1041" s="112"/>
      <c r="Q1041">
        <f t="shared" si="32"/>
        <v>2012</v>
      </c>
      <c r="R1041">
        <f t="shared" si="33"/>
        <v>10</v>
      </c>
      <c r="S1041" s="112"/>
      <c r="T1041" s="102"/>
    </row>
    <row r="1042" spans="1:20">
      <c r="A1042" s="117">
        <v>27</v>
      </c>
      <c r="B1042" s="102" t="s">
        <v>264</v>
      </c>
      <c r="C1042" s="206">
        <v>41263</v>
      </c>
      <c r="D1042" s="102">
        <v>2</v>
      </c>
      <c r="E1042" s="102">
        <v>10.9</v>
      </c>
      <c r="F1042" s="218">
        <v>78</v>
      </c>
      <c r="G1042" s="102">
        <v>7.9</v>
      </c>
      <c r="H1042" s="218">
        <v>1.3</v>
      </c>
      <c r="I1042" s="102"/>
      <c r="J1042" s="102">
        <v>2.4</v>
      </c>
      <c r="K1042" s="218">
        <v>20</v>
      </c>
      <c r="L1042" s="218">
        <v>38</v>
      </c>
      <c r="M1042" s="218">
        <v>580</v>
      </c>
      <c r="N1042" s="218">
        <v>440</v>
      </c>
      <c r="O1042" s="218">
        <v>1800</v>
      </c>
      <c r="P1042" s="112"/>
      <c r="Q1042">
        <f t="shared" si="32"/>
        <v>2012</v>
      </c>
      <c r="R1042">
        <f t="shared" si="33"/>
        <v>12</v>
      </c>
      <c r="S1042" s="112"/>
      <c r="T1042" s="102"/>
    </row>
    <row r="1043" spans="1:20">
      <c r="A1043" s="117">
        <v>27</v>
      </c>
      <c r="B1043" s="102" t="s">
        <v>264</v>
      </c>
      <c r="C1043" s="206">
        <v>41323</v>
      </c>
      <c r="D1043" s="102">
        <v>1.4</v>
      </c>
      <c r="E1043" s="102">
        <v>9.1</v>
      </c>
      <c r="F1043" s="218">
        <v>66</v>
      </c>
      <c r="G1043" s="102">
        <v>7.7</v>
      </c>
      <c r="H1043" s="218">
        <v>1.3</v>
      </c>
      <c r="I1043" s="102"/>
      <c r="J1043" s="102">
        <v>1.9</v>
      </c>
      <c r="K1043" s="218">
        <v>24</v>
      </c>
      <c r="L1043" s="218">
        <v>45</v>
      </c>
      <c r="M1043" s="218">
        <v>1600</v>
      </c>
      <c r="N1043" s="218">
        <v>200</v>
      </c>
      <c r="O1043" s="218">
        <v>2800</v>
      </c>
      <c r="P1043" s="112"/>
      <c r="Q1043">
        <f t="shared" si="32"/>
        <v>2013</v>
      </c>
      <c r="R1043">
        <f t="shared" si="33"/>
        <v>2</v>
      </c>
      <c r="S1043" s="112"/>
      <c r="T1043" s="102"/>
    </row>
    <row r="1044" spans="1:20">
      <c r="A1044" s="117">
        <v>27</v>
      </c>
      <c r="B1044" s="102" t="s">
        <v>264</v>
      </c>
      <c r="C1044" s="206">
        <v>41379</v>
      </c>
      <c r="D1044" s="102">
        <v>5.2</v>
      </c>
      <c r="E1044" s="102">
        <v>14.7</v>
      </c>
      <c r="F1044" s="218">
        <v>114</v>
      </c>
      <c r="G1044" s="102">
        <v>8.4</v>
      </c>
      <c r="H1044" s="218">
        <v>2.8</v>
      </c>
      <c r="I1044" s="102"/>
      <c r="J1044" s="102">
        <v>4</v>
      </c>
      <c r="K1044" s="218" t="s">
        <v>149</v>
      </c>
      <c r="L1044" s="218">
        <v>29</v>
      </c>
      <c r="M1044" s="218">
        <v>1300</v>
      </c>
      <c r="N1044" s="218">
        <v>20</v>
      </c>
      <c r="O1044" s="218">
        <v>2300</v>
      </c>
      <c r="P1044" s="112"/>
      <c r="Q1044">
        <f t="shared" si="32"/>
        <v>2013</v>
      </c>
      <c r="R1044">
        <f t="shared" si="33"/>
        <v>4</v>
      </c>
      <c r="S1044" s="112"/>
      <c r="T1044" s="102"/>
    </row>
    <row r="1045" spans="1:20">
      <c r="A1045" s="117">
        <v>27</v>
      </c>
      <c r="B1045" s="102" t="s">
        <v>264</v>
      </c>
      <c r="C1045" s="206">
        <v>41443</v>
      </c>
      <c r="D1045" s="102">
        <v>21</v>
      </c>
      <c r="E1045" s="102">
        <v>11.3</v>
      </c>
      <c r="F1045" s="218">
        <v>124</v>
      </c>
      <c r="G1045" s="102">
        <v>8.9</v>
      </c>
      <c r="H1045" s="218">
        <v>8.1</v>
      </c>
      <c r="I1045" s="102"/>
      <c r="J1045" s="102">
        <v>4.4000000000000004</v>
      </c>
      <c r="K1045" s="218">
        <v>3</v>
      </c>
      <c r="L1045" s="218">
        <v>40</v>
      </c>
      <c r="M1045" s="218" t="s">
        <v>148</v>
      </c>
      <c r="N1045" s="218" t="s">
        <v>148</v>
      </c>
      <c r="O1045" s="218">
        <v>1000</v>
      </c>
      <c r="P1045" s="112"/>
      <c r="Q1045">
        <f t="shared" si="32"/>
        <v>2013</v>
      </c>
      <c r="R1045">
        <f t="shared" si="33"/>
        <v>6</v>
      </c>
      <c r="S1045" s="112"/>
      <c r="T1045" s="102"/>
    </row>
    <row r="1046" spans="1:20">
      <c r="A1046" s="117">
        <v>27</v>
      </c>
      <c r="B1046" s="102" t="s">
        <v>264</v>
      </c>
      <c r="C1046" s="206">
        <v>41500</v>
      </c>
      <c r="D1046" s="102">
        <v>19.899999999999999</v>
      </c>
      <c r="E1046" s="102">
        <v>7.3</v>
      </c>
      <c r="F1046" s="218">
        <v>78</v>
      </c>
      <c r="G1046" s="102">
        <v>8.3000000000000007</v>
      </c>
      <c r="H1046" s="218">
        <v>19</v>
      </c>
      <c r="I1046" s="102"/>
      <c r="J1046" s="102" t="s">
        <v>288</v>
      </c>
      <c r="K1046" s="218">
        <v>10</v>
      </c>
      <c r="L1046" s="218">
        <v>64</v>
      </c>
      <c r="M1046" s="218">
        <v>19</v>
      </c>
      <c r="N1046" s="218">
        <v>41</v>
      </c>
      <c r="O1046" s="218">
        <v>1800</v>
      </c>
      <c r="P1046" s="112"/>
      <c r="Q1046">
        <f t="shared" si="32"/>
        <v>2013</v>
      </c>
      <c r="R1046">
        <f t="shared" si="33"/>
        <v>8</v>
      </c>
      <c r="S1046" s="112"/>
      <c r="T1046" s="102"/>
    </row>
    <row r="1047" spans="1:20">
      <c r="A1047" s="117">
        <v>27</v>
      </c>
      <c r="B1047" s="102" t="s">
        <v>264</v>
      </c>
      <c r="C1047" s="206">
        <v>41572</v>
      </c>
      <c r="D1047" s="102">
        <v>11.1</v>
      </c>
      <c r="E1047" s="102">
        <v>6</v>
      </c>
      <c r="F1047" s="218">
        <v>54</v>
      </c>
      <c r="G1047" s="102">
        <v>7.7</v>
      </c>
      <c r="H1047" s="218">
        <v>2.7</v>
      </c>
      <c r="I1047" s="102"/>
      <c r="J1047" s="102">
        <v>1.3</v>
      </c>
      <c r="K1047" s="218">
        <v>120</v>
      </c>
      <c r="L1047" s="218">
        <v>150</v>
      </c>
      <c r="M1047" s="218">
        <v>230</v>
      </c>
      <c r="N1047" s="218">
        <v>1200</v>
      </c>
      <c r="O1047" s="218">
        <v>2200</v>
      </c>
      <c r="P1047" s="112"/>
      <c r="Q1047">
        <f t="shared" si="32"/>
        <v>2013</v>
      </c>
      <c r="R1047">
        <f t="shared" si="33"/>
        <v>10</v>
      </c>
      <c r="S1047" s="112"/>
      <c r="T1047" s="102"/>
    </row>
    <row r="1048" spans="1:20">
      <c r="A1048" s="117">
        <v>27</v>
      </c>
      <c r="B1048" s="102" t="s">
        <v>264</v>
      </c>
      <c r="C1048" s="206">
        <v>41619</v>
      </c>
      <c r="D1048" s="102">
        <v>3.9</v>
      </c>
      <c r="E1048" s="102">
        <v>10.7</v>
      </c>
      <c r="F1048" s="218">
        <v>82</v>
      </c>
      <c r="G1048" s="102">
        <v>8</v>
      </c>
      <c r="H1048" s="218">
        <v>2.5</v>
      </c>
      <c r="I1048" s="102"/>
      <c r="J1048" s="102">
        <v>5</v>
      </c>
      <c r="K1048" s="218">
        <v>77</v>
      </c>
      <c r="L1048" s="218">
        <v>110</v>
      </c>
      <c r="M1048" s="218">
        <v>760</v>
      </c>
      <c r="N1048" s="218">
        <v>1200</v>
      </c>
      <c r="O1048" s="218">
        <v>3000</v>
      </c>
      <c r="P1048" s="112"/>
      <c r="Q1048">
        <f t="shared" si="32"/>
        <v>2013</v>
      </c>
      <c r="R1048">
        <f t="shared" si="33"/>
        <v>12</v>
      </c>
      <c r="S1048" s="112"/>
      <c r="T1048" s="102"/>
    </row>
    <row r="1049" spans="1:20">
      <c r="A1049" s="117">
        <v>27</v>
      </c>
      <c r="B1049" s="102" t="s">
        <v>264</v>
      </c>
      <c r="C1049" s="206">
        <v>41683</v>
      </c>
      <c r="D1049" s="102">
        <v>2.1</v>
      </c>
      <c r="E1049" s="102">
        <v>11.7</v>
      </c>
      <c r="F1049" s="218">
        <v>95</v>
      </c>
      <c r="G1049" s="102">
        <v>8.1</v>
      </c>
      <c r="H1049" s="218">
        <v>2.4</v>
      </c>
      <c r="I1049" s="102"/>
      <c r="J1049" s="102">
        <v>2.8</v>
      </c>
      <c r="K1049" s="218">
        <v>12</v>
      </c>
      <c r="L1049" s="218">
        <v>40</v>
      </c>
      <c r="M1049" s="218">
        <v>2000</v>
      </c>
      <c r="N1049" s="218">
        <v>300</v>
      </c>
      <c r="O1049" s="218">
        <v>2900</v>
      </c>
      <c r="P1049" s="112"/>
      <c r="Q1049">
        <f t="shared" si="32"/>
        <v>2014</v>
      </c>
      <c r="R1049">
        <f t="shared" si="33"/>
        <v>2</v>
      </c>
      <c r="S1049" s="112"/>
      <c r="T1049" s="102"/>
    </row>
    <row r="1050" spans="1:20">
      <c r="A1050" s="117">
        <v>27</v>
      </c>
      <c r="B1050" s="102" t="s">
        <v>264</v>
      </c>
      <c r="C1050" s="206">
        <v>41743</v>
      </c>
      <c r="D1050" s="102">
        <v>8.4</v>
      </c>
      <c r="E1050" s="102">
        <v>12.6</v>
      </c>
      <c r="F1050" s="218">
        <v>110</v>
      </c>
      <c r="G1050" s="102">
        <v>8.6999999999999993</v>
      </c>
      <c r="H1050" s="218">
        <v>18</v>
      </c>
      <c r="I1050" s="102"/>
      <c r="J1050" s="102" t="s">
        <v>288</v>
      </c>
      <c r="K1050" s="218">
        <v>6</v>
      </c>
      <c r="L1050" s="218">
        <v>39</v>
      </c>
      <c r="M1050" s="218">
        <v>1700</v>
      </c>
      <c r="N1050" s="218" t="s">
        <v>148</v>
      </c>
      <c r="O1050" s="218">
        <v>2700</v>
      </c>
      <c r="P1050" s="112"/>
      <c r="Q1050">
        <f t="shared" si="32"/>
        <v>2014</v>
      </c>
      <c r="R1050">
        <f t="shared" si="33"/>
        <v>4</v>
      </c>
      <c r="S1050" s="112"/>
      <c r="T1050" s="102"/>
    </row>
    <row r="1051" spans="1:20">
      <c r="A1051" s="117">
        <v>27</v>
      </c>
      <c r="B1051" s="102" t="s">
        <v>264</v>
      </c>
      <c r="C1051" s="206">
        <v>41807</v>
      </c>
      <c r="D1051" s="102">
        <v>20.2</v>
      </c>
      <c r="E1051" s="102">
        <v>13.3</v>
      </c>
      <c r="F1051" s="218">
        <v>146</v>
      </c>
      <c r="G1051" s="102">
        <v>8.9</v>
      </c>
      <c r="H1051" s="218">
        <v>17</v>
      </c>
      <c r="I1051" s="102"/>
      <c r="J1051" s="102">
        <v>7.2</v>
      </c>
      <c r="K1051" s="218">
        <v>5</v>
      </c>
      <c r="L1051" s="218">
        <v>55</v>
      </c>
      <c r="M1051" s="218" t="s">
        <v>148</v>
      </c>
      <c r="N1051" s="218" t="s">
        <v>148</v>
      </c>
      <c r="O1051" s="218">
        <v>1500</v>
      </c>
      <c r="P1051" s="112"/>
      <c r="Q1051">
        <f t="shared" si="32"/>
        <v>2014</v>
      </c>
      <c r="R1051">
        <f t="shared" si="33"/>
        <v>6</v>
      </c>
      <c r="S1051" s="112"/>
      <c r="T1051" s="102"/>
    </row>
    <row r="1052" spans="1:20">
      <c r="A1052" s="117">
        <v>27</v>
      </c>
      <c r="B1052" s="102" t="s">
        <v>264</v>
      </c>
      <c r="C1052" s="206">
        <v>41863</v>
      </c>
      <c r="D1052" s="102">
        <v>21.6</v>
      </c>
      <c r="E1052" s="102">
        <v>10.4</v>
      </c>
      <c r="F1052" s="218">
        <v>120</v>
      </c>
      <c r="G1052" s="102">
        <v>9</v>
      </c>
      <c r="H1052" s="218">
        <v>18</v>
      </c>
      <c r="I1052" s="102"/>
      <c r="J1052" s="102">
        <v>7.3</v>
      </c>
      <c r="K1052" s="218">
        <v>7.9</v>
      </c>
      <c r="L1052" s="218">
        <v>45</v>
      </c>
      <c r="M1052" s="218" t="s">
        <v>148</v>
      </c>
      <c r="N1052" s="218" t="s">
        <v>148</v>
      </c>
      <c r="O1052" s="218">
        <v>1600</v>
      </c>
      <c r="P1052" s="112"/>
      <c r="Q1052">
        <f t="shared" si="32"/>
        <v>2014</v>
      </c>
      <c r="R1052">
        <f t="shared" si="33"/>
        <v>8</v>
      </c>
      <c r="S1052" s="112"/>
      <c r="T1052" s="102"/>
    </row>
    <row r="1053" spans="1:20">
      <c r="A1053" s="117">
        <v>27</v>
      </c>
      <c r="B1053" s="102" t="s">
        <v>264</v>
      </c>
      <c r="C1053" s="206">
        <v>41929</v>
      </c>
      <c r="D1053" s="102">
        <v>12.6</v>
      </c>
      <c r="E1053" s="102">
        <v>9.1</v>
      </c>
      <c r="F1053" s="218">
        <v>89</v>
      </c>
      <c r="G1053" s="102">
        <v>8.1</v>
      </c>
      <c r="H1053" s="218">
        <v>12</v>
      </c>
      <c r="I1053" s="102"/>
      <c r="J1053" s="102">
        <v>4.7</v>
      </c>
      <c r="K1053" s="218">
        <v>11</v>
      </c>
      <c r="L1053" s="218">
        <v>64</v>
      </c>
      <c r="M1053" s="218">
        <v>170</v>
      </c>
      <c r="N1053" s="218">
        <v>160</v>
      </c>
      <c r="O1053" s="218">
        <v>1800</v>
      </c>
      <c r="P1053" s="112"/>
      <c r="Q1053">
        <f t="shared" si="32"/>
        <v>2014</v>
      </c>
      <c r="R1053">
        <f t="shared" si="33"/>
        <v>10</v>
      </c>
      <c r="S1053" s="112"/>
      <c r="T1053" s="102"/>
    </row>
    <row r="1054" spans="1:20">
      <c r="A1054" s="117">
        <v>27</v>
      </c>
      <c r="B1054" s="102" t="s">
        <v>264</v>
      </c>
      <c r="C1054" s="206">
        <v>41985</v>
      </c>
      <c r="D1054" s="102">
        <v>5</v>
      </c>
      <c r="E1054" s="102">
        <v>11.2</v>
      </c>
      <c r="F1054" s="218">
        <v>93</v>
      </c>
      <c r="G1054" s="102">
        <v>8</v>
      </c>
      <c r="H1054" s="218">
        <v>2.9</v>
      </c>
      <c r="I1054" s="102"/>
      <c r="J1054" s="102" t="s">
        <v>287</v>
      </c>
      <c r="K1054" s="218">
        <v>58</v>
      </c>
      <c r="L1054" s="218">
        <v>72</v>
      </c>
      <c r="M1054" s="218">
        <v>1200</v>
      </c>
      <c r="N1054" s="218">
        <v>430</v>
      </c>
      <c r="O1054" s="218">
        <v>2300</v>
      </c>
      <c r="P1054" s="112"/>
      <c r="Q1054">
        <f t="shared" si="32"/>
        <v>2014</v>
      </c>
      <c r="R1054">
        <f t="shared" si="33"/>
        <v>12</v>
      </c>
      <c r="S1054" s="112"/>
      <c r="T1054" s="102"/>
    </row>
    <row r="1055" spans="1:20">
      <c r="A1055" s="117">
        <v>27</v>
      </c>
      <c r="B1055" s="102" t="s">
        <v>264</v>
      </c>
      <c r="C1055" s="206">
        <v>42045</v>
      </c>
      <c r="D1055" s="102">
        <v>2.2000000000000002</v>
      </c>
      <c r="E1055" s="102">
        <v>13.2</v>
      </c>
      <c r="F1055" s="218">
        <v>96</v>
      </c>
      <c r="G1055" s="102">
        <v>8</v>
      </c>
      <c r="H1055" s="218">
        <v>2.4</v>
      </c>
      <c r="I1055" s="102"/>
      <c r="J1055" s="102">
        <v>2.9</v>
      </c>
      <c r="K1055" s="218">
        <v>21</v>
      </c>
      <c r="L1055" s="218">
        <v>49</v>
      </c>
      <c r="M1055" s="218">
        <v>1900</v>
      </c>
      <c r="N1055" s="218">
        <v>250</v>
      </c>
      <c r="O1055" s="218">
        <v>3300</v>
      </c>
      <c r="P1055" s="112"/>
      <c r="Q1055">
        <f t="shared" si="32"/>
        <v>2015</v>
      </c>
      <c r="R1055">
        <f t="shared" si="33"/>
        <v>2</v>
      </c>
      <c r="S1055" s="112"/>
      <c r="T1055" s="102"/>
    </row>
    <row r="1056" spans="1:20">
      <c r="A1056" s="117">
        <v>27</v>
      </c>
      <c r="B1056" s="102" t="s">
        <v>264</v>
      </c>
      <c r="C1056" s="206">
        <v>42107</v>
      </c>
      <c r="D1056" s="102">
        <v>8.6</v>
      </c>
      <c r="E1056" s="102">
        <v>12.3</v>
      </c>
      <c r="F1056" s="218">
        <v>105</v>
      </c>
      <c r="G1056" s="102">
        <v>8.5</v>
      </c>
      <c r="H1056" s="218">
        <v>6.1</v>
      </c>
      <c r="I1056" s="102"/>
      <c r="J1056" s="102">
        <v>3.1</v>
      </c>
      <c r="K1056" s="218">
        <v>3</v>
      </c>
      <c r="L1056" s="218">
        <v>30</v>
      </c>
      <c r="M1056" s="218">
        <v>1400</v>
      </c>
      <c r="N1056" s="218">
        <v>12</v>
      </c>
      <c r="O1056" s="218">
        <v>2400</v>
      </c>
      <c r="P1056" s="112"/>
      <c r="Q1056">
        <f t="shared" si="32"/>
        <v>2015</v>
      </c>
      <c r="R1056">
        <f t="shared" si="33"/>
        <v>4</v>
      </c>
      <c r="S1056" s="112"/>
      <c r="T1056" s="102"/>
    </row>
    <row r="1057" spans="1:20">
      <c r="A1057" s="117">
        <v>27</v>
      </c>
      <c r="B1057" s="102" t="s">
        <v>264</v>
      </c>
      <c r="C1057" s="206">
        <v>42172</v>
      </c>
      <c r="D1057" s="102">
        <v>17.7</v>
      </c>
      <c r="E1057" s="102">
        <v>12.2</v>
      </c>
      <c r="F1057" s="218">
        <v>127</v>
      </c>
      <c r="G1057" s="102">
        <v>8.8000000000000007</v>
      </c>
      <c r="H1057" s="218">
        <v>10</v>
      </c>
      <c r="I1057" s="102"/>
      <c r="J1057" s="102">
        <v>6</v>
      </c>
      <c r="K1057" s="218" t="s">
        <v>149</v>
      </c>
      <c r="L1057" s="218">
        <v>62</v>
      </c>
      <c r="M1057" s="218">
        <v>27</v>
      </c>
      <c r="N1057" s="218">
        <v>12</v>
      </c>
      <c r="O1057" s="218">
        <v>1500</v>
      </c>
      <c r="P1057" s="112"/>
      <c r="Q1057">
        <f t="shared" si="32"/>
        <v>2015</v>
      </c>
      <c r="R1057">
        <f t="shared" si="33"/>
        <v>6</v>
      </c>
      <c r="S1057" s="112"/>
      <c r="T1057" s="102"/>
    </row>
    <row r="1058" spans="1:20">
      <c r="A1058" s="117">
        <v>27</v>
      </c>
      <c r="B1058" s="102" t="s">
        <v>264</v>
      </c>
      <c r="C1058" s="206">
        <v>42234</v>
      </c>
      <c r="D1058" s="102">
        <v>20.5</v>
      </c>
      <c r="E1058" s="102">
        <v>11.5</v>
      </c>
      <c r="F1058" s="218">
        <v>124</v>
      </c>
      <c r="G1058" s="102">
        <v>8.6999999999999993</v>
      </c>
      <c r="H1058" s="218">
        <v>30</v>
      </c>
      <c r="I1058" s="102"/>
      <c r="J1058" s="102">
        <v>6.9</v>
      </c>
      <c r="K1058" s="218">
        <v>3.6</v>
      </c>
      <c r="L1058" s="218">
        <v>100</v>
      </c>
      <c r="M1058" s="218" t="s">
        <v>290</v>
      </c>
      <c r="N1058" s="218" t="s">
        <v>148</v>
      </c>
      <c r="O1058" s="218">
        <v>1900</v>
      </c>
      <c r="P1058" s="112"/>
      <c r="Q1058">
        <f t="shared" si="32"/>
        <v>2015</v>
      </c>
      <c r="R1058">
        <f t="shared" si="33"/>
        <v>8</v>
      </c>
      <c r="S1058" s="112"/>
      <c r="T1058" s="102"/>
    </row>
    <row r="1059" spans="1:20">
      <c r="A1059" s="117">
        <v>27</v>
      </c>
      <c r="B1059" s="102" t="s">
        <v>264</v>
      </c>
      <c r="C1059" s="206">
        <v>42290</v>
      </c>
      <c r="D1059" s="102">
        <v>10.4</v>
      </c>
      <c r="E1059" s="102">
        <v>15</v>
      </c>
      <c r="F1059" s="218">
        <v>132</v>
      </c>
      <c r="G1059" s="102">
        <v>8.1999999999999993</v>
      </c>
      <c r="H1059" s="218">
        <v>8.8000000000000007</v>
      </c>
      <c r="I1059" s="102"/>
      <c r="J1059" s="102">
        <v>4.0999999999999996</v>
      </c>
      <c r="K1059" s="218">
        <v>15</v>
      </c>
      <c r="L1059" s="218">
        <v>41</v>
      </c>
      <c r="M1059" s="218">
        <v>22</v>
      </c>
      <c r="N1059" s="218">
        <v>80</v>
      </c>
      <c r="O1059" s="218">
        <v>1500</v>
      </c>
      <c r="P1059" s="112"/>
      <c r="Q1059">
        <f t="shared" si="32"/>
        <v>2015</v>
      </c>
      <c r="R1059">
        <f t="shared" si="33"/>
        <v>10</v>
      </c>
      <c r="S1059" s="112"/>
      <c r="T1059" s="102"/>
    </row>
    <row r="1060" spans="1:20">
      <c r="A1060" s="117">
        <v>27</v>
      </c>
      <c r="B1060" s="102" t="s">
        <v>264</v>
      </c>
      <c r="C1060" s="206">
        <v>42352</v>
      </c>
      <c r="D1060" s="102">
        <v>4.2</v>
      </c>
      <c r="E1060" s="102">
        <v>11.2</v>
      </c>
      <c r="F1060" s="218">
        <v>85.1</v>
      </c>
      <c r="G1060" s="102">
        <v>8.1</v>
      </c>
      <c r="H1060" s="218">
        <v>3.8</v>
      </c>
      <c r="I1060" s="102"/>
      <c r="J1060" s="102">
        <v>2</v>
      </c>
      <c r="K1060" s="218">
        <v>25</v>
      </c>
      <c r="L1060" s="218">
        <v>43</v>
      </c>
      <c r="M1060" s="218">
        <v>970</v>
      </c>
      <c r="N1060" s="218">
        <v>120</v>
      </c>
      <c r="O1060" s="218">
        <v>2000</v>
      </c>
      <c r="P1060" s="112"/>
      <c r="Q1060">
        <f t="shared" si="32"/>
        <v>2015</v>
      </c>
      <c r="R1060">
        <f t="shared" si="33"/>
        <v>12</v>
      </c>
      <c r="S1060" s="112"/>
      <c r="T1060" s="102"/>
    </row>
    <row r="1061" spans="1:20">
      <c r="A1061" s="117">
        <v>27</v>
      </c>
      <c r="B1061" s="102" t="s">
        <v>264</v>
      </c>
      <c r="C1061" s="206">
        <v>42416</v>
      </c>
      <c r="D1061" s="102">
        <v>2.9</v>
      </c>
      <c r="E1061" s="102">
        <v>12.1</v>
      </c>
      <c r="F1061" s="218">
        <v>88</v>
      </c>
      <c r="G1061" s="102">
        <v>8.1</v>
      </c>
      <c r="H1061" s="218">
        <v>4</v>
      </c>
      <c r="I1061" s="102"/>
      <c r="J1061" s="102">
        <v>4.2</v>
      </c>
      <c r="K1061" s="218">
        <v>27</v>
      </c>
      <c r="L1061" s="218">
        <v>59</v>
      </c>
      <c r="M1061" s="218">
        <v>1800</v>
      </c>
      <c r="N1061" s="218">
        <v>21</v>
      </c>
      <c r="O1061" s="218">
        <v>2600</v>
      </c>
      <c r="P1061" s="112"/>
      <c r="Q1061">
        <f t="shared" si="32"/>
        <v>2016</v>
      </c>
      <c r="R1061">
        <f t="shared" si="33"/>
        <v>2</v>
      </c>
      <c r="S1061" s="112"/>
      <c r="T1061" s="102"/>
    </row>
    <row r="1062" spans="1:20">
      <c r="A1062" s="117">
        <v>27</v>
      </c>
      <c r="B1062" s="102" t="s">
        <v>264</v>
      </c>
      <c r="C1062" s="206">
        <v>42472</v>
      </c>
      <c r="D1062" s="102">
        <v>9.3000000000000007</v>
      </c>
      <c r="E1062" s="102">
        <v>13.3</v>
      </c>
      <c r="F1062" s="218">
        <v>116</v>
      </c>
      <c r="G1062" s="102">
        <v>8.6</v>
      </c>
      <c r="H1062" s="218">
        <v>5.7</v>
      </c>
      <c r="I1062" s="102"/>
      <c r="J1062" s="102">
        <v>4</v>
      </c>
      <c r="K1062" s="218">
        <v>4.0999999999999996</v>
      </c>
      <c r="L1062" s="218">
        <v>36</v>
      </c>
      <c r="M1062" s="218">
        <v>950</v>
      </c>
      <c r="N1062" s="218" t="s">
        <v>148</v>
      </c>
      <c r="O1062" s="218">
        <v>2100</v>
      </c>
      <c r="P1062" s="112"/>
      <c r="Q1062">
        <f t="shared" si="32"/>
        <v>2016</v>
      </c>
      <c r="R1062">
        <f t="shared" si="33"/>
        <v>4</v>
      </c>
      <c r="S1062" s="112"/>
      <c r="T1062" s="102"/>
    </row>
    <row r="1063" spans="1:20">
      <c r="A1063" s="117">
        <v>27</v>
      </c>
      <c r="B1063" s="102" t="s">
        <v>264</v>
      </c>
      <c r="C1063" s="206">
        <v>42536</v>
      </c>
      <c r="D1063" s="102">
        <v>20.2</v>
      </c>
      <c r="E1063" s="102">
        <v>10</v>
      </c>
      <c r="F1063" s="218">
        <v>113</v>
      </c>
      <c r="G1063" s="102">
        <v>8.6999999999999993</v>
      </c>
      <c r="H1063" s="218">
        <v>13</v>
      </c>
      <c r="I1063" s="102"/>
      <c r="J1063" s="102">
        <v>3.9</v>
      </c>
      <c r="K1063" s="218">
        <v>3.5</v>
      </c>
      <c r="L1063" s="218">
        <v>66</v>
      </c>
      <c r="M1063" s="218" t="s">
        <v>148</v>
      </c>
      <c r="N1063" s="218" t="s">
        <v>148</v>
      </c>
      <c r="O1063" s="218">
        <v>1300</v>
      </c>
      <c r="P1063" s="112"/>
      <c r="Q1063">
        <f t="shared" si="32"/>
        <v>2016</v>
      </c>
      <c r="R1063">
        <f t="shared" si="33"/>
        <v>6</v>
      </c>
      <c r="S1063" s="112"/>
      <c r="T1063" s="102"/>
    </row>
    <row r="1064" spans="1:20">
      <c r="A1064" s="117">
        <v>27</v>
      </c>
      <c r="B1064" s="102" t="s">
        <v>264</v>
      </c>
      <c r="C1064" s="206">
        <v>42592</v>
      </c>
      <c r="D1064" s="102">
        <v>18.8</v>
      </c>
      <c r="E1064" s="102">
        <v>12.4</v>
      </c>
      <c r="F1064" s="218">
        <v>134</v>
      </c>
      <c r="G1064" s="102">
        <v>8.8000000000000007</v>
      </c>
      <c r="H1064" s="218">
        <v>18</v>
      </c>
      <c r="I1064" s="102"/>
      <c r="J1064" s="102">
        <v>5</v>
      </c>
      <c r="K1064" s="218" t="s">
        <v>149</v>
      </c>
      <c r="L1064" s="218">
        <v>68</v>
      </c>
      <c r="M1064" s="218" t="s">
        <v>148</v>
      </c>
      <c r="N1064" s="218" t="s">
        <v>148</v>
      </c>
      <c r="O1064" s="218">
        <v>1400</v>
      </c>
      <c r="P1064" s="112"/>
      <c r="Q1064">
        <f t="shared" si="32"/>
        <v>2016</v>
      </c>
      <c r="R1064">
        <f t="shared" si="33"/>
        <v>8</v>
      </c>
      <c r="S1064" s="112"/>
      <c r="T1064" s="102"/>
    </row>
    <row r="1065" spans="1:20">
      <c r="A1065" s="117">
        <v>27</v>
      </c>
      <c r="B1065" s="102" t="s">
        <v>264</v>
      </c>
      <c r="C1065" s="206">
        <v>42661</v>
      </c>
      <c r="D1065" s="102">
        <v>8.9</v>
      </c>
      <c r="E1065" s="102">
        <v>8.4</v>
      </c>
      <c r="F1065" s="218">
        <v>72</v>
      </c>
      <c r="G1065" s="102">
        <v>7.9</v>
      </c>
      <c r="H1065" s="218">
        <v>13</v>
      </c>
      <c r="I1065" s="102"/>
      <c r="J1065" s="102">
        <v>4</v>
      </c>
      <c r="K1065" s="218">
        <v>39</v>
      </c>
      <c r="L1065" s="218">
        <v>64</v>
      </c>
      <c r="M1065" s="218">
        <v>240</v>
      </c>
      <c r="N1065" s="218">
        <v>290</v>
      </c>
      <c r="O1065" s="218">
        <v>1500</v>
      </c>
      <c r="P1065" s="112"/>
      <c r="Q1065">
        <f t="shared" si="32"/>
        <v>2016</v>
      </c>
      <c r="R1065">
        <f t="shared" si="33"/>
        <v>10</v>
      </c>
      <c r="S1065" s="112"/>
      <c r="T1065" s="102"/>
    </row>
    <row r="1066" spans="1:20">
      <c r="A1066" s="117">
        <v>27</v>
      </c>
      <c r="B1066" s="102" t="s">
        <v>264</v>
      </c>
      <c r="C1066" s="206">
        <v>42724</v>
      </c>
      <c r="D1066" s="102">
        <v>3.4</v>
      </c>
      <c r="E1066" s="102">
        <v>11.9</v>
      </c>
      <c r="F1066" s="218">
        <v>88</v>
      </c>
      <c r="G1066" s="102">
        <v>8.1</v>
      </c>
      <c r="H1066" s="218">
        <v>2.7</v>
      </c>
      <c r="I1066" s="102"/>
      <c r="J1066" s="102">
        <v>2.6</v>
      </c>
      <c r="K1066" s="218">
        <v>16</v>
      </c>
      <c r="L1066" s="218">
        <v>48</v>
      </c>
      <c r="M1066" s="218">
        <v>540</v>
      </c>
      <c r="N1066" s="218">
        <v>340</v>
      </c>
      <c r="O1066" s="218">
        <v>1600</v>
      </c>
      <c r="P1066" s="112"/>
      <c r="Q1066">
        <f t="shared" si="32"/>
        <v>2016</v>
      </c>
      <c r="R1066">
        <f t="shared" si="33"/>
        <v>12</v>
      </c>
      <c r="S1066" s="112"/>
      <c r="T1066" s="102"/>
    </row>
    <row r="1067" spans="1:20">
      <c r="A1067" s="117">
        <v>27</v>
      </c>
      <c r="B1067" s="102" t="s">
        <v>264</v>
      </c>
      <c r="C1067" s="206">
        <v>42773</v>
      </c>
      <c r="D1067" s="102">
        <v>1.7</v>
      </c>
      <c r="E1067" s="102">
        <v>18.399999999999999</v>
      </c>
      <c r="F1067" s="218">
        <v>131</v>
      </c>
      <c r="G1067" s="102">
        <v>8.8000000000000007</v>
      </c>
      <c r="H1067" s="218">
        <v>1.3</v>
      </c>
      <c r="I1067" s="102"/>
      <c r="J1067" s="102">
        <v>3.4</v>
      </c>
      <c r="K1067" s="218">
        <v>2</v>
      </c>
      <c r="L1067" s="218">
        <v>20</v>
      </c>
      <c r="M1067" s="218">
        <v>850</v>
      </c>
      <c r="N1067" s="218">
        <v>28</v>
      </c>
      <c r="O1067" s="218">
        <v>1600</v>
      </c>
      <c r="P1067" s="112"/>
      <c r="Q1067">
        <f t="shared" si="32"/>
        <v>2017</v>
      </c>
      <c r="R1067">
        <f t="shared" si="33"/>
        <v>2</v>
      </c>
      <c r="S1067" s="112"/>
      <c r="T1067" s="102"/>
    </row>
    <row r="1068" spans="1:20">
      <c r="A1068" s="117">
        <v>27</v>
      </c>
      <c r="B1068" s="102" t="s">
        <v>264</v>
      </c>
      <c r="C1068" s="206">
        <v>42837</v>
      </c>
      <c r="D1068" s="102">
        <v>9.1</v>
      </c>
      <c r="E1068" s="102">
        <v>11.9</v>
      </c>
      <c r="F1068" s="218">
        <v>105</v>
      </c>
      <c r="G1068" s="102">
        <v>8.5</v>
      </c>
      <c r="H1068" s="218">
        <v>7.8</v>
      </c>
      <c r="I1068" s="102"/>
      <c r="J1068" s="102">
        <v>4.4000000000000004</v>
      </c>
      <c r="K1068" s="218" t="s">
        <v>149</v>
      </c>
      <c r="L1068" s="218">
        <v>36</v>
      </c>
      <c r="M1068" s="218">
        <v>92</v>
      </c>
      <c r="N1068" s="218">
        <v>10</v>
      </c>
      <c r="O1068" s="218">
        <v>1800</v>
      </c>
      <c r="P1068" s="112"/>
      <c r="Q1068">
        <f t="shared" si="32"/>
        <v>2017</v>
      </c>
      <c r="R1068">
        <f t="shared" si="33"/>
        <v>4</v>
      </c>
      <c r="S1068" s="112"/>
      <c r="T1068" s="102"/>
    </row>
    <row r="1069" spans="1:20">
      <c r="A1069" s="117">
        <v>27</v>
      </c>
      <c r="B1069" s="102" t="s">
        <v>264</v>
      </c>
      <c r="C1069" s="206">
        <v>42901</v>
      </c>
      <c r="D1069" s="102">
        <v>19.3</v>
      </c>
      <c r="E1069" s="102">
        <v>13.1</v>
      </c>
      <c r="F1069" s="218">
        <v>142</v>
      </c>
      <c r="G1069" s="102">
        <v>8.9</v>
      </c>
      <c r="H1069" s="218">
        <v>10</v>
      </c>
      <c r="I1069" s="102"/>
      <c r="J1069" s="102">
        <v>3.03</v>
      </c>
      <c r="K1069" s="218">
        <v>2.2999999999999998</v>
      </c>
      <c r="L1069" s="218">
        <v>28</v>
      </c>
      <c r="M1069" s="218">
        <v>110</v>
      </c>
      <c r="N1069" s="218">
        <v>11</v>
      </c>
      <c r="O1069" s="218">
        <v>1300</v>
      </c>
      <c r="P1069" s="112"/>
      <c r="Q1069">
        <f t="shared" si="32"/>
        <v>2017</v>
      </c>
      <c r="R1069">
        <f t="shared" si="33"/>
        <v>6</v>
      </c>
      <c r="S1069" s="112"/>
      <c r="T1069" s="102"/>
    </row>
    <row r="1070" spans="1:20">
      <c r="A1070" s="117">
        <v>27</v>
      </c>
      <c r="B1070" s="102" t="s">
        <v>264</v>
      </c>
      <c r="C1070" s="206">
        <v>42963</v>
      </c>
      <c r="D1070" s="102">
        <v>19.899999999999999</v>
      </c>
      <c r="E1070" s="102">
        <v>9.1999999999999993</v>
      </c>
      <c r="F1070" s="218">
        <v>101</v>
      </c>
      <c r="G1070" s="102">
        <v>8.5</v>
      </c>
      <c r="H1070" s="218">
        <v>13</v>
      </c>
      <c r="I1070" s="102"/>
      <c r="J1070" s="102">
        <v>3.2</v>
      </c>
      <c r="K1070" s="218">
        <v>5.4</v>
      </c>
      <c r="L1070" s="218">
        <v>67</v>
      </c>
      <c r="M1070" s="218" t="s">
        <v>148</v>
      </c>
      <c r="N1070" s="218" t="s">
        <v>148</v>
      </c>
      <c r="O1070" s="218">
        <v>1100</v>
      </c>
      <c r="P1070" s="112"/>
      <c r="Q1070">
        <f t="shared" si="32"/>
        <v>2017</v>
      </c>
      <c r="R1070">
        <f t="shared" si="33"/>
        <v>8</v>
      </c>
      <c r="S1070" s="112"/>
      <c r="T1070" s="102"/>
    </row>
    <row r="1071" spans="1:20">
      <c r="A1071" s="117">
        <v>27</v>
      </c>
      <c r="B1071" s="102" t="s">
        <v>264</v>
      </c>
      <c r="C1071" s="206">
        <v>43027</v>
      </c>
      <c r="D1071" s="102">
        <v>11.9</v>
      </c>
      <c r="E1071" s="102">
        <v>9</v>
      </c>
      <c r="F1071" s="218">
        <v>83</v>
      </c>
      <c r="G1071" s="102">
        <v>8.1</v>
      </c>
      <c r="H1071" s="218">
        <v>8.1999999999999993</v>
      </c>
      <c r="I1071" s="102"/>
      <c r="J1071" s="102">
        <v>2.2999999999999998</v>
      </c>
      <c r="K1071" s="218">
        <v>7.7</v>
      </c>
      <c r="L1071" s="218">
        <v>45</v>
      </c>
      <c r="M1071" s="218">
        <v>250</v>
      </c>
      <c r="N1071" s="218">
        <v>160</v>
      </c>
      <c r="O1071" s="218">
        <v>1300</v>
      </c>
      <c r="P1071" s="112"/>
      <c r="Q1071">
        <f t="shared" si="32"/>
        <v>2017</v>
      </c>
      <c r="R1071">
        <f t="shared" si="33"/>
        <v>10</v>
      </c>
      <c r="S1071" s="112"/>
      <c r="T1071" s="102"/>
    </row>
    <row r="1072" spans="1:20">
      <c r="A1072" s="117">
        <v>27</v>
      </c>
      <c r="B1072" s="102" t="s">
        <v>264</v>
      </c>
      <c r="C1072" s="206">
        <v>43081</v>
      </c>
      <c r="D1072" s="102">
        <v>2.9</v>
      </c>
      <c r="E1072" s="102">
        <v>11.7</v>
      </c>
      <c r="F1072" s="218">
        <v>89</v>
      </c>
      <c r="G1072" s="102">
        <v>8.1</v>
      </c>
      <c r="H1072" s="218">
        <v>3.9</v>
      </c>
      <c r="I1072" s="102"/>
      <c r="J1072" s="102">
        <v>2.2999999999999998</v>
      </c>
      <c r="K1072" s="218">
        <v>31</v>
      </c>
      <c r="L1072" s="218">
        <v>49</v>
      </c>
      <c r="M1072" s="218">
        <v>910</v>
      </c>
      <c r="N1072" s="218">
        <v>470</v>
      </c>
      <c r="O1072" s="218">
        <v>2100</v>
      </c>
      <c r="P1072" s="112"/>
      <c r="Q1072">
        <f t="shared" si="32"/>
        <v>2017</v>
      </c>
      <c r="R1072">
        <f t="shared" si="33"/>
        <v>12</v>
      </c>
      <c r="S1072" s="112"/>
      <c r="T1072" s="102"/>
    </row>
    <row r="1073" spans="1:20">
      <c r="A1073" s="117">
        <v>27</v>
      </c>
      <c r="B1073" s="102" t="s">
        <v>264</v>
      </c>
      <c r="C1073" s="206">
        <v>43151</v>
      </c>
      <c r="D1073" s="102">
        <v>3.3</v>
      </c>
      <c r="E1073" s="102">
        <v>11.6</v>
      </c>
      <c r="F1073" s="218">
        <v>87</v>
      </c>
      <c r="G1073" s="102">
        <v>7.79</v>
      </c>
      <c r="H1073" s="218">
        <v>10</v>
      </c>
      <c r="I1073" s="102"/>
      <c r="J1073" s="102">
        <v>4.3</v>
      </c>
      <c r="K1073" s="218">
        <v>18</v>
      </c>
      <c r="L1073" s="218">
        <v>50</v>
      </c>
      <c r="M1073" s="218">
        <v>1700</v>
      </c>
      <c r="N1073" s="218">
        <v>140</v>
      </c>
      <c r="O1073" s="218">
        <v>2600</v>
      </c>
      <c r="P1073" s="112"/>
      <c r="Q1073">
        <f t="shared" si="32"/>
        <v>2018</v>
      </c>
      <c r="R1073">
        <f t="shared" si="33"/>
        <v>2</v>
      </c>
      <c r="S1073" s="112"/>
      <c r="T1073" s="102"/>
    </row>
    <row r="1074" spans="1:20">
      <c r="A1074" s="117">
        <v>27</v>
      </c>
      <c r="B1074" s="102" t="s">
        <v>264</v>
      </c>
      <c r="C1074" s="206">
        <v>43200</v>
      </c>
      <c r="D1074" s="102">
        <v>7.1</v>
      </c>
      <c r="E1074" s="102">
        <v>15.2</v>
      </c>
      <c r="F1074" s="218">
        <v>126</v>
      </c>
      <c r="G1074" s="102">
        <v>8.57</v>
      </c>
      <c r="H1074" s="102">
        <v>6.2</v>
      </c>
      <c r="I1074" s="102"/>
      <c r="J1074" s="102">
        <v>4.9000000000000004</v>
      </c>
      <c r="K1074" s="218">
        <v>3.8</v>
      </c>
      <c r="L1074" s="218">
        <v>34</v>
      </c>
      <c r="M1074" s="218">
        <v>1400</v>
      </c>
      <c r="N1074" s="218">
        <v>10</v>
      </c>
      <c r="O1074" s="218">
        <v>2100</v>
      </c>
      <c r="P1074" s="112"/>
      <c r="Q1074">
        <f t="shared" si="32"/>
        <v>2018</v>
      </c>
      <c r="R1074">
        <f t="shared" si="33"/>
        <v>4</v>
      </c>
      <c r="S1074" s="112"/>
      <c r="T1074" s="102"/>
    </row>
    <row r="1075" spans="1:20">
      <c r="A1075" s="117">
        <v>27</v>
      </c>
      <c r="B1075" s="102" t="s">
        <v>264</v>
      </c>
      <c r="C1075" s="206">
        <v>43270</v>
      </c>
      <c r="D1075" s="102">
        <v>19</v>
      </c>
      <c r="E1075" s="102">
        <v>9.4</v>
      </c>
      <c r="F1075" s="218">
        <v>101</v>
      </c>
      <c r="G1075" s="102">
        <v>8.76</v>
      </c>
      <c r="H1075" s="102">
        <v>12</v>
      </c>
      <c r="I1075" s="102"/>
      <c r="J1075" s="102">
        <v>5.3</v>
      </c>
      <c r="K1075" s="218">
        <v>4.9000000000000004</v>
      </c>
      <c r="L1075" s="218">
        <v>52</v>
      </c>
      <c r="M1075" s="218" t="s">
        <v>148</v>
      </c>
      <c r="N1075" s="218" t="s">
        <v>148</v>
      </c>
      <c r="O1075" s="218">
        <v>1200</v>
      </c>
      <c r="P1075" s="112"/>
      <c r="Q1075">
        <f t="shared" si="32"/>
        <v>2018</v>
      </c>
      <c r="R1075">
        <f t="shared" si="33"/>
        <v>6</v>
      </c>
      <c r="S1075" s="112"/>
      <c r="T1075" s="102"/>
    </row>
    <row r="1076" spans="1:20">
      <c r="A1076" s="117">
        <v>27</v>
      </c>
      <c r="B1076" s="102" t="s">
        <v>264</v>
      </c>
      <c r="C1076" s="206">
        <v>43333</v>
      </c>
      <c r="D1076" s="102">
        <v>18.7</v>
      </c>
      <c r="E1076" s="102">
        <v>4.5999999999999996</v>
      </c>
      <c r="F1076" s="218">
        <v>49</v>
      </c>
      <c r="G1076" s="102">
        <v>7.87</v>
      </c>
      <c r="H1076" s="102">
        <v>14</v>
      </c>
      <c r="I1076" s="102"/>
      <c r="J1076" s="102">
        <v>5.4</v>
      </c>
      <c r="K1076" s="218">
        <v>3.5</v>
      </c>
      <c r="L1076" s="218">
        <v>65</v>
      </c>
      <c r="M1076" s="218">
        <v>34</v>
      </c>
      <c r="N1076" s="218">
        <v>89</v>
      </c>
      <c r="O1076" s="218">
        <v>1500</v>
      </c>
      <c r="P1076" s="112"/>
      <c r="Q1076">
        <f t="shared" si="32"/>
        <v>2018</v>
      </c>
      <c r="R1076">
        <f t="shared" si="33"/>
        <v>8</v>
      </c>
      <c r="S1076" s="112"/>
      <c r="T1076" s="102"/>
    </row>
    <row r="1077" spans="1:20">
      <c r="A1077" s="117">
        <v>27</v>
      </c>
      <c r="B1077" s="102" t="s">
        <v>264</v>
      </c>
      <c r="C1077" s="206">
        <v>43389</v>
      </c>
      <c r="D1077" s="102">
        <v>12.2</v>
      </c>
      <c r="E1077" s="102">
        <v>7.8</v>
      </c>
      <c r="F1077" s="218">
        <v>73</v>
      </c>
      <c r="G1077" s="102">
        <v>7.94</v>
      </c>
      <c r="H1077" s="102">
        <v>8.9</v>
      </c>
      <c r="I1077" s="102"/>
      <c r="J1077" s="102">
        <v>4.7</v>
      </c>
      <c r="K1077" s="218">
        <v>3.2</v>
      </c>
      <c r="L1077" s="218">
        <v>68</v>
      </c>
      <c r="M1077" s="218">
        <v>150</v>
      </c>
      <c r="N1077" s="218">
        <v>140</v>
      </c>
      <c r="O1077" s="218">
        <v>1300</v>
      </c>
      <c r="P1077" s="112"/>
      <c r="Q1077">
        <f t="shared" si="32"/>
        <v>2018</v>
      </c>
      <c r="R1077">
        <f t="shared" si="33"/>
        <v>10</v>
      </c>
      <c r="S1077" s="112"/>
      <c r="T1077" s="102"/>
    </row>
    <row r="1078" spans="1:20" ht="13">
      <c r="A1078" s="117">
        <v>27</v>
      </c>
      <c r="B1078" s="102" t="s">
        <v>264</v>
      </c>
      <c r="C1078" s="206">
        <v>43447</v>
      </c>
      <c r="D1078" s="102">
        <v>4.0999999999999996</v>
      </c>
      <c r="E1078" s="102">
        <v>10.9</v>
      </c>
      <c r="F1078" s="218">
        <v>83</v>
      </c>
      <c r="G1078" s="102">
        <v>7.87</v>
      </c>
      <c r="H1078" s="218">
        <v>3.7</v>
      </c>
      <c r="I1078" s="102"/>
      <c r="J1078" s="102">
        <v>3</v>
      </c>
      <c r="K1078" s="218">
        <v>74</v>
      </c>
      <c r="L1078" s="218">
        <v>100</v>
      </c>
      <c r="M1078" s="218">
        <v>320</v>
      </c>
      <c r="N1078" s="218">
        <v>1100</v>
      </c>
      <c r="O1078" s="218">
        <v>2300</v>
      </c>
      <c r="P1078" s="121"/>
      <c r="Q1078">
        <f t="shared" si="32"/>
        <v>2018</v>
      </c>
      <c r="R1078">
        <f t="shared" si="33"/>
        <v>12</v>
      </c>
      <c r="S1078" s="103"/>
      <c r="T1078" s="102"/>
    </row>
    <row r="1079" spans="1:20">
      <c r="A1079" s="117">
        <v>27</v>
      </c>
      <c r="B1079" s="102" t="s">
        <v>264</v>
      </c>
      <c r="C1079" s="206">
        <v>43515</v>
      </c>
      <c r="D1079" s="102">
        <v>4.3</v>
      </c>
      <c r="E1079" s="102">
        <v>13</v>
      </c>
      <c r="F1079" s="218">
        <v>100</v>
      </c>
      <c r="G1079" s="102">
        <v>8.1199999999999992</v>
      </c>
      <c r="H1079" s="218">
        <v>3.5</v>
      </c>
      <c r="I1079" s="102"/>
      <c r="J1079" s="102">
        <v>6</v>
      </c>
      <c r="K1079" s="218">
        <v>17</v>
      </c>
      <c r="L1079" s="218">
        <v>62</v>
      </c>
      <c r="M1079" s="218">
        <v>1500</v>
      </c>
      <c r="N1079" s="218">
        <v>480</v>
      </c>
      <c r="O1079" s="218">
        <v>2700</v>
      </c>
      <c r="P1079" s="111"/>
      <c r="Q1079">
        <f t="shared" si="32"/>
        <v>2019</v>
      </c>
      <c r="R1079">
        <f t="shared" si="33"/>
        <v>2</v>
      </c>
      <c r="S1079" s="119"/>
      <c r="T1079" s="102"/>
    </row>
    <row r="1080" spans="1:20">
      <c r="A1080" s="117">
        <v>27</v>
      </c>
      <c r="B1080" s="102" t="s">
        <v>264</v>
      </c>
      <c r="C1080" s="206">
        <v>43571</v>
      </c>
      <c r="D1080" s="102">
        <v>7.6</v>
      </c>
      <c r="E1080" s="102">
        <v>12.2</v>
      </c>
      <c r="F1080" s="218">
        <v>102</v>
      </c>
      <c r="G1080" s="102">
        <v>8.67</v>
      </c>
      <c r="H1080" s="218">
        <v>6</v>
      </c>
      <c r="I1080" s="102"/>
      <c r="J1080" s="102">
        <v>5.4</v>
      </c>
      <c r="K1080" s="218">
        <v>2.5</v>
      </c>
      <c r="L1080" s="218">
        <v>16</v>
      </c>
      <c r="M1080" s="218">
        <v>1300</v>
      </c>
      <c r="N1080" s="218">
        <v>13</v>
      </c>
      <c r="O1080" s="218">
        <v>1800</v>
      </c>
      <c r="P1080" s="112"/>
      <c r="Q1080">
        <f t="shared" si="32"/>
        <v>2019</v>
      </c>
      <c r="R1080">
        <f t="shared" si="33"/>
        <v>4</v>
      </c>
      <c r="S1080" s="112"/>
      <c r="T1080" s="102"/>
    </row>
    <row r="1081" spans="1:20">
      <c r="A1081" s="117">
        <v>27</v>
      </c>
      <c r="B1081" s="102" t="s">
        <v>264</v>
      </c>
      <c r="C1081" s="206">
        <v>43635</v>
      </c>
      <c r="D1081" s="102">
        <v>21</v>
      </c>
      <c r="E1081" s="102">
        <v>8.6999999999999993</v>
      </c>
      <c r="F1081" s="218">
        <v>97</v>
      </c>
      <c r="G1081" s="102">
        <v>8.3800000000000008</v>
      </c>
      <c r="H1081" s="218">
        <v>6.1</v>
      </c>
      <c r="I1081" s="102"/>
      <c r="J1081" s="102">
        <v>3.4000000000000004</v>
      </c>
      <c r="K1081" s="218">
        <v>2</v>
      </c>
      <c r="L1081" s="218">
        <v>52</v>
      </c>
      <c r="M1081" s="218" t="s">
        <v>148</v>
      </c>
      <c r="N1081" s="218">
        <v>17</v>
      </c>
      <c r="O1081" s="218">
        <v>1100</v>
      </c>
      <c r="P1081" s="112"/>
      <c r="Q1081">
        <f t="shared" si="32"/>
        <v>2019</v>
      </c>
      <c r="R1081">
        <f t="shared" si="33"/>
        <v>6</v>
      </c>
      <c r="S1081" s="112"/>
      <c r="T1081" s="102"/>
    </row>
    <row r="1082" spans="1:20">
      <c r="A1082" s="117">
        <v>27</v>
      </c>
      <c r="B1082" s="102" t="s">
        <v>264</v>
      </c>
      <c r="C1082" s="206">
        <v>43698</v>
      </c>
      <c r="D1082" s="102">
        <v>18.899999999999999</v>
      </c>
      <c r="E1082" s="102">
        <v>7.9</v>
      </c>
      <c r="F1082" s="218">
        <v>85</v>
      </c>
      <c r="G1082" s="102">
        <v>8.23</v>
      </c>
      <c r="H1082" s="218">
        <v>3.1</v>
      </c>
      <c r="I1082" s="102"/>
      <c r="J1082" s="102">
        <v>6.9</v>
      </c>
      <c r="K1082" s="218">
        <v>58</v>
      </c>
      <c r="L1082" s="218">
        <v>130</v>
      </c>
      <c r="M1082" s="218" t="s">
        <v>148</v>
      </c>
      <c r="N1082" s="218">
        <v>12</v>
      </c>
      <c r="O1082" s="218">
        <v>1000</v>
      </c>
      <c r="P1082" s="112"/>
      <c r="Q1082">
        <f t="shared" si="32"/>
        <v>2019</v>
      </c>
      <c r="R1082">
        <f t="shared" si="33"/>
        <v>8</v>
      </c>
      <c r="S1082" s="112"/>
      <c r="T1082" s="102"/>
    </row>
    <row r="1083" spans="1:20">
      <c r="A1083" s="117">
        <v>27</v>
      </c>
      <c r="B1083" s="102" t="s">
        <v>264</v>
      </c>
      <c r="C1083" s="206">
        <v>43748</v>
      </c>
      <c r="D1083" s="102">
        <v>10.5</v>
      </c>
      <c r="E1083" s="102">
        <v>5.9</v>
      </c>
      <c r="F1083" s="218">
        <v>53</v>
      </c>
      <c r="G1083" s="102">
        <v>7.78</v>
      </c>
      <c r="H1083" s="218">
        <v>5.6</v>
      </c>
      <c r="I1083" s="102"/>
      <c r="J1083" s="102">
        <v>3</v>
      </c>
      <c r="K1083" s="218">
        <v>41</v>
      </c>
      <c r="L1083" s="218">
        <v>64</v>
      </c>
      <c r="M1083" s="218">
        <v>83</v>
      </c>
      <c r="N1083" s="218">
        <v>170</v>
      </c>
      <c r="O1083" s="218">
        <v>1200</v>
      </c>
      <c r="P1083" s="112"/>
      <c r="Q1083">
        <f t="shared" si="32"/>
        <v>2019</v>
      </c>
      <c r="R1083">
        <f t="shared" si="33"/>
        <v>10</v>
      </c>
      <c r="S1083" s="112"/>
      <c r="T1083" s="102"/>
    </row>
    <row r="1084" spans="1:20">
      <c r="A1084" s="117">
        <v>27</v>
      </c>
      <c r="B1084" s="102" t="s">
        <v>264</v>
      </c>
      <c r="C1084" s="206">
        <v>43812</v>
      </c>
      <c r="D1084" s="102">
        <v>4.4000000000000004</v>
      </c>
      <c r="E1084" s="102">
        <v>11.9</v>
      </c>
      <c r="F1084" s="218">
        <v>92</v>
      </c>
      <c r="G1084" s="102">
        <v>8.01</v>
      </c>
      <c r="H1084" s="218">
        <v>1.5</v>
      </c>
      <c r="I1084" s="102"/>
      <c r="J1084" s="102">
        <v>2</v>
      </c>
      <c r="K1084" s="218">
        <v>39</v>
      </c>
      <c r="L1084" s="218">
        <v>61</v>
      </c>
      <c r="M1084" s="218">
        <v>580</v>
      </c>
      <c r="N1084" s="218">
        <v>290</v>
      </c>
      <c r="O1084" s="218">
        <v>1400</v>
      </c>
      <c r="P1084" s="112"/>
      <c r="Q1084">
        <f t="shared" si="32"/>
        <v>2019</v>
      </c>
      <c r="R1084">
        <f t="shared" si="33"/>
        <v>12</v>
      </c>
      <c r="S1084" s="112"/>
      <c r="T1084" s="102"/>
    </row>
    <row r="1085" spans="1:20">
      <c r="A1085" s="117">
        <v>3</v>
      </c>
      <c r="B1085" s="102" t="s">
        <v>252</v>
      </c>
      <c r="C1085" s="206">
        <v>43844</v>
      </c>
      <c r="D1085" s="102">
        <v>5.3</v>
      </c>
      <c r="E1085" s="102">
        <v>12.3</v>
      </c>
      <c r="F1085" s="218">
        <v>97</v>
      </c>
      <c r="G1085" s="102">
        <v>7.93</v>
      </c>
      <c r="H1085" s="218">
        <v>14</v>
      </c>
      <c r="I1085" s="102"/>
      <c r="J1085" s="102">
        <v>2.2000000000000002</v>
      </c>
      <c r="K1085" s="218">
        <v>40</v>
      </c>
      <c r="L1085" s="218">
        <v>99</v>
      </c>
      <c r="M1085" s="218">
        <v>8700</v>
      </c>
      <c r="N1085" s="218">
        <v>49</v>
      </c>
      <c r="O1085" s="218">
        <v>9000</v>
      </c>
      <c r="P1085" s="112"/>
      <c r="Q1085">
        <f t="shared" si="32"/>
        <v>2020</v>
      </c>
      <c r="R1085">
        <f t="shared" si="33"/>
        <v>1</v>
      </c>
    </row>
    <row r="1086" spans="1:20">
      <c r="A1086" s="117">
        <v>3</v>
      </c>
      <c r="B1086" s="102" t="s">
        <v>252</v>
      </c>
      <c r="C1086" s="206">
        <v>43879</v>
      </c>
      <c r="D1086" s="102">
        <v>5.6</v>
      </c>
      <c r="E1086" s="102">
        <v>12.1</v>
      </c>
      <c r="F1086" s="218">
        <v>96</v>
      </c>
      <c r="G1086" s="102">
        <v>7.85</v>
      </c>
      <c r="H1086" s="218">
        <v>19</v>
      </c>
      <c r="I1086" s="102"/>
      <c r="J1086" s="102">
        <v>3.1</v>
      </c>
      <c r="K1086" s="218">
        <v>47</v>
      </c>
      <c r="L1086" s="218">
        <v>120</v>
      </c>
      <c r="M1086" s="218">
        <v>6500</v>
      </c>
      <c r="N1086" s="218">
        <v>30</v>
      </c>
      <c r="O1086" s="218">
        <v>6600</v>
      </c>
      <c r="P1086" s="112"/>
      <c r="Q1086">
        <f t="shared" si="32"/>
        <v>2020</v>
      </c>
      <c r="R1086">
        <f t="shared" si="33"/>
        <v>2</v>
      </c>
    </row>
    <row r="1087" spans="1:20">
      <c r="A1087" s="117">
        <v>3</v>
      </c>
      <c r="B1087" s="102" t="s">
        <v>252</v>
      </c>
      <c r="C1087" s="206">
        <v>43907</v>
      </c>
      <c r="D1087" s="102">
        <v>6</v>
      </c>
      <c r="E1087" s="102">
        <v>12.7</v>
      </c>
      <c r="F1087" s="218">
        <v>102</v>
      </c>
      <c r="G1087" s="102">
        <v>7.96</v>
      </c>
      <c r="H1087" s="218">
        <v>4.0999999999999996</v>
      </c>
      <c r="I1087" s="102"/>
      <c r="J1087" s="102">
        <v>3.4</v>
      </c>
      <c r="K1087" s="218">
        <v>9.9</v>
      </c>
      <c r="L1087" s="218">
        <v>56</v>
      </c>
      <c r="M1087" s="218">
        <v>4700</v>
      </c>
      <c r="N1087" s="218">
        <v>27</v>
      </c>
      <c r="O1087" s="218">
        <v>4500</v>
      </c>
      <c r="P1087" s="112"/>
      <c r="Q1087">
        <f t="shared" ref="Q1087:Q1150" si="34">YEAR(C1087)</f>
        <v>2020</v>
      </c>
      <c r="R1087">
        <f t="shared" ref="R1087:R1150" si="35">MONTH(C1087)</f>
        <v>3</v>
      </c>
    </row>
    <row r="1088" spans="1:20">
      <c r="A1088" s="117">
        <v>3</v>
      </c>
      <c r="B1088" s="102" t="s">
        <v>252</v>
      </c>
      <c r="C1088" s="206">
        <v>43942</v>
      </c>
      <c r="D1088" s="102">
        <v>10.9</v>
      </c>
      <c r="E1088" s="102">
        <v>10.5</v>
      </c>
      <c r="F1088" s="218">
        <v>95</v>
      </c>
      <c r="G1088" s="102">
        <v>8.0299999999999994</v>
      </c>
      <c r="H1088" s="218">
        <v>3.5</v>
      </c>
      <c r="I1088" s="102"/>
      <c r="J1088" s="102">
        <v>3.26</v>
      </c>
      <c r="K1088" s="218">
        <v>2.8</v>
      </c>
      <c r="L1088" s="218">
        <v>50</v>
      </c>
      <c r="M1088" s="218">
        <v>2000</v>
      </c>
      <c r="N1088" s="218">
        <v>22</v>
      </c>
      <c r="O1088" s="218">
        <v>2600</v>
      </c>
      <c r="P1088" s="112"/>
      <c r="Q1088">
        <f t="shared" si="34"/>
        <v>2020</v>
      </c>
      <c r="R1088">
        <f t="shared" si="35"/>
        <v>4</v>
      </c>
    </row>
    <row r="1089" spans="1:18">
      <c r="A1089" s="117">
        <v>3</v>
      </c>
      <c r="B1089" s="102" t="s">
        <v>252</v>
      </c>
      <c r="C1089" s="206">
        <v>43969</v>
      </c>
      <c r="D1089" s="102">
        <v>12</v>
      </c>
      <c r="E1089" s="102">
        <v>9.6</v>
      </c>
      <c r="F1089" s="218">
        <v>89</v>
      </c>
      <c r="G1089" s="102">
        <v>8.08</v>
      </c>
      <c r="H1089" s="218">
        <v>3.3</v>
      </c>
      <c r="I1089" s="102"/>
      <c r="J1089" s="102">
        <v>4</v>
      </c>
      <c r="K1089" s="218">
        <v>5.8</v>
      </c>
      <c r="L1089" s="218">
        <v>48</v>
      </c>
      <c r="M1089" s="218">
        <v>1300</v>
      </c>
      <c r="N1089" s="218">
        <v>26</v>
      </c>
      <c r="O1089" s="218">
        <v>2000</v>
      </c>
      <c r="P1089" s="112"/>
      <c r="Q1089">
        <f t="shared" si="34"/>
        <v>2020</v>
      </c>
      <c r="R1089">
        <f t="shared" si="35"/>
        <v>5</v>
      </c>
    </row>
    <row r="1090" spans="1:18">
      <c r="A1090" s="117">
        <v>3</v>
      </c>
      <c r="B1090" s="102" t="s">
        <v>252</v>
      </c>
      <c r="C1090" s="206">
        <v>43992</v>
      </c>
      <c r="D1090" s="102">
        <v>18.100000000000001</v>
      </c>
      <c r="E1090" s="102">
        <v>7.5</v>
      </c>
      <c r="F1090" s="218">
        <v>79</v>
      </c>
      <c r="G1090" s="102">
        <v>7.84</v>
      </c>
      <c r="H1090" s="218">
        <v>1.9</v>
      </c>
      <c r="I1090" s="102"/>
      <c r="J1090" s="102">
        <v>2.1</v>
      </c>
      <c r="K1090" s="218">
        <v>24</v>
      </c>
      <c r="L1090" s="218">
        <v>56</v>
      </c>
      <c r="M1090" s="218">
        <v>1400</v>
      </c>
      <c r="N1090" s="218">
        <v>55</v>
      </c>
      <c r="O1090" s="218">
        <v>1900</v>
      </c>
      <c r="P1090" s="112"/>
      <c r="Q1090">
        <f t="shared" si="34"/>
        <v>2020</v>
      </c>
      <c r="R1090">
        <f t="shared" si="35"/>
        <v>6</v>
      </c>
    </row>
    <row r="1091" spans="1:18">
      <c r="A1091" s="117">
        <v>3</v>
      </c>
      <c r="B1091" s="102" t="s">
        <v>252</v>
      </c>
      <c r="C1091" s="206">
        <v>44026</v>
      </c>
      <c r="D1091" s="102">
        <v>16.8</v>
      </c>
      <c r="E1091" s="102">
        <v>8.5</v>
      </c>
      <c r="F1091" s="218">
        <v>88</v>
      </c>
      <c r="G1091" s="102">
        <v>7.83</v>
      </c>
      <c r="H1091" s="218">
        <v>0.5</v>
      </c>
      <c r="I1091" s="102"/>
      <c r="J1091" s="102">
        <v>1</v>
      </c>
      <c r="K1091" s="218">
        <v>31</v>
      </c>
      <c r="L1091" s="218">
        <v>49</v>
      </c>
      <c r="M1091" s="218">
        <v>1100</v>
      </c>
      <c r="N1091" s="218">
        <v>24</v>
      </c>
      <c r="O1091" s="218">
        <v>1600</v>
      </c>
      <c r="P1091" s="112"/>
      <c r="Q1091">
        <f t="shared" si="34"/>
        <v>2020</v>
      </c>
      <c r="R1091">
        <f t="shared" si="35"/>
        <v>7</v>
      </c>
    </row>
    <row r="1092" spans="1:18">
      <c r="A1092" s="117">
        <v>3</v>
      </c>
      <c r="B1092" s="102" t="s">
        <v>252</v>
      </c>
      <c r="C1092" s="206">
        <v>44062</v>
      </c>
      <c r="D1092" s="102">
        <v>21.5</v>
      </c>
      <c r="E1092" s="102">
        <v>5</v>
      </c>
      <c r="F1092" s="218">
        <v>56</v>
      </c>
      <c r="G1092" s="102">
        <v>7.53</v>
      </c>
      <c r="H1092" s="218">
        <v>1.3</v>
      </c>
      <c r="I1092" s="102"/>
      <c r="J1092" s="102">
        <v>1.6</v>
      </c>
      <c r="K1092" s="218">
        <v>43</v>
      </c>
      <c r="L1092" s="218">
        <v>77</v>
      </c>
      <c r="M1092" s="218">
        <v>500</v>
      </c>
      <c r="N1092" s="218">
        <v>54</v>
      </c>
      <c r="O1092" s="218">
        <v>1300</v>
      </c>
      <c r="P1092" s="112"/>
      <c r="Q1092">
        <f t="shared" si="34"/>
        <v>2020</v>
      </c>
      <c r="R1092">
        <f t="shared" si="35"/>
        <v>8</v>
      </c>
    </row>
    <row r="1093" spans="1:18">
      <c r="A1093" s="117">
        <v>3</v>
      </c>
      <c r="B1093" s="102" t="s">
        <v>252</v>
      </c>
      <c r="C1093" s="206">
        <v>44090</v>
      </c>
      <c r="D1093" s="102">
        <v>16.600000000000001</v>
      </c>
      <c r="E1093" s="102">
        <v>7.6</v>
      </c>
      <c r="F1093" s="218">
        <v>78</v>
      </c>
      <c r="G1093" s="102">
        <v>7.8</v>
      </c>
      <c r="H1093" s="218">
        <v>0.67</v>
      </c>
      <c r="I1093" s="102"/>
      <c r="J1093" s="102">
        <v>1.3</v>
      </c>
      <c r="K1093" s="218">
        <v>34</v>
      </c>
      <c r="L1093" s="218">
        <v>53</v>
      </c>
      <c r="M1093" s="218">
        <v>1100</v>
      </c>
      <c r="N1093" s="218">
        <v>24</v>
      </c>
      <c r="O1093" s="218">
        <v>1600</v>
      </c>
      <c r="P1093" s="112"/>
      <c r="Q1093">
        <f t="shared" si="34"/>
        <v>2020</v>
      </c>
      <c r="R1093">
        <f t="shared" si="35"/>
        <v>9</v>
      </c>
    </row>
    <row r="1094" spans="1:18">
      <c r="A1094" s="117">
        <v>3</v>
      </c>
      <c r="B1094" s="102" t="s">
        <v>252</v>
      </c>
      <c r="C1094" s="206">
        <v>44117</v>
      </c>
      <c r="D1094" s="102">
        <v>11.4</v>
      </c>
      <c r="E1094" s="102">
        <v>8.1</v>
      </c>
      <c r="F1094" s="218">
        <v>74</v>
      </c>
      <c r="G1094" s="102">
        <v>7.65</v>
      </c>
      <c r="H1094" s="218">
        <v>0.64</v>
      </c>
      <c r="I1094" s="102"/>
      <c r="J1094" s="102">
        <v>0.9</v>
      </c>
      <c r="K1094" s="218">
        <v>47</v>
      </c>
      <c r="L1094" s="218">
        <v>66</v>
      </c>
      <c r="M1094" s="218">
        <v>3000</v>
      </c>
      <c r="N1094" s="218">
        <v>30</v>
      </c>
      <c r="O1094" s="218">
        <v>3600</v>
      </c>
      <c r="P1094" s="112"/>
      <c r="Q1094">
        <f t="shared" si="34"/>
        <v>2020</v>
      </c>
      <c r="R1094">
        <f t="shared" si="35"/>
        <v>10</v>
      </c>
    </row>
    <row r="1095" spans="1:18">
      <c r="A1095" s="117">
        <v>3</v>
      </c>
      <c r="B1095" s="102" t="s">
        <v>252</v>
      </c>
      <c r="C1095" s="206">
        <v>44153</v>
      </c>
      <c r="D1095" s="102">
        <v>9.6</v>
      </c>
      <c r="E1095" s="102">
        <v>9.4</v>
      </c>
      <c r="F1095" s="218">
        <v>83</v>
      </c>
      <c r="G1095" s="102">
        <v>7.92</v>
      </c>
      <c r="H1095" s="218">
        <v>1.5</v>
      </c>
      <c r="I1095" s="102"/>
      <c r="J1095" s="102">
        <v>2</v>
      </c>
      <c r="K1095" s="218">
        <v>36</v>
      </c>
      <c r="L1095" s="218">
        <v>57</v>
      </c>
      <c r="M1095" s="218">
        <v>3900</v>
      </c>
      <c r="N1095" s="218">
        <v>26</v>
      </c>
      <c r="O1095" s="218">
        <v>4500</v>
      </c>
      <c r="P1095" s="112"/>
      <c r="Q1095">
        <f t="shared" si="34"/>
        <v>2020</v>
      </c>
      <c r="R1095">
        <f t="shared" si="35"/>
        <v>11</v>
      </c>
    </row>
    <row r="1096" spans="1:18">
      <c r="A1096" s="117">
        <v>3</v>
      </c>
      <c r="B1096" s="102" t="s">
        <v>252</v>
      </c>
      <c r="C1096" s="206">
        <v>44180</v>
      </c>
      <c r="D1096" s="102">
        <v>5</v>
      </c>
      <c r="E1096" s="102">
        <v>11.8</v>
      </c>
      <c r="F1096" s="218">
        <v>93</v>
      </c>
      <c r="G1096" s="102">
        <v>8</v>
      </c>
      <c r="H1096" s="218">
        <v>2.7</v>
      </c>
      <c r="I1096" s="102"/>
      <c r="J1096" s="102">
        <v>2</v>
      </c>
      <c r="K1096" s="218">
        <v>28</v>
      </c>
      <c r="L1096" s="218">
        <v>60</v>
      </c>
      <c r="M1096" s="218">
        <v>3200</v>
      </c>
      <c r="N1096" s="218">
        <v>50</v>
      </c>
      <c r="O1096" s="218">
        <v>4000</v>
      </c>
      <c r="P1096" s="112"/>
      <c r="Q1096">
        <f t="shared" si="34"/>
        <v>2020</v>
      </c>
      <c r="R1096">
        <f t="shared" si="35"/>
        <v>12</v>
      </c>
    </row>
    <row r="1097" spans="1:18">
      <c r="A1097" s="117">
        <v>5</v>
      </c>
      <c r="B1097" s="102" t="s">
        <v>253</v>
      </c>
      <c r="C1097" s="206">
        <v>43879</v>
      </c>
      <c r="D1097" s="102">
        <v>5</v>
      </c>
      <c r="E1097" s="102">
        <v>11.6</v>
      </c>
      <c r="F1097" s="218">
        <v>91</v>
      </c>
      <c r="G1097" s="102">
        <v>7.91</v>
      </c>
      <c r="H1097" s="218">
        <v>9.6999999999999993</v>
      </c>
      <c r="I1097" s="102"/>
      <c r="J1097" s="102">
        <v>2.9</v>
      </c>
      <c r="K1097" s="218">
        <v>39</v>
      </c>
      <c r="L1097" s="218">
        <v>80</v>
      </c>
      <c r="M1097" s="218">
        <v>5700</v>
      </c>
      <c r="N1097" s="218">
        <v>49</v>
      </c>
      <c r="O1097" s="218">
        <v>5700</v>
      </c>
      <c r="P1097" s="112"/>
      <c r="Q1097">
        <f t="shared" si="34"/>
        <v>2020</v>
      </c>
      <c r="R1097">
        <f t="shared" si="35"/>
        <v>2</v>
      </c>
    </row>
    <row r="1098" spans="1:18">
      <c r="A1098" s="117">
        <v>5</v>
      </c>
      <c r="B1098" s="102" t="s">
        <v>253</v>
      </c>
      <c r="C1098" s="206">
        <v>43942</v>
      </c>
      <c r="D1098" s="102">
        <v>12.5</v>
      </c>
      <c r="E1098" s="102">
        <v>11.2</v>
      </c>
      <c r="F1098" s="218">
        <v>105</v>
      </c>
      <c r="G1098" s="102">
        <v>8</v>
      </c>
      <c r="H1098" s="218">
        <v>4</v>
      </c>
      <c r="I1098" s="102"/>
      <c r="J1098" s="102">
        <v>3.919999999999999</v>
      </c>
      <c r="K1098" s="218">
        <v>3.7</v>
      </c>
      <c r="L1098" s="218">
        <v>57</v>
      </c>
      <c r="M1098" s="218">
        <v>2300</v>
      </c>
      <c r="N1098" s="218">
        <v>45</v>
      </c>
      <c r="O1098" s="218">
        <v>2400</v>
      </c>
      <c r="P1098" s="112"/>
      <c r="Q1098">
        <f t="shared" si="34"/>
        <v>2020</v>
      </c>
      <c r="R1098">
        <f t="shared" si="35"/>
        <v>4</v>
      </c>
    </row>
    <row r="1099" spans="1:18">
      <c r="A1099" s="117">
        <v>5</v>
      </c>
      <c r="B1099" s="102" t="s">
        <v>253</v>
      </c>
      <c r="C1099" s="206">
        <v>43992</v>
      </c>
      <c r="D1099" s="102">
        <v>19.5</v>
      </c>
      <c r="E1099" s="102">
        <v>9.6</v>
      </c>
      <c r="F1099" s="218">
        <v>105</v>
      </c>
      <c r="G1099" s="102">
        <v>8.06</v>
      </c>
      <c r="H1099" s="218">
        <v>3</v>
      </c>
      <c r="I1099" s="102"/>
      <c r="J1099" s="102">
        <v>3.2</v>
      </c>
      <c r="K1099" s="218">
        <v>6.6</v>
      </c>
      <c r="L1099" s="218">
        <v>55</v>
      </c>
      <c r="M1099" s="218">
        <v>1200</v>
      </c>
      <c r="N1099" s="218">
        <v>16</v>
      </c>
      <c r="O1099" s="218">
        <v>1800</v>
      </c>
      <c r="P1099" s="112"/>
      <c r="Q1099">
        <f t="shared" si="34"/>
        <v>2020</v>
      </c>
      <c r="R1099">
        <f t="shared" si="35"/>
        <v>6</v>
      </c>
    </row>
    <row r="1100" spans="1:18">
      <c r="A1100" s="117">
        <v>5</v>
      </c>
      <c r="B1100" s="102" t="s">
        <v>253</v>
      </c>
      <c r="C1100" s="206">
        <v>44062</v>
      </c>
      <c r="D1100" s="102">
        <v>22.2</v>
      </c>
      <c r="E1100" s="102">
        <v>6.5</v>
      </c>
      <c r="F1100" s="218">
        <v>74</v>
      </c>
      <c r="G1100" s="102">
        <v>7.59</v>
      </c>
      <c r="H1100" s="218">
        <v>1.3</v>
      </c>
      <c r="I1100" s="102"/>
      <c r="J1100" s="102">
        <v>1.6</v>
      </c>
      <c r="K1100" s="218">
        <v>32</v>
      </c>
      <c r="L1100" s="218">
        <v>82</v>
      </c>
      <c r="M1100" s="218">
        <v>90</v>
      </c>
      <c r="N1100" s="218">
        <v>25</v>
      </c>
      <c r="O1100" s="218">
        <v>890</v>
      </c>
      <c r="P1100" s="112"/>
      <c r="Q1100">
        <f t="shared" si="34"/>
        <v>2020</v>
      </c>
      <c r="R1100">
        <f t="shared" si="35"/>
        <v>8</v>
      </c>
    </row>
    <row r="1101" spans="1:18">
      <c r="A1101" s="117">
        <v>5</v>
      </c>
      <c r="B1101" s="102" t="s">
        <v>253</v>
      </c>
      <c r="C1101" s="206">
        <v>44117</v>
      </c>
      <c r="D1101" s="102">
        <v>11.8</v>
      </c>
      <c r="E1101" s="102">
        <v>6.6</v>
      </c>
      <c r="F1101" s="218">
        <v>61</v>
      </c>
      <c r="G1101" s="102">
        <v>7.66</v>
      </c>
      <c r="H1101" s="218">
        <v>1.1000000000000001</v>
      </c>
      <c r="I1101" s="102"/>
      <c r="J1101" s="102">
        <v>1.6</v>
      </c>
      <c r="K1101" s="218">
        <v>35</v>
      </c>
      <c r="L1101" s="218">
        <v>61</v>
      </c>
      <c r="M1101" s="218">
        <v>2900</v>
      </c>
      <c r="N1101" s="218">
        <v>85</v>
      </c>
      <c r="O1101" s="218">
        <v>3500</v>
      </c>
      <c r="P1101" s="112"/>
      <c r="Q1101">
        <f t="shared" si="34"/>
        <v>2020</v>
      </c>
      <c r="R1101">
        <f t="shared" si="35"/>
        <v>10</v>
      </c>
    </row>
    <row r="1102" spans="1:18">
      <c r="A1102" s="117">
        <v>5</v>
      </c>
      <c r="B1102" s="102" t="s">
        <v>253</v>
      </c>
      <c r="C1102" s="206">
        <v>44180</v>
      </c>
      <c r="D1102" s="102">
        <v>5.3</v>
      </c>
      <c r="E1102" s="102">
        <v>10.7</v>
      </c>
      <c r="F1102" s="218">
        <v>85</v>
      </c>
      <c r="G1102" s="102">
        <v>7.89</v>
      </c>
      <c r="H1102" s="218">
        <v>3</v>
      </c>
      <c r="I1102" s="102"/>
      <c r="J1102" s="102">
        <v>2.2999999999999998</v>
      </c>
      <c r="K1102" s="218">
        <v>38</v>
      </c>
      <c r="L1102" s="218">
        <v>58</v>
      </c>
      <c r="M1102" s="218">
        <v>2500</v>
      </c>
      <c r="N1102" s="218">
        <v>90</v>
      </c>
      <c r="O1102" s="218">
        <v>3500</v>
      </c>
      <c r="P1102" s="112"/>
      <c r="Q1102">
        <f t="shared" si="34"/>
        <v>2020</v>
      </c>
      <c r="R1102">
        <f t="shared" si="35"/>
        <v>12</v>
      </c>
    </row>
    <row r="1103" spans="1:18">
      <c r="A1103" s="117">
        <v>7</v>
      </c>
      <c r="B1103" s="102" t="s">
        <v>254</v>
      </c>
      <c r="C1103" s="206">
        <v>43844</v>
      </c>
      <c r="D1103" s="102">
        <v>4.0999999999999996</v>
      </c>
      <c r="E1103" s="102">
        <v>12.7</v>
      </c>
      <c r="F1103" s="218">
        <v>97</v>
      </c>
      <c r="G1103" s="102">
        <v>8.2200000000000006</v>
      </c>
      <c r="H1103" s="218">
        <v>3.5</v>
      </c>
      <c r="I1103" s="102"/>
      <c r="J1103" s="102">
        <v>2.5</v>
      </c>
      <c r="K1103" s="218">
        <v>34</v>
      </c>
      <c r="L1103" s="218">
        <v>51</v>
      </c>
      <c r="M1103" s="218">
        <v>3600</v>
      </c>
      <c r="N1103" s="218">
        <v>82</v>
      </c>
      <c r="O1103" s="218">
        <v>3300</v>
      </c>
      <c r="P1103" s="112"/>
      <c r="Q1103">
        <f t="shared" si="34"/>
        <v>2020</v>
      </c>
      <c r="R1103">
        <f t="shared" si="35"/>
        <v>1</v>
      </c>
    </row>
    <row r="1104" spans="1:18">
      <c r="A1104" s="117">
        <v>7</v>
      </c>
      <c r="B1104" s="102" t="s">
        <v>254</v>
      </c>
      <c r="C1104" s="206">
        <v>43879</v>
      </c>
      <c r="D1104" s="102">
        <v>5.0999999999999996</v>
      </c>
      <c r="E1104" s="102">
        <v>12.4</v>
      </c>
      <c r="F1104" s="218">
        <v>97</v>
      </c>
      <c r="G1104" s="102">
        <v>8.14</v>
      </c>
      <c r="H1104" s="218">
        <v>4.4000000000000004</v>
      </c>
      <c r="I1104" s="102"/>
      <c r="J1104" s="102">
        <v>2.5</v>
      </c>
      <c r="K1104" s="218">
        <v>41</v>
      </c>
      <c r="L1104" s="218">
        <v>55</v>
      </c>
      <c r="M1104" s="218">
        <v>4500</v>
      </c>
      <c r="N1104" s="218">
        <v>54</v>
      </c>
      <c r="O1104" s="218">
        <v>4600</v>
      </c>
      <c r="P1104" s="112"/>
      <c r="Q1104">
        <f t="shared" si="34"/>
        <v>2020</v>
      </c>
      <c r="R1104">
        <f t="shared" si="35"/>
        <v>2</v>
      </c>
    </row>
    <row r="1105" spans="1:18">
      <c r="A1105" s="117">
        <v>7</v>
      </c>
      <c r="B1105" s="102" t="s">
        <v>254</v>
      </c>
      <c r="C1105" s="206">
        <v>43907</v>
      </c>
      <c r="D1105" s="102">
        <v>5.2</v>
      </c>
      <c r="E1105" s="102">
        <v>13.1</v>
      </c>
      <c r="F1105" s="218">
        <v>103</v>
      </c>
      <c r="G1105" s="102">
        <v>8.17</v>
      </c>
      <c r="H1105" s="218">
        <v>3.9</v>
      </c>
      <c r="I1105" s="102"/>
      <c r="J1105" s="102">
        <v>2.7</v>
      </c>
      <c r="K1105" s="218">
        <v>28</v>
      </c>
      <c r="L1105" s="218">
        <v>53</v>
      </c>
      <c r="M1105" s="218">
        <v>5000</v>
      </c>
      <c r="N1105" s="218">
        <v>25</v>
      </c>
      <c r="O1105" s="218">
        <v>4600</v>
      </c>
      <c r="P1105" s="112"/>
      <c r="Q1105">
        <f t="shared" si="34"/>
        <v>2020</v>
      </c>
      <c r="R1105">
        <f t="shared" si="35"/>
        <v>3</v>
      </c>
    </row>
    <row r="1106" spans="1:18">
      <c r="A1106" s="117">
        <v>7</v>
      </c>
      <c r="B1106" s="102" t="s">
        <v>254</v>
      </c>
      <c r="C1106" s="206">
        <v>43942</v>
      </c>
      <c r="D1106" s="102">
        <v>11</v>
      </c>
      <c r="E1106" s="102">
        <v>13.9</v>
      </c>
      <c r="F1106" s="218">
        <v>126</v>
      </c>
      <c r="G1106" s="102">
        <v>8.74</v>
      </c>
      <c r="H1106" s="218">
        <v>1.8</v>
      </c>
      <c r="I1106" s="102"/>
      <c r="J1106" s="102">
        <v>3.6900000000000013</v>
      </c>
      <c r="K1106" s="218" t="s">
        <v>149</v>
      </c>
      <c r="L1106" s="218">
        <v>20</v>
      </c>
      <c r="M1106" s="218">
        <v>3500</v>
      </c>
      <c r="N1106" s="218">
        <v>28</v>
      </c>
      <c r="O1106" s="218">
        <v>3800</v>
      </c>
      <c r="P1106" s="112"/>
      <c r="Q1106">
        <f t="shared" si="34"/>
        <v>2020</v>
      </c>
      <c r="R1106">
        <f t="shared" si="35"/>
        <v>4</v>
      </c>
    </row>
    <row r="1107" spans="1:18">
      <c r="A1107" s="117">
        <v>7</v>
      </c>
      <c r="B1107" s="102" t="s">
        <v>254</v>
      </c>
      <c r="C1107" s="206">
        <v>43969</v>
      </c>
      <c r="D1107" s="102">
        <v>11.7</v>
      </c>
      <c r="E1107" s="102">
        <v>10.9</v>
      </c>
      <c r="F1107" s="218">
        <v>101</v>
      </c>
      <c r="G1107" s="102">
        <v>8.3800000000000008</v>
      </c>
      <c r="H1107" s="218">
        <v>1.3</v>
      </c>
      <c r="I1107" s="102"/>
      <c r="J1107" s="102">
        <v>2.5</v>
      </c>
      <c r="K1107" s="218">
        <v>2</v>
      </c>
      <c r="L1107" s="218">
        <v>26</v>
      </c>
      <c r="M1107" s="218">
        <v>2800</v>
      </c>
      <c r="N1107" s="218">
        <v>27</v>
      </c>
      <c r="O1107" s="218">
        <v>3200</v>
      </c>
      <c r="P1107" s="112"/>
      <c r="Q1107">
        <f t="shared" si="34"/>
        <v>2020</v>
      </c>
      <c r="R1107">
        <f t="shared" si="35"/>
        <v>5</v>
      </c>
    </row>
    <row r="1108" spans="1:18">
      <c r="A1108" s="117">
        <v>7</v>
      </c>
      <c r="B1108" s="102" t="s">
        <v>254</v>
      </c>
      <c r="C1108" s="206">
        <v>43992</v>
      </c>
      <c r="D1108" s="102">
        <v>17.5</v>
      </c>
      <c r="E1108" s="102">
        <v>11.2</v>
      </c>
      <c r="F1108" s="218">
        <v>117</v>
      </c>
      <c r="G1108" s="102">
        <v>8.6300000000000008</v>
      </c>
      <c r="H1108" s="218">
        <v>1.7</v>
      </c>
      <c r="I1108" s="102"/>
      <c r="J1108" s="102">
        <v>3.5</v>
      </c>
      <c r="K1108" s="218">
        <v>3</v>
      </c>
      <c r="L1108" s="218">
        <v>16</v>
      </c>
      <c r="M1108" s="218">
        <v>1800</v>
      </c>
      <c r="N1108" s="218">
        <v>12</v>
      </c>
      <c r="O1108" s="218">
        <v>2400</v>
      </c>
      <c r="P1108" s="112"/>
      <c r="Q1108">
        <f t="shared" si="34"/>
        <v>2020</v>
      </c>
      <c r="R1108">
        <f t="shared" si="35"/>
        <v>6</v>
      </c>
    </row>
    <row r="1109" spans="1:18">
      <c r="A1109" s="117">
        <v>7</v>
      </c>
      <c r="B1109" s="102" t="s">
        <v>254</v>
      </c>
      <c r="C1109" s="206">
        <v>44026</v>
      </c>
      <c r="D1109" s="102">
        <v>17.100000000000001</v>
      </c>
      <c r="E1109" s="102">
        <v>11.5</v>
      </c>
      <c r="F1109" s="218">
        <v>119</v>
      </c>
      <c r="G1109" s="102">
        <v>8.7100000000000009</v>
      </c>
      <c r="H1109" s="218">
        <v>2.7</v>
      </c>
      <c r="I1109" s="102"/>
      <c r="J1109" s="102">
        <v>3</v>
      </c>
      <c r="K1109" s="218" t="s">
        <v>149</v>
      </c>
      <c r="L1109" s="218">
        <v>28</v>
      </c>
      <c r="M1109" s="218">
        <v>1100</v>
      </c>
      <c r="N1109" s="218">
        <v>12</v>
      </c>
      <c r="O1109" s="218">
        <v>1600</v>
      </c>
      <c r="P1109" s="112"/>
      <c r="Q1109">
        <f t="shared" si="34"/>
        <v>2020</v>
      </c>
      <c r="R1109">
        <f t="shared" si="35"/>
        <v>7</v>
      </c>
    </row>
    <row r="1110" spans="1:18">
      <c r="A1110" s="117">
        <v>7</v>
      </c>
      <c r="B1110" s="102" t="s">
        <v>254</v>
      </c>
      <c r="C1110" s="206">
        <v>44062</v>
      </c>
      <c r="D1110" s="102">
        <v>24.2</v>
      </c>
      <c r="E1110" s="102">
        <v>9.8000000000000007</v>
      </c>
      <c r="F1110" s="218">
        <v>116</v>
      </c>
      <c r="G1110" s="102">
        <v>8.6999999999999993</v>
      </c>
      <c r="H1110" s="218">
        <v>5.2</v>
      </c>
      <c r="I1110" s="102"/>
      <c r="J1110" s="102">
        <v>5.8</v>
      </c>
      <c r="K1110" s="218">
        <v>3.6</v>
      </c>
      <c r="L1110" s="218">
        <v>68</v>
      </c>
      <c r="M1110" s="218" t="s">
        <v>148</v>
      </c>
      <c r="N1110" s="218" t="s">
        <v>148</v>
      </c>
      <c r="O1110" s="218">
        <v>1000</v>
      </c>
      <c r="P1110" s="112"/>
      <c r="Q1110">
        <f t="shared" si="34"/>
        <v>2020</v>
      </c>
      <c r="R1110">
        <f t="shared" si="35"/>
        <v>8</v>
      </c>
    </row>
    <row r="1111" spans="1:18">
      <c r="A1111" s="117">
        <v>7</v>
      </c>
      <c r="B1111" s="102" t="s">
        <v>254</v>
      </c>
      <c r="C1111" s="206">
        <v>44090</v>
      </c>
      <c r="D1111" s="102">
        <v>18</v>
      </c>
      <c r="E1111" s="102">
        <v>9.9</v>
      </c>
      <c r="F1111" s="218">
        <v>105</v>
      </c>
      <c r="G1111" s="102">
        <v>8.58</v>
      </c>
      <c r="H1111" s="218">
        <v>5.4</v>
      </c>
      <c r="I1111" s="102"/>
      <c r="J1111" s="102">
        <v>3.7</v>
      </c>
      <c r="K1111" s="218">
        <v>23</v>
      </c>
      <c r="L1111" s="218">
        <v>75</v>
      </c>
      <c r="M1111" s="218" t="s">
        <v>148</v>
      </c>
      <c r="N1111" s="218" t="s">
        <v>148</v>
      </c>
      <c r="O1111" s="218">
        <v>850</v>
      </c>
      <c r="P1111" s="112"/>
      <c r="Q1111">
        <f t="shared" si="34"/>
        <v>2020</v>
      </c>
      <c r="R1111">
        <f t="shared" si="35"/>
        <v>9</v>
      </c>
    </row>
    <row r="1112" spans="1:18">
      <c r="A1112" s="117">
        <v>7</v>
      </c>
      <c r="B1112" s="102" t="s">
        <v>254</v>
      </c>
      <c r="C1112" s="206">
        <v>44117</v>
      </c>
      <c r="D1112" s="102">
        <v>10.8</v>
      </c>
      <c r="E1112" s="102">
        <v>11.3</v>
      </c>
      <c r="F1112" s="218">
        <v>102</v>
      </c>
      <c r="G1112" s="102">
        <v>8.6</v>
      </c>
      <c r="H1112" s="218">
        <v>5.9</v>
      </c>
      <c r="I1112" s="102"/>
      <c r="J1112" s="102">
        <v>3.4</v>
      </c>
      <c r="K1112" s="218">
        <v>28</v>
      </c>
      <c r="L1112" s="218">
        <v>77</v>
      </c>
      <c r="M1112" s="218" t="s">
        <v>148</v>
      </c>
      <c r="N1112" s="218" t="s">
        <v>148</v>
      </c>
      <c r="O1112" s="218">
        <v>770</v>
      </c>
      <c r="P1112" s="112"/>
      <c r="Q1112">
        <f t="shared" si="34"/>
        <v>2020</v>
      </c>
      <c r="R1112">
        <f t="shared" si="35"/>
        <v>10</v>
      </c>
    </row>
    <row r="1113" spans="1:18">
      <c r="A1113" s="117">
        <v>7</v>
      </c>
      <c r="B1113" s="102" t="s">
        <v>254</v>
      </c>
      <c r="C1113" s="206">
        <v>44153</v>
      </c>
      <c r="D1113" s="102">
        <v>9.9</v>
      </c>
      <c r="E1113" s="102">
        <v>10.6</v>
      </c>
      <c r="F1113" s="218">
        <v>94</v>
      </c>
      <c r="G1113" s="102">
        <v>8.4700000000000006</v>
      </c>
      <c r="H1113" s="218">
        <v>3.5</v>
      </c>
      <c r="I1113" s="102"/>
      <c r="J1113" s="102">
        <v>2.8</v>
      </c>
      <c r="K1113" s="218">
        <v>36</v>
      </c>
      <c r="L1113" s="218">
        <v>64</v>
      </c>
      <c r="M1113" s="218">
        <v>410</v>
      </c>
      <c r="N1113" s="218">
        <v>71</v>
      </c>
      <c r="O1113" s="218">
        <v>1100</v>
      </c>
      <c r="P1113" s="112"/>
      <c r="Q1113">
        <f t="shared" si="34"/>
        <v>2020</v>
      </c>
      <c r="R1113">
        <f t="shared" si="35"/>
        <v>11</v>
      </c>
    </row>
    <row r="1114" spans="1:18">
      <c r="A1114" s="117">
        <v>7</v>
      </c>
      <c r="B1114" s="102" t="s">
        <v>254</v>
      </c>
      <c r="C1114" s="206">
        <v>44180</v>
      </c>
      <c r="D1114" s="102">
        <v>4.9000000000000004</v>
      </c>
      <c r="E1114" s="102">
        <v>11.8</v>
      </c>
      <c r="F1114" s="218">
        <v>92</v>
      </c>
      <c r="G1114" s="102">
        <v>8.23</v>
      </c>
      <c r="H1114" s="218">
        <v>3.9</v>
      </c>
      <c r="I1114" s="102"/>
      <c r="J1114" s="102">
        <v>1.9</v>
      </c>
      <c r="K1114" s="218">
        <v>39</v>
      </c>
      <c r="L1114" s="218">
        <v>68</v>
      </c>
      <c r="M1114" s="218">
        <v>1000</v>
      </c>
      <c r="N1114" s="218">
        <v>93</v>
      </c>
      <c r="O1114" s="218">
        <v>1700</v>
      </c>
      <c r="P1114" s="112"/>
      <c r="Q1114">
        <f t="shared" si="34"/>
        <v>2020</v>
      </c>
      <c r="R1114">
        <f t="shared" si="35"/>
        <v>12</v>
      </c>
    </row>
    <row r="1115" spans="1:18">
      <c r="A1115" s="117">
        <v>9</v>
      </c>
      <c r="B1115" s="102" t="s">
        <v>255</v>
      </c>
      <c r="C1115" s="206">
        <v>43879</v>
      </c>
      <c r="D1115" s="102">
        <v>5.6</v>
      </c>
      <c r="E1115" s="102">
        <v>12.3</v>
      </c>
      <c r="F1115" s="218">
        <v>98</v>
      </c>
      <c r="G1115" s="102">
        <v>8.06</v>
      </c>
      <c r="H1115" s="218">
        <v>61</v>
      </c>
      <c r="I1115" s="102"/>
      <c r="J1115" s="102">
        <v>2.5</v>
      </c>
      <c r="K1115" s="218">
        <v>62</v>
      </c>
      <c r="L1115" s="218">
        <v>170</v>
      </c>
      <c r="M1115" s="218">
        <v>8600</v>
      </c>
      <c r="N1115" s="218">
        <v>11</v>
      </c>
      <c r="O1115" s="218">
        <v>8900</v>
      </c>
      <c r="P1115" s="112"/>
      <c r="Q1115">
        <f t="shared" si="34"/>
        <v>2020</v>
      </c>
      <c r="R1115">
        <f t="shared" si="35"/>
        <v>2</v>
      </c>
    </row>
    <row r="1116" spans="1:18">
      <c r="A1116" s="117">
        <v>9</v>
      </c>
      <c r="B1116" s="102" t="s">
        <v>255</v>
      </c>
      <c r="C1116" s="206">
        <v>43942</v>
      </c>
      <c r="D1116" s="102">
        <v>10.7</v>
      </c>
      <c r="E1116" s="102">
        <v>13.2</v>
      </c>
      <c r="F1116" s="218">
        <v>119</v>
      </c>
      <c r="G1116" s="102">
        <v>8.26</v>
      </c>
      <c r="H1116" s="218">
        <v>4.8499999999999996</v>
      </c>
      <c r="I1116" s="102"/>
      <c r="J1116" s="102">
        <v>5.08</v>
      </c>
      <c r="K1116" s="218">
        <v>3.8</v>
      </c>
      <c r="L1116" s="218">
        <v>58</v>
      </c>
      <c r="M1116" s="218">
        <v>1100</v>
      </c>
      <c r="N1116" s="218">
        <v>100</v>
      </c>
      <c r="O1116" s="218">
        <v>1600</v>
      </c>
      <c r="P1116" s="112"/>
      <c r="Q1116">
        <f t="shared" si="34"/>
        <v>2020</v>
      </c>
      <c r="R1116">
        <f t="shared" si="35"/>
        <v>4</v>
      </c>
    </row>
    <row r="1117" spans="1:18">
      <c r="A1117" s="117">
        <v>9</v>
      </c>
      <c r="B1117" s="102" t="s">
        <v>255</v>
      </c>
      <c r="C1117" s="206">
        <v>43992</v>
      </c>
      <c r="D1117" s="102">
        <v>17.5</v>
      </c>
      <c r="E1117" s="102">
        <v>7.3</v>
      </c>
      <c r="F1117" s="218">
        <v>76</v>
      </c>
      <c r="G1117" s="102">
        <v>7.86</v>
      </c>
      <c r="H1117" s="218">
        <v>4.8</v>
      </c>
      <c r="I1117" s="102"/>
      <c r="J1117" s="102">
        <v>5.5</v>
      </c>
      <c r="K1117" s="218">
        <v>24</v>
      </c>
      <c r="L1117" s="218">
        <v>130</v>
      </c>
      <c r="M1117" s="218">
        <v>450</v>
      </c>
      <c r="N1117" s="218">
        <v>40</v>
      </c>
      <c r="O1117" s="218">
        <v>1300</v>
      </c>
      <c r="P1117" s="112"/>
      <c r="Q1117">
        <f t="shared" si="34"/>
        <v>2020</v>
      </c>
      <c r="R1117">
        <f t="shared" si="35"/>
        <v>6</v>
      </c>
    </row>
    <row r="1118" spans="1:18">
      <c r="A1118" s="117">
        <v>9</v>
      </c>
      <c r="B1118" s="102" t="s">
        <v>255</v>
      </c>
      <c r="C1118" s="206">
        <v>44062</v>
      </c>
      <c r="D1118" s="102">
        <v>22.7</v>
      </c>
      <c r="E1118" s="102">
        <v>5.9</v>
      </c>
      <c r="F1118" s="218">
        <v>68</v>
      </c>
      <c r="G1118" s="102">
        <v>7.64</v>
      </c>
      <c r="H1118" s="218">
        <v>1.2</v>
      </c>
      <c r="I1118" s="102"/>
      <c r="J1118" s="102">
        <v>1.6</v>
      </c>
      <c r="K1118" s="218">
        <v>20</v>
      </c>
      <c r="L1118" s="218">
        <v>41</v>
      </c>
      <c r="M1118" s="218">
        <v>21</v>
      </c>
      <c r="N1118" s="218">
        <v>64</v>
      </c>
      <c r="O1118" s="218">
        <v>610</v>
      </c>
      <c r="P1118" s="112"/>
      <c r="Q1118">
        <f t="shared" si="34"/>
        <v>2020</v>
      </c>
      <c r="R1118">
        <f t="shared" si="35"/>
        <v>8</v>
      </c>
    </row>
    <row r="1119" spans="1:18">
      <c r="A1119" s="117">
        <v>9</v>
      </c>
      <c r="B1119" s="102" t="s">
        <v>255</v>
      </c>
      <c r="C1119" s="206">
        <v>44117</v>
      </c>
      <c r="D1119" s="102">
        <v>8.5</v>
      </c>
      <c r="E1119" s="102">
        <v>9.8000000000000007</v>
      </c>
      <c r="F1119" s="218">
        <v>84</v>
      </c>
      <c r="G1119" s="102">
        <v>8.0500000000000007</v>
      </c>
      <c r="H1119" s="218">
        <v>3.5</v>
      </c>
      <c r="I1119" s="102"/>
      <c r="J1119" s="102">
        <v>3.4</v>
      </c>
      <c r="K1119" s="218">
        <v>66</v>
      </c>
      <c r="L1119" s="218">
        <v>150</v>
      </c>
      <c r="M1119" s="218">
        <v>390</v>
      </c>
      <c r="N1119" s="218">
        <v>46</v>
      </c>
      <c r="O1119" s="218">
        <v>1300</v>
      </c>
      <c r="P1119" s="112"/>
      <c r="Q1119">
        <f t="shared" si="34"/>
        <v>2020</v>
      </c>
      <c r="R1119">
        <f t="shared" si="35"/>
        <v>10</v>
      </c>
    </row>
    <row r="1120" spans="1:18">
      <c r="A1120" s="117">
        <v>9</v>
      </c>
      <c r="B1120" s="102" t="s">
        <v>255</v>
      </c>
      <c r="C1120" s="206">
        <v>44180</v>
      </c>
      <c r="D1120" s="102">
        <v>4.5999999999999996</v>
      </c>
      <c r="E1120" s="102">
        <v>11.2</v>
      </c>
      <c r="F1120" s="218">
        <v>87</v>
      </c>
      <c r="G1120" s="102">
        <v>8.09</v>
      </c>
      <c r="H1120" s="218">
        <v>4.0999999999999996</v>
      </c>
      <c r="I1120" s="102"/>
      <c r="J1120" s="102">
        <v>1.3</v>
      </c>
      <c r="K1120" s="218">
        <v>38</v>
      </c>
      <c r="L1120" s="218">
        <v>65</v>
      </c>
      <c r="M1120" s="218">
        <v>4800</v>
      </c>
      <c r="N1120" s="218">
        <v>62</v>
      </c>
      <c r="O1120" s="218">
        <v>5600</v>
      </c>
      <c r="P1120" s="112"/>
      <c r="Q1120">
        <f t="shared" si="34"/>
        <v>2020</v>
      </c>
      <c r="R1120">
        <f t="shared" si="35"/>
        <v>12</v>
      </c>
    </row>
    <row r="1121" spans="1:18">
      <c r="A1121" s="117">
        <v>11</v>
      </c>
      <c r="B1121" s="102" t="s">
        <v>256</v>
      </c>
      <c r="C1121" s="206">
        <v>43844</v>
      </c>
      <c r="D1121" s="102">
        <v>5.0999999999999996</v>
      </c>
      <c r="E1121" s="102">
        <v>12.4</v>
      </c>
      <c r="F1121" s="218">
        <v>97</v>
      </c>
      <c r="G1121" s="102">
        <v>7.99</v>
      </c>
      <c r="H1121" s="218">
        <v>26</v>
      </c>
      <c r="I1121" s="102"/>
      <c r="J1121" s="102">
        <v>2.5</v>
      </c>
      <c r="K1121" s="218">
        <v>46</v>
      </c>
      <c r="L1121" s="218">
        <v>110</v>
      </c>
      <c r="M1121" s="218">
        <v>8200</v>
      </c>
      <c r="N1121" s="218">
        <v>37</v>
      </c>
      <c r="O1121" s="218">
        <v>8500</v>
      </c>
      <c r="P1121" s="112"/>
      <c r="Q1121">
        <f t="shared" si="34"/>
        <v>2020</v>
      </c>
      <c r="R1121">
        <f t="shared" si="35"/>
        <v>1</v>
      </c>
    </row>
    <row r="1122" spans="1:18">
      <c r="A1122" s="117">
        <v>11</v>
      </c>
      <c r="B1122" s="102" t="s">
        <v>256</v>
      </c>
      <c r="C1122" s="206">
        <v>43879</v>
      </c>
      <c r="D1122" s="102">
        <v>5.4</v>
      </c>
      <c r="E1122" s="102">
        <v>11.9</v>
      </c>
      <c r="F1122" s="218">
        <v>94</v>
      </c>
      <c r="G1122" s="102">
        <v>7.89</v>
      </c>
      <c r="H1122" s="218">
        <v>38</v>
      </c>
      <c r="I1122" s="102"/>
      <c r="J1122" s="102">
        <v>2.6</v>
      </c>
      <c r="K1122" s="218">
        <v>54</v>
      </c>
      <c r="L1122" s="218">
        <v>140</v>
      </c>
      <c r="M1122" s="218">
        <v>5500</v>
      </c>
      <c r="N1122" s="218">
        <v>26</v>
      </c>
      <c r="O1122" s="218">
        <v>6000</v>
      </c>
      <c r="P1122" s="112"/>
      <c r="Q1122">
        <f t="shared" si="34"/>
        <v>2020</v>
      </c>
      <c r="R1122">
        <f t="shared" si="35"/>
        <v>2</v>
      </c>
    </row>
    <row r="1123" spans="1:18">
      <c r="A1123" s="117">
        <v>11</v>
      </c>
      <c r="B1123" s="102" t="s">
        <v>256</v>
      </c>
      <c r="C1123" s="206">
        <v>43907</v>
      </c>
      <c r="D1123" s="102">
        <v>6.3</v>
      </c>
      <c r="E1123" s="102">
        <v>13.2</v>
      </c>
      <c r="F1123" s="218">
        <v>107</v>
      </c>
      <c r="G1123" s="102">
        <v>8.0299999999999994</v>
      </c>
      <c r="H1123" s="218">
        <v>5.2</v>
      </c>
      <c r="I1123" s="102"/>
      <c r="J1123" s="102">
        <v>2.8</v>
      </c>
      <c r="K1123" s="218">
        <v>17</v>
      </c>
      <c r="L1123" s="218">
        <v>54</v>
      </c>
      <c r="M1123" s="218">
        <v>5500</v>
      </c>
      <c r="N1123" s="218">
        <v>26</v>
      </c>
      <c r="O1123" s="218">
        <v>5100</v>
      </c>
      <c r="P1123" s="112"/>
      <c r="Q1123">
        <f t="shared" si="34"/>
        <v>2020</v>
      </c>
      <c r="R1123">
        <f t="shared" si="35"/>
        <v>3</v>
      </c>
    </row>
    <row r="1124" spans="1:18">
      <c r="A1124" s="117">
        <v>11</v>
      </c>
      <c r="B1124" s="102" t="s">
        <v>256</v>
      </c>
      <c r="C1124" s="206">
        <v>43942</v>
      </c>
      <c r="D1124" s="102">
        <v>10.1</v>
      </c>
      <c r="E1124" s="102">
        <v>11.3</v>
      </c>
      <c r="F1124" s="218">
        <v>101</v>
      </c>
      <c r="G1124" s="102">
        <v>8.07</v>
      </c>
      <c r="H1124" s="218">
        <v>1.8</v>
      </c>
      <c r="I1124" s="102"/>
      <c r="J1124" s="102">
        <v>2.2299999999999995</v>
      </c>
      <c r="K1124" s="218">
        <v>7.1</v>
      </c>
      <c r="L1124" s="218">
        <v>31</v>
      </c>
      <c r="M1124" s="218">
        <v>3100</v>
      </c>
      <c r="N1124" s="218">
        <v>38</v>
      </c>
      <c r="O1124" s="218">
        <v>3400</v>
      </c>
      <c r="P1124" s="112"/>
      <c r="Q1124">
        <f t="shared" si="34"/>
        <v>2020</v>
      </c>
      <c r="R1124">
        <f t="shared" si="35"/>
        <v>4</v>
      </c>
    </row>
    <row r="1125" spans="1:18">
      <c r="A1125" s="117">
        <v>11</v>
      </c>
      <c r="B1125" s="102" t="s">
        <v>256</v>
      </c>
      <c r="C1125" s="206">
        <v>43969</v>
      </c>
      <c r="D1125" s="102">
        <v>10.4</v>
      </c>
      <c r="E1125" s="102">
        <v>9.9</v>
      </c>
      <c r="F1125" s="218">
        <v>89</v>
      </c>
      <c r="G1125" s="102">
        <v>8.08</v>
      </c>
      <c r="H1125" s="218">
        <v>1.9</v>
      </c>
      <c r="I1125" s="102"/>
      <c r="J1125" s="102">
        <v>2.2999999999999998</v>
      </c>
      <c r="K1125" s="218">
        <v>6.4</v>
      </c>
      <c r="L1125" s="218">
        <v>24</v>
      </c>
      <c r="M1125" s="218">
        <v>2400</v>
      </c>
      <c r="N1125" s="218">
        <v>25</v>
      </c>
      <c r="O1125" s="218">
        <v>2800</v>
      </c>
      <c r="P1125" s="112"/>
      <c r="Q1125">
        <f t="shared" si="34"/>
        <v>2020</v>
      </c>
      <c r="R1125">
        <f t="shared" si="35"/>
        <v>5</v>
      </c>
    </row>
    <row r="1126" spans="1:18">
      <c r="A1126" s="117">
        <v>11</v>
      </c>
      <c r="B1126" s="102" t="s">
        <v>256</v>
      </c>
      <c r="C1126" s="206">
        <v>43992</v>
      </c>
      <c r="D1126" s="102">
        <v>15.8</v>
      </c>
      <c r="E1126" s="102">
        <v>10</v>
      </c>
      <c r="F1126" s="218">
        <v>101</v>
      </c>
      <c r="G1126" s="102">
        <v>8.1999999999999993</v>
      </c>
      <c r="H1126" s="218">
        <v>2.1</v>
      </c>
      <c r="I1126" s="102"/>
      <c r="J1126" s="102">
        <v>2.2999999999999998</v>
      </c>
      <c r="K1126" s="218">
        <v>29</v>
      </c>
      <c r="L1126" s="218">
        <v>56</v>
      </c>
      <c r="M1126" s="218">
        <v>2000</v>
      </c>
      <c r="N1126" s="218">
        <v>42</v>
      </c>
      <c r="O1126" s="218">
        <v>2500</v>
      </c>
      <c r="P1126" s="112"/>
      <c r="Q1126">
        <f t="shared" si="34"/>
        <v>2020</v>
      </c>
      <c r="R1126">
        <f t="shared" si="35"/>
        <v>6</v>
      </c>
    </row>
    <row r="1127" spans="1:18">
      <c r="A1127" s="117">
        <v>11</v>
      </c>
      <c r="B1127" s="102" t="s">
        <v>256</v>
      </c>
      <c r="C1127" s="206">
        <v>44026</v>
      </c>
      <c r="D1127" s="102">
        <v>13.4</v>
      </c>
      <c r="E1127" s="102">
        <v>9.8000000000000007</v>
      </c>
      <c r="F1127" s="218">
        <v>94</v>
      </c>
      <c r="G1127" s="102">
        <v>8</v>
      </c>
      <c r="H1127" s="218">
        <v>1.6</v>
      </c>
      <c r="I1127" s="102"/>
      <c r="J1127" s="102">
        <v>1.8</v>
      </c>
      <c r="K1127" s="218">
        <v>26</v>
      </c>
      <c r="L1127" s="218">
        <v>57</v>
      </c>
      <c r="M1127" s="218">
        <v>2000</v>
      </c>
      <c r="N1127" s="218">
        <v>21</v>
      </c>
      <c r="O1127" s="218">
        <v>2500</v>
      </c>
      <c r="P1127" s="112"/>
      <c r="Q1127">
        <f t="shared" si="34"/>
        <v>2020</v>
      </c>
      <c r="R1127">
        <f t="shared" si="35"/>
        <v>7</v>
      </c>
    </row>
    <row r="1128" spans="1:18">
      <c r="A1128" s="117">
        <v>11</v>
      </c>
      <c r="B1128" s="102" t="s">
        <v>256</v>
      </c>
      <c r="C1128" s="206">
        <v>44062</v>
      </c>
      <c r="D1128" s="102">
        <v>17.600000000000001</v>
      </c>
      <c r="E1128" s="102">
        <v>7.6</v>
      </c>
      <c r="F1128" s="218">
        <v>80</v>
      </c>
      <c r="G1128" s="102">
        <v>7.88</v>
      </c>
      <c r="H1128" s="218">
        <v>1</v>
      </c>
      <c r="I1128" s="102"/>
      <c r="J1128" s="102">
        <v>1.7</v>
      </c>
      <c r="K1128" s="218">
        <v>18</v>
      </c>
      <c r="L1128" s="218">
        <v>35</v>
      </c>
      <c r="M1128" s="218">
        <v>2500</v>
      </c>
      <c r="N1128" s="218">
        <v>30</v>
      </c>
      <c r="O1128" s="218">
        <v>3700</v>
      </c>
      <c r="P1128" s="112"/>
      <c r="Q1128">
        <f t="shared" si="34"/>
        <v>2020</v>
      </c>
      <c r="R1128">
        <f t="shared" si="35"/>
        <v>8</v>
      </c>
    </row>
    <row r="1129" spans="1:18">
      <c r="A1129" s="117">
        <v>11</v>
      </c>
      <c r="B1129" s="102" t="s">
        <v>256</v>
      </c>
      <c r="C1129" s="206">
        <v>44090</v>
      </c>
      <c r="D1129" s="102">
        <v>13.9</v>
      </c>
      <c r="E1129" s="102">
        <v>8.1</v>
      </c>
      <c r="F1129" s="218">
        <v>79</v>
      </c>
      <c r="G1129" s="102">
        <v>7.86</v>
      </c>
      <c r="H1129" s="218">
        <v>1</v>
      </c>
      <c r="I1129" s="102"/>
      <c r="J1129" s="102">
        <v>1.7</v>
      </c>
      <c r="K1129" s="218">
        <v>23</v>
      </c>
      <c r="L1129" s="218">
        <v>38</v>
      </c>
      <c r="M1129" s="218">
        <v>2400</v>
      </c>
      <c r="N1129" s="218">
        <v>23</v>
      </c>
      <c r="O1129" s="218">
        <v>2900</v>
      </c>
      <c r="P1129" s="112"/>
      <c r="Q1129">
        <f t="shared" si="34"/>
        <v>2020</v>
      </c>
      <c r="R1129">
        <f t="shared" si="35"/>
        <v>9</v>
      </c>
    </row>
    <row r="1130" spans="1:18">
      <c r="A1130" s="117">
        <v>11</v>
      </c>
      <c r="B1130" s="102" t="s">
        <v>256</v>
      </c>
      <c r="C1130" s="206">
        <v>44117</v>
      </c>
      <c r="D1130" s="102">
        <v>8</v>
      </c>
      <c r="E1130" s="102">
        <v>10.8</v>
      </c>
      <c r="F1130" s="218">
        <v>91</v>
      </c>
      <c r="G1130" s="102">
        <v>7.98</v>
      </c>
      <c r="H1130" s="218">
        <v>2.8</v>
      </c>
      <c r="I1130" s="102"/>
      <c r="J1130" s="102">
        <v>1.8</v>
      </c>
      <c r="K1130" s="218">
        <v>44</v>
      </c>
      <c r="L1130" s="218">
        <v>69</v>
      </c>
      <c r="M1130" s="218">
        <v>2600</v>
      </c>
      <c r="N1130" s="218">
        <v>19</v>
      </c>
      <c r="O1130" s="218">
        <v>3200</v>
      </c>
      <c r="P1130" s="112"/>
      <c r="Q1130">
        <f t="shared" si="34"/>
        <v>2020</v>
      </c>
      <c r="R1130">
        <f t="shared" si="35"/>
        <v>10</v>
      </c>
    </row>
    <row r="1131" spans="1:18">
      <c r="A1131" s="117">
        <v>11</v>
      </c>
      <c r="B1131" s="102" t="s">
        <v>256</v>
      </c>
      <c r="C1131" s="206">
        <v>44153</v>
      </c>
      <c r="D1131" s="102">
        <v>10.1</v>
      </c>
      <c r="E1131" s="102">
        <v>10</v>
      </c>
      <c r="F1131" s="218">
        <v>89</v>
      </c>
      <c r="G1131" s="102">
        <v>8.1</v>
      </c>
      <c r="H1131" s="218">
        <v>2.1</v>
      </c>
      <c r="I1131" s="102"/>
      <c r="J1131" s="102">
        <v>2.1</v>
      </c>
      <c r="K1131" s="218">
        <v>32</v>
      </c>
      <c r="L1131" s="218">
        <v>50</v>
      </c>
      <c r="M1131" s="218">
        <v>3500</v>
      </c>
      <c r="N1131" s="218">
        <v>27</v>
      </c>
      <c r="O1131" s="218">
        <v>4000</v>
      </c>
      <c r="P1131" s="112"/>
      <c r="Q1131">
        <f t="shared" si="34"/>
        <v>2020</v>
      </c>
      <c r="R1131">
        <f t="shared" si="35"/>
        <v>11</v>
      </c>
    </row>
    <row r="1132" spans="1:18">
      <c r="A1132" s="117">
        <v>11</v>
      </c>
      <c r="B1132" s="102" t="s">
        <v>256</v>
      </c>
      <c r="C1132" s="206">
        <v>44180</v>
      </c>
      <c r="D1132" s="102">
        <v>5.6</v>
      </c>
      <c r="E1132" s="102">
        <v>11.3</v>
      </c>
      <c r="F1132" s="218">
        <v>90</v>
      </c>
      <c r="G1132" s="102">
        <v>8.1300000000000008</v>
      </c>
      <c r="H1132" s="218">
        <v>3.4</v>
      </c>
      <c r="I1132" s="102"/>
      <c r="J1132" s="102">
        <v>1.6</v>
      </c>
      <c r="K1132" s="218">
        <v>34</v>
      </c>
      <c r="L1132" s="218">
        <v>51</v>
      </c>
      <c r="M1132" s="218">
        <v>4200</v>
      </c>
      <c r="N1132" s="218">
        <v>49</v>
      </c>
      <c r="O1132" s="218">
        <v>4900</v>
      </c>
      <c r="P1132" s="112"/>
      <c r="Q1132">
        <f t="shared" si="34"/>
        <v>2020</v>
      </c>
      <c r="R1132">
        <f t="shared" si="35"/>
        <v>12</v>
      </c>
    </row>
    <row r="1133" spans="1:18">
      <c r="A1133" s="117">
        <v>13</v>
      </c>
      <c r="B1133" s="102" t="s">
        <v>257</v>
      </c>
      <c r="C1133" s="206">
        <v>43879</v>
      </c>
      <c r="D1133" s="102">
        <v>5</v>
      </c>
      <c r="E1133" s="102">
        <v>12.2</v>
      </c>
      <c r="F1133" s="218">
        <v>96</v>
      </c>
      <c r="G1133" s="102">
        <v>7.8</v>
      </c>
      <c r="H1133" s="218">
        <v>14</v>
      </c>
      <c r="I1133" s="102"/>
      <c r="J1133" s="102">
        <v>2.5</v>
      </c>
      <c r="K1133" s="218">
        <v>47</v>
      </c>
      <c r="L1133" s="218">
        <v>100</v>
      </c>
      <c r="M1133" s="218">
        <v>5200</v>
      </c>
      <c r="N1133" s="218">
        <v>20</v>
      </c>
      <c r="O1133" s="218">
        <v>5700</v>
      </c>
      <c r="P1133" s="112"/>
      <c r="Q1133">
        <f t="shared" si="34"/>
        <v>2020</v>
      </c>
      <c r="R1133">
        <f t="shared" si="35"/>
        <v>2</v>
      </c>
    </row>
    <row r="1134" spans="1:18">
      <c r="A1134" s="117">
        <v>13</v>
      </c>
      <c r="B1134" s="102" t="s">
        <v>257</v>
      </c>
      <c r="C1134" s="206">
        <v>43942</v>
      </c>
      <c r="D1134" s="102">
        <v>8.6999999999999993</v>
      </c>
      <c r="E1134" s="102">
        <v>12.3</v>
      </c>
      <c r="F1134" s="218">
        <v>106</v>
      </c>
      <c r="G1134" s="102">
        <v>8.2100000000000009</v>
      </c>
      <c r="H1134" s="218">
        <v>1.6</v>
      </c>
      <c r="I1134" s="102"/>
      <c r="J1134" s="102">
        <v>2.0700000000000003</v>
      </c>
      <c r="K1134" s="218">
        <v>7.1</v>
      </c>
      <c r="L1134" s="218">
        <v>31</v>
      </c>
      <c r="M1134" s="218">
        <v>3800</v>
      </c>
      <c r="N1134" s="218">
        <v>26</v>
      </c>
      <c r="O1134" s="218">
        <v>4000</v>
      </c>
      <c r="P1134" s="112"/>
      <c r="Q1134">
        <f t="shared" si="34"/>
        <v>2020</v>
      </c>
      <c r="R1134">
        <f t="shared" si="35"/>
        <v>4</v>
      </c>
    </row>
    <row r="1135" spans="1:18">
      <c r="A1135" s="117">
        <v>13</v>
      </c>
      <c r="B1135" s="102" t="s">
        <v>257</v>
      </c>
      <c r="C1135" s="206">
        <v>43992</v>
      </c>
      <c r="D1135" s="102">
        <v>14.6</v>
      </c>
      <c r="E1135" s="102">
        <v>9.1999999999999993</v>
      </c>
      <c r="F1135" s="218">
        <v>91</v>
      </c>
      <c r="G1135" s="102">
        <v>8.08</v>
      </c>
      <c r="H1135" s="218">
        <v>2.2999999999999998</v>
      </c>
      <c r="I1135" s="102"/>
      <c r="J1135" s="102">
        <v>2.4</v>
      </c>
      <c r="K1135" s="218">
        <v>52</v>
      </c>
      <c r="L1135" s="218">
        <v>81</v>
      </c>
      <c r="M1135" s="218">
        <v>1500</v>
      </c>
      <c r="N1135" s="218">
        <v>48</v>
      </c>
      <c r="O1135" s="218">
        <v>2100</v>
      </c>
      <c r="P1135" s="112"/>
      <c r="Q1135">
        <f t="shared" si="34"/>
        <v>2020</v>
      </c>
      <c r="R1135">
        <f t="shared" si="35"/>
        <v>6</v>
      </c>
    </row>
    <row r="1136" spans="1:18">
      <c r="A1136" s="117">
        <v>13</v>
      </c>
      <c r="B1136" s="102" t="s">
        <v>257</v>
      </c>
      <c r="C1136" s="206">
        <v>44062</v>
      </c>
      <c r="D1136" s="102">
        <v>17.2</v>
      </c>
      <c r="E1136" s="102">
        <v>2.9</v>
      </c>
      <c r="F1136" s="218">
        <v>30</v>
      </c>
      <c r="G1136" s="102">
        <v>7.58</v>
      </c>
      <c r="H1136" s="218">
        <v>1.4</v>
      </c>
      <c r="I1136" s="102"/>
      <c r="J1136" s="102">
        <v>2.6</v>
      </c>
      <c r="K1136" s="218">
        <v>110</v>
      </c>
      <c r="L1136" s="218">
        <v>170</v>
      </c>
      <c r="M1136" s="218">
        <v>94</v>
      </c>
      <c r="N1136" s="218">
        <v>670</v>
      </c>
      <c r="O1136" s="218">
        <v>1700</v>
      </c>
      <c r="P1136" s="112"/>
      <c r="Q1136">
        <f t="shared" si="34"/>
        <v>2020</v>
      </c>
      <c r="R1136">
        <f t="shared" si="35"/>
        <v>8</v>
      </c>
    </row>
    <row r="1137" spans="1:18">
      <c r="A1137" s="117">
        <v>13</v>
      </c>
      <c r="B1137" s="102" t="s">
        <v>257</v>
      </c>
      <c r="C1137" s="206">
        <v>44117</v>
      </c>
      <c r="D1137" s="102">
        <v>7.9</v>
      </c>
      <c r="E1137" s="102">
        <v>10.9</v>
      </c>
      <c r="F1137" s="218">
        <v>92</v>
      </c>
      <c r="G1137" s="102">
        <v>8.0399999999999991</v>
      </c>
      <c r="H1137" s="218">
        <v>1.9</v>
      </c>
      <c r="I1137" s="102"/>
      <c r="J1137" s="102">
        <v>1.6</v>
      </c>
      <c r="K1137" s="218">
        <v>49</v>
      </c>
      <c r="L1137" s="218">
        <v>70</v>
      </c>
      <c r="M1137" s="218">
        <v>5900</v>
      </c>
      <c r="N1137" s="218">
        <v>12</v>
      </c>
      <c r="O1137" s="218">
        <v>6200</v>
      </c>
      <c r="P1137" s="112"/>
      <c r="Q1137">
        <f t="shared" si="34"/>
        <v>2020</v>
      </c>
      <c r="R1137">
        <f t="shared" si="35"/>
        <v>10</v>
      </c>
    </row>
    <row r="1138" spans="1:18">
      <c r="A1138" s="117">
        <v>13</v>
      </c>
      <c r="B1138" s="102" t="s">
        <v>257</v>
      </c>
      <c r="C1138" s="206">
        <v>44180</v>
      </c>
      <c r="D1138" s="102">
        <v>5.6</v>
      </c>
      <c r="E1138" s="102">
        <v>11.7</v>
      </c>
      <c r="F1138" s="218">
        <v>93</v>
      </c>
      <c r="G1138" s="102">
        <v>8.19</v>
      </c>
      <c r="H1138" s="218">
        <v>2.6</v>
      </c>
      <c r="I1138" s="102"/>
      <c r="J1138" s="102">
        <v>1.2</v>
      </c>
      <c r="K1138" s="218">
        <v>40</v>
      </c>
      <c r="L1138" s="218">
        <v>55</v>
      </c>
      <c r="M1138" s="218">
        <v>5200</v>
      </c>
      <c r="N1138" s="218">
        <v>31</v>
      </c>
      <c r="O1138" s="218">
        <v>5900</v>
      </c>
      <c r="P1138" s="112"/>
      <c r="Q1138">
        <f t="shared" si="34"/>
        <v>2020</v>
      </c>
      <c r="R1138">
        <f t="shared" si="35"/>
        <v>12</v>
      </c>
    </row>
    <row r="1139" spans="1:18">
      <c r="A1139" s="117">
        <v>15</v>
      </c>
      <c r="B1139" s="102" t="s">
        <v>258</v>
      </c>
      <c r="C1139" s="206">
        <v>43879</v>
      </c>
      <c r="D1139" s="102">
        <v>5.3</v>
      </c>
      <c r="E1139" s="102">
        <v>11.3</v>
      </c>
      <c r="F1139" s="218">
        <v>89</v>
      </c>
      <c r="G1139" s="102">
        <v>7.77</v>
      </c>
      <c r="H1139" s="218">
        <v>50</v>
      </c>
      <c r="I1139" s="102"/>
      <c r="J1139" s="102">
        <v>2.2999999999999998</v>
      </c>
      <c r="K1139" s="218">
        <v>48</v>
      </c>
      <c r="L1139" s="218">
        <v>140</v>
      </c>
      <c r="M1139" s="218">
        <v>7900</v>
      </c>
      <c r="N1139" s="218">
        <v>47</v>
      </c>
      <c r="O1139" s="218">
        <v>8100</v>
      </c>
      <c r="P1139" s="112"/>
      <c r="Q1139">
        <f t="shared" si="34"/>
        <v>2020</v>
      </c>
      <c r="R1139">
        <f t="shared" si="35"/>
        <v>2</v>
      </c>
    </row>
    <row r="1140" spans="1:18">
      <c r="A1140" s="117">
        <v>15</v>
      </c>
      <c r="B1140" s="102" t="s">
        <v>258</v>
      </c>
      <c r="C1140" s="206">
        <v>43942</v>
      </c>
      <c r="D1140" s="102">
        <v>7.5</v>
      </c>
      <c r="E1140" s="102">
        <v>11.8</v>
      </c>
      <c r="F1140" s="218">
        <v>99</v>
      </c>
      <c r="G1140" s="102">
        <v>8.0299999999999994</v>
      </c>
      <c r="H1140" s="218">
        <v>3.4</v>
      </c>
      <c r="I1140" s="102"/>
      <c r="J1140" s="102">
        <v>1.6599999999999993</v>
      </c>
      <c r="K1140" s="218">
        <v>9.3000000000000007</v>
      </c>
      <c r="L1140" s="218">
        <v>32</v>
      </c>
      <c r="M1140" s="218">
        <v>4100</v>
      </c>
      <c r="N1140" s="218">
        <v>34</v>
      </c>
      <c r="O1140" s="218">
        <v>4400</v>
      </c>
      <c r="P1140" s="112"/>
      <c r="Q1140">
        <f t="shared" si="34"/>
        <v>2020</v>
      </c>
      <c r="R1140">
        <f t="shared" si="35"/>
        <v>4</v>
      </c>
    </row>
    <row r="1141" spans="1:18">
      <c r="A1141" s="117">
        <v>15</v>
      </c>
      <c r="B1141" s="102" t="s">
        <v>258</v>
      </c>
      <c r="C1141" s="206">
        <v>43992</v>
      </c>
      <c r="D1141" s="102">
        <v>13.5</v>
      </c>
      <c r="E1141" s="102">
        <v>9.5</v>
      </c>
      <c r="F1141" s="218">
        <v>91</v>
      </c>
      <c r="G1141" s="102">
        <v>8.06</v>
      </c>
      <c r="H1141" s="218">
        <v>2.5</v>
      </c>
      <c r="I1141" s="102"/>
      <c r="J1141" s="102">
        <v>2</v>
      </c>
      <c r="K1141" s="218">
        <v>26</v>
      </c>
      <c r="L1141" s="218">
        <v>53</v>
      </c>
      <c r="M1141" s="218">
        <v>2400</v>
      </c>
      <c r="N1141" s="218">
        <v>35</v>
      </c>
      <c r="O1141" s="218">
        <v>2900</v>
      </c>
      <c r="P1141" s="112"/>
      <c r="Q1141">
        <f t="shared" si="34"/>
        <v>2020</v>
      </c>
      <c r="R1141">
        <f t="shared" si="35"/>
        <v>6</v>
      </c>
    </row>
    <row r="1142" spans="1:18">
      <c r="A1142" s="117">
        <v>15</v>
      </c>
      <c r="B1142" s="102" t="s">
        <v>258</v>
      </c>
      <c r="C1142" s="206">
        <v>44062</v>
      </c>
      <c r="D1142" s="102">
        <v>17.5</v>
      </c>
      <c r="E1142" s="102">
        <v>5</v>
      </c>
      <c r="F1142" s="218">
        <v>52</v>
      </c>
      <c r="G1142" s="102">
        <v>7.65</v>
      </c>
      <c r="H1142" s="218">
        <v>1.7</v>
      </c>
      <c r="I1142" s="102"/>
      <c r="J1142" s="102">
        <v>3.6</v>
      </c>
      <c r="K1142" s="218">
        <v>20</v>
      </c>
      <c r="L1142" s="218">
        <v>64</v>
      </c>
      <c r="M1142" s="218">
        <v>770</v>
      </c>
      <c r="N1142" s="218">
        <v>28</v>
      </c>
      <c r="O1142" s="218">
        <v>1300</v>
      </c>
      <c r="P1142" s="112"/>
      <c r="Q1142">
        <f t="shared" si="34"/>
        <v>2020</v>
      </c>
      <c r="R1142">
        <f t="shared" si="35"/>
        <v>8</v>
      </c>
    </row>
    <row r="1143" spans="1:18">
      <c r="A1143" s="117">
        <v>15</v>
      </c>
      <c r="B1143" s="102" t="s">
        <v>258</v>
      </c>
      <c r="C1143" s="206">
        <v>44117</v>
      </c>
      <c r="D1143" s="102">
        <v>7.9</v>
      </c>
      <c r="E1143" s="102">
        <v>10.1</v>
      </c>
      <c r="F1143" s="218">
        <v>85</v>
      </c>
      <c r="G1143" s="102">
        <v>7.87</v>
      </c>
      <c r="H1143" s="218">
        <v>7.6</v>
      </c>
      <c r="I1143" s="102"/>
      <c r="J1143" s="102">
        <v>2</v>
      </c>
      <c r="K1143" s="218">
        <v>58</v>
      </c>
      <c r="L1143" s="218">
        <v>96</v>
      </c>
      <c r="M1143" s="218">
        <v>5300</v>
      </c>
      <c r="N1143" s="218">
        <v>64</v>
      </c>
      <c r="O1143" s="218">
        <v>5600</v>
      </c>
      <c r="P1143" s="112"/>
      <c r="Q1143">
        <f t="shared" si="34"/>
        <v>2020</v>
      </c>
      <c r="R1143">
        <f t="shared" si="35"/>
        <v>10</v>
      </c>
    </row>
    <row r="1144" spans="1:18">
      <c r="A1144" s="117">
        <v>15</v>
      </c>
      <c r="B1144" s="102" t="s">
        <v>258</v>
      </c>
      <c r="C1144" s="206">
        <v>44180</v>
      </c>
      <c r="D1144" s="102">
        <v>5.9</v>
      </c>
      <c r="E1144" s="102">
        <v>11.5</v>
      </c>
      <c r="F1144" s="218">
        <v>92</v>
      </c>
      <c r="G1144" s="102">
        <v>8.07</v>
      </c>
      <c r="H1144" s="218">
        <v>5.2</v>
      </c>
      <c r="I1144" s="102"/>
      <c r="J1144" s="102">
        <v>1</v>
      </c>
      <c r="K1144" s="218">
        <v>29</v>
      </c>
      <c r="L1144" s="218">
        <v>53</v>
      </c>
      <c r="M1144" s="218">
        <v>3700</v>
      </c>
      <c r="N1144" s="218">
        <v>77</v>
      </c>
      <c r="O1144" s="218">
        <v>4100</v>
      </c>
      <c r="P1144" s="112"/>
      <c r="Q1144">
        <f t="shared" si="34"/>
        <v>2020</v>
      </c>
      <c r="R1144">
        <f t="shared" si="35"/>
        <v>12</v>
      </c>
    </row>
    <row r="1145" spans="1:18">
      <c r="A1145" s="117">
        <v>17</v>
      </c>
      <c r="B1145" s="102" t="s">
        <v>259</v>
      </c>
      <c r="C1145" s="206">
        <v>43879</v>
      </c>
      <c r="D1145" s="102">
        <v>5.2</v>
      </c>
      <c r="E1145" s="102">
        <v>11.7</v>
      </c>
      <c r="F1145" s="218">
        <v>92</v>
      </c>
      <c r="G1145" s="102">
        <v>7.69</v>
      </c>
      <c r="H1145" s="218">
        <v>10</v>
      </c>
      <c r="I1145" s="102"/>
      <c r="J1145" s="102">
        <v>2</v>
      </c>
      <c r="K1145" s="218">
        <v>26</v>
      </c>
      <c r="L1145" s="218">
        <v>66</v>
      </c>
      <c r="M1145" s="218">
        <v>4800</v>
      </c>
      <c r="N1145" s="218">
        <v>19</v>
      </c>
      <c r="O1145" s="218">
        <v>4900</v>
      </c>
      <c r="P1145" s="112"/>
      <c r="Q1145">
        <f t="shared" si="34"/>
        <v>2020</v>
      </c>
      <c r="R1145">
        <f t="shared" si="35"/>
        <v>2</v>
      </c>
    </row>
    <row r="1146" spans="1:18">
      <c r="A1146" s="117">
        <v>17</v>
      </c>
      <c r="B1146" s="102" t="s">
        <v>259</v>
      </c>
      <c r="C1146" s="206">
        <v>43942</v>
      </c>
      <c r="D1146" s="102">
        <v>7.7</v>
      </c>
      <c r="E1146" s="102">
        <v>11.7</v>
      </c>
      <c r="F1146" s="218">
        <v>98</v>
      </c>
      <c r="G1146" s="102">
        <v>8.0399999999999991</v>
      </c>
      <c r="H1146" s="218">
        <v>5.8</v>
      </c>
      <c r="I1146" s="102"/>
      <c r="J1146" s="102">
        <v>1.4999999999999991</v>
      </c>
      <c r="K1146" s="218">
        <v>13</v>
      </c>
      <c r="L1146" s="218">
        <v>45</v>
      </c>
      <c r="M1146" s="218">
        <v>1800</v>
      </c>
      <c r="N1146" s="218">
        <v>26</v>
      </c>
      <c r="O1146" s="218">
        <v>2100</v>
      </c>
      <c r="P1146" s="112"/>
      <c r="Q1146">
        <f t="shared" si="34"/>
        <v>2020</v>
      </c>
      <c r="R1146">
        <f t="shared" si="35"/>
        <v>4</v>
      </c>
    </row>
    <row r="1147" spans="1:18">
      <c r="A1147" s="117">
        <v>17</v>
      </c>
      <c r="B1147" s="102" t="s">
        <v>259</v>
      </c>
      <c r="C1147" s="206">
        <v>43992</v>
      </c>
      <c r="D1147" s="102">
        <v>13.9</v>
      </c>
      <c r="E1147" s="102">
        <v>10.199999999999999</v>
      </c>
      <c r="F1147" s="218">
        <v>99</v>
      </c>
      <c r="G1147" s="102">
        <v>8.06</v>
      </c>
      <c r="H1147" s="218">
        <v>5</v>
      </c>
      <c r="I1147" s="102"/>
      <c r="J1147" s="102">
        <v>2.2999999999999998</v>
      </c>
      <c r="K1147" s="218">
        <v>25</v>
      </c>
      <c r="L1147" s="218">
        <v>60</v>
      </c>
      <c r="M1147" s="218">
        <v>1000</v>
      </c>
      <c r="N1147" s="218">
        <v>36</v>
      </c>
      <c r="O1147" s="218">
        <v>1500</v>
      </c>
      <c r="P1147" s="112"/>
      <c r="Q1147">
        <f t="shared" si="34"/>
        <v>2020</v>
      </c>
      <c r="R1147">
        <f t="shared" si="35"/>
        <v>6</v>
      </c>
    </row>
    <row r="1148" spans="1:18">
      <c r="A1148" s="117">
        <v>17</v>
      </c>
      <c r="B1148" s="102" t="s">
        <v>259</v>
      </c>
      <c r="C1148" s="206">
        <v>44062</v>
      </c>
      <c r="D1148" s="102">
        <v>17.399999999999999</v>
      </c>
      <c r="E1148" s="102">
        <v>8.1999999999999993</v>
      </c>
      <c r="F1148" s="218">
        <v>86</v>
      </c>
      <c r="G1148" s="102">
        <v>7.9</v>
      </c>
      <c r="H1148" s="218">
        <v>2.4</v>
      </c>
      <c r="I1148" s="102"/>
      <c r="J1148" s="102">
        <v>1.6</v>
      </c>
      <c r="K1148" s="218">
        <v>21</v>
      </c>
      <c r="L1148" s="218">
        <v>62</v>
      </c>
      <c r="M1148" s="218">
        <v>1000</v>
      </c>
      <c r="N1148" s="218">
        <v>47</v>
      </c>
      <c r="O1148" s="218">
        <v>1500</v>
      </c>
      <c r="P1148" s="112"/>
      <c r="Q1148">
        <f t="shared" si="34"/>
        <v>2020</v>
      </c>
      <c r="R1148">
        <f t="shared" si="35"/>
        <v>8</v>
      </c>
    </row>
    <row r="1149" spans="1:18">
      <c r="A1149" s="117">
        <v>17</v>
      </c>
      <c r="B1149" s="102" t="s">
        <v>259</v>
      </c>
      <c r="C1149" s="206">
        <v>44117</v>
      </c>
      <c r="D1149" s="102">
        <v>7.2</v>
      </c>
      <c r="E1149" s="102">
        <v>11</v>
      </c>
      <c r="F1149" s="218">
        <v>91</v>
      </c>
      <c r="G1149" s="102">
        <v>7.85</v>
      </c>
      <c r="H1149" s="218">
        <v>2.6</v>
      </c>
      <c r="I1149" s="102"/>
      <c r="J1149" s="102">
        <v>1.6</v>
      </c>
      <c r="K1149" s="218">
        <v>23</v>
      </c>
      <c r="L1149" s="218">
        <v>46</v>
      </c>
      <c r="M1149" s="218">
        <v>1300</v>
      </c>
      <c r="N1149" s="218">
        <v>15</v>
      </c>
      <c r="O1149" s="218">
        <v>1900</v>
      </c>
      <c r="P1149" s="112"/>
      <c r="Q1149">
        <f t="shared" si="34"/>
        <v>2020</v>
      </c>
      <c r="R1149">
        <f t="shared" si="35"/>
        <v>10</v>
      </c>
    </row>
    <row r="1150" spans="1:18">
      <c r="A1150" s="117">
        <v>17</v>
      </c>
      <c r="B1150" s="102" t="s">
        <v>259</v>
      </c>
      <c r="C1150" s="206">
        <v>44180</v>
      </c>
      <c r="D1150" s="102">
        <v>5.6</v>
      </c>
      <c r="E1150" s="102">
        <v>11.6</v>
      </c>
      <c r="F1150" s="218">
        <v>92</v>
      </c>
      <c r="G1150" s="102">
        <v>8.02</v>
      </c>
      <c r="H1150" s="218">
        <v>3.4</v>
      </c>
      <c r="I1150" s="102"/>
      <c r="J1150" s="102">
        <v>1.2</v>
      </c>
      <c r="K1150" s="218">
        <v>23</v>
      </c>
      <c r="L1150" s="218">
        <v>38</v>
      </c>
      <c r="M1150" s="218">
        <v>2300</v>
      </c>
      <c r="N1150" s="218">
        <v>37</v>
      </c>
      <c r="O1150" s="218">
        <v>3100</v>
      </c>
      <c r="P1150" s="112"/>
      <c r="Q1150">
        <f t="shared" si="34"/>
        <v>2020</v>
      </c>
      <c r="R1150">
        <f t="shared" si="35"/>
        <v>12</v>
      </c>
    </row>
    <row r="1151" spans="1:18">
      <c r="A1151" s="117">
        <v>19</v>
      </c>
      <c r="B1151" s="102" t="s">
        <v>260</v>
      </c>
      <c r="C1151" s="206">
        <v>43844</v>
      </c>
      <c r="D1151" s="102">
        <v>5.6</v>
      </c>
      <c r="E1151" s="102">
        <v>12.1</v>
      </c>
      <c r="F1151" s="218">
        <v>96</v>
      </c>
      <c r="G1151" s="102">
        <v>7.94</v>
      </c>
      <c r="H1151" s="218">
        <v>13</v>
      </c>
      <c r="I1151" s="102"/>
      <c r="J1151" s="102">
        <v>2.4</v>
      </c>
      <c r="K1151" s="218">
        <v>38</v>
      </c>
      <c r="L1151" s="218">
        <v>87</v>
      </c>
      <c r="M1151" s="218">
        <v>10000</v>
      </c>
      <c r="N1151" s="218">
        <v>100</v>
      </c>
      <c r="O1151" s="218">
        <v>11000</v>
      </c>
      <c r="P1151" s="112"/>
      <c r="Q1151">
        <f t="shared" ref="Q1151:Q1194" si="36">YEAR(C1151)</f>
        <v>2020</v>
      </c>
      <c r="R1151">
        <f t="shared" ref="R1151:R1194" si="37">MONTH(C1151)</f>
        <v>1</v>
      </c>
    </row>
    <row r="1152" spans="1:18">
      <c r="A1152" s="117">
        <v>19</v>
      </c>
      <c r="B1152" s="102" t="s">
        <v>260</v>
      </c>
      <c r="C1152" s="206">
        <v>43879</v>
      </c>
      <c r="D1152" s="102">
        <v>5.6</v>
      </c>
      <c r="E1152" s="102">
        <v>12</v>
      </c>
      <c r="F1152" s="218">
        <v>96</v>
      </c>
      <c r="G1152" s="102">
        <v>7.79</v>
      </c>
      <c r="H1152" s="218">
        <v>27</v>
      </c>
      <c r="I1152" s="102"/>
      <c r="J1152" s="102">
        <v>2.8</v>
      </c>
      <c r="K1152" s="218">
        <v>54</v>
      </c>
      <c r="L1152" s="218">
        <v>140</v>
      </c>
      <c r="M1152" s="218">
        <v>7600</v>
      </c>
      <c r="N1152" s="218">
        <v>55</v>
      </c>
      <c r="O1152" s="218">
        <v>7700</v>
      </c>
      <c r="P1152" s="112"/>
      <c r="Q1152">
        <f t="shared" si="36"/>
        <v>2020</v>
      </c>
      <c r="R1152">
        <f t="shared" si="37"/>
        <v>2</v>
      </c>
    </row>
    <row r="1153" spans="1:18">
      <c r="A1153" s="117">
        <v>19</v>
      </c>
      <c r="B1153" s="102" t="s">
        <v>260</v>
      </c>
      <c r="C1153" s="206">
        <v>43907</v>
      </c>
      <c r="D1153" s="102">
        <v>7.1</v>
      </c>
      <c r="E1153" s="102">
        <v>12.5</v>
      </c>
      <c r="F1153" s="218">
        <v>103</v>
      </c>
      <c r="G1153" s="102">
        <v>7.98</v>
      </c>
      <c r="H1153" s="218">
        <v>4</v>
      </c>
      <c r="I1153" s="102"/>
      <c r="J1153" s="102">
        <v>3.5</v>
      </c>
      <c r="K1153" s="218">
        <v>4.8</v>
      </c>
      <c r="L1153" s="218">
        <v>59</v>
      </c>
      <c r="M1153" s="218">
        <v>7400</v>
      </c>
      <c r="N1153" s="218">
        <v>150</v>
      </c>
      <c r="O1153" s="218">
        <v>6900</v>
      </c>
      <c r="P1153" s="112"/>
      <c r="Q1153">
        <f t="shared" si="36"/>
        <v>2020</v>
      </c>
      <c r="R1153">
        <f t="shared" si="37"/>
        <v>3</v>
      </c>
    </row>
    <row r="1154" spans="1:18">
      <c r="A1154" s="117">
        <v>19</v>
      </c>
      <c r="B1154" s="102" t="s">
        <v>260</v>
      </c>
      <c r="C1154" s="206">
        <v>43942</v>
      </c>
      <c r="D1154" s="102">
        <v>11.1</v>
      </c>
      <c r="E1154" s="102">
        <v>10.9</v>
      </c>
      <c r="F1154" s="218">
        <v>99</v>
      </c>
      <c r="G1154" s="102">
        <v>8.0500000000000007</v>
      </c>
      <c r="H1154" s="218">
        <v>1.5</v>
      </c>
      <c r="I1154" s="102"/>
      <c r="J1154" s="102">
        <v>2.5299999999999994</v>
      </c>
      <c r="K1154" s="218">
        <v>3.5</v>
      </c>
      <c r="L1154" s="218">
        <v>39</v>
      </c>
      <c r="M1154" s="218">
        <v>3700</v>
      </c>
      <c r="N1154" s="218">
        <v>34</v>
      </c>
      <c r="O1154" s="218">
        <v>4200</v>
      </c>
      <c r="P1154" s="112"/>
      <c r="Q1154">
        <f t="shared" si="36"/>
        <v>2020</v>
      </c>
      <c r="R1154">
        <f t="shared" si="37"/>
        <v>4</v>
      </c>
    </row>
    <row r="1155" spans="1:18">
      <c r="A1155" s="117">
        <v>19</v>
      </c>
      <c r="B1155" s="102" t="s">
        <v>260</v>
      </c>
      <c r="C1155" s="206">
        <v>43969</v>
      </c>
      <c r="D1155" s="102">
        <v>11.5</v>
      </c>
      <c r="E1155" s="102">
        <v>8</v>
      </c>
      <c r="F1155" s="218">
        <v>74</v>
      </c>
      <c r="G1155" s="102">
        <v>7.83</v>
      </c>
      <c r="H1155" s="218">
        <v>1.7</v>
      </c>
      <c r="I1155" s="102"/>
      <c r="J1155" s="102">
        <v>3.1</v>
      </c>
      <c r="K1155" s="218">
        <v>12</v>
      </c>
      <c r="L1155" s="218">
        <v>48</v>
      </c>
      <c r="M1155" s="218">
        <v>2200</v>
      </c>
      <c r="N1155" s="218">
        <v>72</v>
      </c>
      <c r="O1155" s="218">
        <v>2700</v>
      </c>
      <c r="P1155" s="112"/>
      <c r="Q1155">
        <f t="shared" si="36"/>
        <v>2020</v>
      </c>
      <c r="R1155">
        <f t="shared" si="37"/>
        <v>5</v>
      </c>
    </row>
    <row r="1156" spans="1:18">
      <c r="A1156" s="117">
        <v>19</v>
      </c>
      <c r="B1156" s="102" t="s">
        <v>260</v>
      </c>
      <c r="C1156" s="206">
        <v>43992</v>
      </c>
      <c r="D1156" s="102">
        <v>15.7</v>
      </c>
      <c r="E1156" s="102">
        <v>8.3000000000000007</v>
      </c>
      <c r="F1156" s="218">
        <v>84</v>
      </c>
      <c r="G1156" s="102">
        <v>7.8</v>
      </c>
      <c r="H1156" s="218">
        <v>1.9</v>
      </c>
      <c r="I1156" s="102"/>
      <c r="J1156" s="102">
        <v>2</v>
      </c>
      <c r="K1156" s="218">
        <v>42</v>
      </c>
      <c r="L1156" s="218">
        <v>73</v>
      </c>
      <c r="M1156" s="218">
        <v>4100</v>
      </c>
      <c r="N1156" s="218">
        <v>67</v>
      </c>
      <c r="O1156" s="218">
        <v>4300</v>
      </c>
      <c r="P1156" s="112"/>
      <c r="Q1156">
        <f t="shared" si="36"/>
        <v>2020</v>
      </c>
      <c r="R1156">
        <f t="shared" si="37"/>
        <v>6</v>
      </c>
    </row>
    <row r="1157" spans="1:18">
      <c r="A1157" s="117">
        <v>19</v>
      </c>
      <c r="B1157" s="102" t="s">
        <v>260</v>
      </c>
      <c r="C1157" s="206">
        <v>44026</v>
      </c>
      <c r="D1157" s="102">
        <v>14.7</v>
      </c>
      <c r="E1157" s="102">
        <v>8.3000000000000007</v>
      </c>
      <c r="F1157" s="218">
        <v>82</v>
      </c>
      <c r="G1157" s="102">
        <v>7.83</v>
      </c>
      <c r="H1157" s="218">
        <v>2.1</v>
      </c>
      <c r="I1157" s="102"/>
      <c r="J1157" s="102">
        <v>1.4</v>
      </c>
      <c r="K1157" s="218">
        <v>65</v>
      </c>
      <c r="L1157" s="218">
        <v>100</v>
      </c>
      <c r="M1157" s="218">
        <v>1700</v>
      </c>
      <c r="N1157" s="218">
        <v>55</v>
      </c>
      <c r="O1157" s="218">
        <v>2300</v>
      </c>
      <c r="P1157" s="112"/>
      <c r="Q1157">
        <f t="shared" si="36"/>
        <v>2020</v>
      </c>
      <c r="R1157">
        <f t="shared" si="37"/>
        <v>7</v>
      </c>
    </row>
    <row r="1158" spans="1:18">
      <c r="A1158" s="117">
        <v>19</v>
      </c>
      <c r="B1158" s="102" t="s">
        <v>260</v>
      </c>
      <c r="C1158" s="206">
        <v>44062</v>
      </c>
      <c r="D1158" s="102">
        <v>18.899999999999999</v>
      </c>
      <c r="E1158" s="102">
        <v>6.2</v>
      </c>
      <c r="F1158" s="218">
        <v>67</v>
      </c>
      <c r="G1158" s="102">
        <v>7.7</v>
      </c>
      <c r="H1158" s="218">
        <v>1.7</v>
      </c>
      <c r="I1158" s="102"/>
      <c r="J1158" s="102">
        <v>1.3</v>
      </c>
      <c r="K1158" s="218">
        <v>82</v>
      </c>
      <c r="L1158" s="218">
        <v>130</v>
      </c>
      <c r="M1158" s="218">
        <v>4300</v>
      </c>
      <c r="N1158" s="218">
        <v>66</v>
      </c>
      <c r="O1158" s="218">
        <v>5600</v>
      </c>
      <c r="P1158" s="112"/>
      <c r="Q1158">
        <f t="shared" si="36"/>
        <v>2020</v>
      </c>
      <c r="R1158">
        <f t="shared" si="37"/>
        <v>8</v>
      </c>
    </row>
    <row r="1159" spans="1:18">
      <c r="A1159" s="117">
        <v>19</v>
      </c>
      <c r="B1159" s="102" t="s">
        <v>260</v>
      </c>
      <c r="C1159" s="206">
        <v>44090</v>
      </c>
      <c r="D1159" s="102">
        <v>16.3</v>
      </c>
      <c r="E1159" s="102">
        <v>6.9</v>
      </c>
      <c r="F1159" s="218">
        <v>71</v>
      </c>
      <c r="G1159" s="102">
        <v>7.72</v>
      </c>
      <c r="H1159" s="218">
        <v>1.2</v>
      </c>
      <c r="I1159" s="102"/>
      <c r="J1159" s="102">
        <v>1.6</v>
      </c>
      <c r="K1159" s="218">
        <v>54</v>
      </c>
      <c r="L1159" s="218">
        <v>80</v>
      </c>
      <c r="M1159" s="218">
        <v>2800</v>
      </c>
      <c r="N1159" s="218">
        <v>41</v>
      </c>
      <c r="O1159" s="218">
        <v>3400</v>
      </c>
      <c r="P1159" s="112"/>
      <c r="Q1159">
        <f t="shared" si="36"/>
        <v>2020</v>
      </c>
      <c r="R1159">
        <f t="shared" si="37"/>
        <v>9</v>
      </c>
    </row>
    <row r="1160" spans="1:18">
      <c r="A1160" s="117">
        <v>19</v>
      </c>
      <c r="B1160" s="102" t="s">
        <v>260</v>
      </c>
      <c r="C1160" s="206">
        <v>44117</v>
      </c>
      <c r="D1160" s="102">
        <v>10.5</v>
      </c>
      <c r="E1160" s="102">
        <v>9.4</v>
      </c>
      <c r="F1160" s="218">
        <v>85</v>
      </c>
      <c r="G1160" s="102">
        <v>7.83</v>
      </c>
      <c r="H1160" s="218">
        <v>1.3</v>
      </c>
      <c r="I1160" s="102"/>
      <c r="J1160" s="102">
        <v>1.5</v>
      </c>
      <c r="K1160" s="218">
        <v>66</v>
      </c>
      <c r="L1160" s="218">
        <v>98</v>
      </c>
      <c r="M1160" s="218">
        <v>2000</v>
      </c>
      <c r="N1160" s="218">
        <v>32</v>
      </c>
      <c r="O1160" s="218">
        <v>2600</v>
      </c>
      <c r="P1160" s="112"/>
      <c r="Q1160">
        <f t="shared" si="36"/>
        <v>2020</v>
      </c>
      <c r="R1160">
        <f t="shared" si="37"/>
        <v>10</v>
      </c>
    </row>
    <row r="1161" spans="1:18">
      <c r="A1161" s="117">
        <v>19</v>
      </c>
      <c r="B1161" s="102" t="s">
        <v>260</v>
      </c>
      <c r="C1161" s="206">
        <v>44153</v>
      </c>
      <c r="D1161" s="102">
        <v>11</v>
      </c>
      <c r="E1161" s="102">
        <v>9</v>
      </c>
      <c r="F1161" s="218">
        <v>82</v>
      </c>
      <c r="G1161" s="102">
        <v>7.96</v>
      </c>
      <c r="H1161" s="218">
        <v>1.8</v>
      </c>
      <c r="I1161" s="102"/>
      <c r="J1161" s="102">
        <v>2.5</v>
      </c>
      <c r="K1161" s="218">
        <v>41</v>
      </c>
      <c r="L1161" s="218">
        <v>68</v>
      </c>
      <c r="M1161" s="218">
        <v>5300</v>
      </c>
      <c r="N1161" s="218">
        <v>210</v>
      </c>
      <c r="O1161" s="218">
        <v>6100</v>
      </c>
      <c r="P1161" s="112"/>
      <c r="Q1161">
        <f t="shared" si="36"/>
        <v>2020</v>
      </c>
      <c r="R1161">
        <f t="shared" si="37"/>
        <v>11</v>
      </c>
    </row>
    <row r="1162" spans="1:18">
      <c r="A1162" s="117">
        <v>19</v>
      </c>
      <c r="B1162" s="102" t="s">
        <v>260</v>
      </c>
      <c r="C1162" s="206">
        <v>44180</v>
      </c>
      <c r="D1162" s="102">
        <v>6.9</v>
      </c>
      <c r="E1162" s="102">
        <v>10.7</v>
      </c>
      <c r="F1162" s="218">
        <v>88</v>
      </c>
      <c r="G1162" s="102">
        <v>7.96</v>
      </c>
      <c r="H1162" s="218">
        <v>3.3</v>
      </c>
      <c r="I1162" s="102"/>
      <c r="J1162" s="102">
        <v>2.1</v>
      </c>
      <c r="K1162" s="218">
        <v>110</v>
      </c>
      <c r="L1162" s="218">
        <v>140</v>
      </c>
      <c r="M1162" s="218">
        <v>5800</v>
      </c>
      <c r="N1162" s="218">
        <v>170</v>
      </c>
      <c r="O1162" s="218">
        <v>6600</v>
      </c>
      <c r="P1162" s="112"/>
      <c r="Q1162">
        <f t="shared" si="36"/>
        <v>2020</v>
      </c>
      <c r="R1162">
        <f t="shared" si="37"/>
        <v>12</v>
      </c>
    </row>
    <row r="1163" spans="1:18">
      <c r="A1163" s="117">
        <v>21</v>
      </c>
      <c r="B1163" s="102" t="s">
        <v>261</v>
      </c>
      <c r="C1163" s="206">
        <v>43879</v>
      </c>
      <c r="D1163" s="102">
        <v>5.4</v>
      </c>
      <c r="E1163" s="102">
        <v>12.1</v>
      </c>
      <c r="F1163" s="218">
        <v>96</v>
      </c>
      <c r="G1163" s="102">
        <v>7.81</v>
      </c>
      <c r="H1163" s="218">
        <v>24</v>
      </c>
      <c r="I1163" s="102"/>
      <c r="J1163" s="102">
        <v>2.8</v>
      </c>
      <c r="K1163" s="218">
        <v>56</v>
      </c>
      <c r="L1163" s="218">
        <v>140</v>
      </c>
      <c r="M1163" s="218">
        <v>7500</v>
      </c>
      <c r="N1163" s="218">
        <v>22</v>
      </c>
      <c r="O1163" s="218">
        <v>7700</v>
      </c>
      <c r="P1163" s="112"/>
      <c r="Q1163">
        <f t="shared" si="36"/>
        <v>2020</v>
      </c>
      <c r="R1163">
        <f t="shared" si="37"/>
        <v>2</v>
      </c>
    </row>
    <row r="1164" spans="1:18">
      <c r="A1164" s="117">
        <v>21</v>
      </c>
      <c r="B1164" s="102" t="s">
        <v>261</v>
      </c>
      <c r="C1164" s="206">
        <v>43942</v>
      </c>
      <c r="D1164" s="102">
        <v>9.9</v>
      </c>
      <c r="E1164" s="102">
        <v>13.1</v>
      </c>
      <c r="F1164" s="218">
        <v>116</v>
      </c>
      <c r="G1164" s="102">
        <v>8.24</v>
      </c>
      <c r="H1164" s="218">
        <v>1.5</v>
      </c>
      <c r="I1164" s="102"/>
      <c r="J1164" s="102">
        <v>2.4300000000000006</v>
      </c>
      <c r="K1164" s="218">
        <v>3.4</v>
      </c>
      <c r="L1164" s="218">
        <v>38</v>
      </c>
      <c r="M1164" s="218">
        <v>4100</v>
      </c>
      <c r="N1164" s="218">
        <v>15</v>
      </c>
      <c r="O1164" s="218">
        <v>4300</v>
      </c>
      <c r="P1164" s="112"/>
      <c r="Q1164">
        <f t="shared" si="36"/>
        <v>2020</v>
      </c>
      <c r="R1164">
        <f t="shared" si="37"/>
        <v>4</v>
      </c>
    </row>
    <row r="1165" spans="1:18">
      <c r="A1165" s="117">
        <v>21</v>
      </c>
      <c r="B1165" s="102" t="s">
        <v>261</v>
      </c>
      <c r="C1165" s="206">
        <v>43992</v>
      </c>
      <c r="D1165" s="102">
        <v>16</v>
      </c>
      <c r="E1165" s="102">
        <v>10.1</v>
      </c>
      <c r="F1165" s="218">
        <v>103</v>
      </c>
      <c r="G1165" s="102">
        <v>8.14</v>
      </c>
      <c r="H1165" s="218">
        <v>1.6</v>
      </c>
      <c r="I1165" s="102"/>
      <c r="J1165" s="102">
        <v>2.2999999999999998</v>
      </c>
      <c r="K1165" s="218">
        <v>63</v>
      </c>
      <c r="L1165" s="218">
        <v>95</v>
      </c>
      <c r="M1165" s="218">
        <v>1300</v>
      </c>
      <c r="N1165" s="218">
        <v>48</v>
      </c>
      <c r="O1165" s="218">
        <v>1900</v>
      </c>
      <c r="P1165" s="112"/>
      <c r="Q1165">
        <f t="shared" si="36"/>
        <v>2020</v>
      </c>
      <c r="R1165">
        <f t="shared" si="37"/>
        <v>6</v>
      </c>
    </row>
    <row r="1166" spans="1:18">
      <c r="A1166" s="117">
        <v>21</v>
      </c>
      <c r="B1166" s="102" t="s">
        <v>261</v>
      </c>
      <c r="C1166" s="206">
        <v>44062</v>
      </c>
      <c r="D1166" s="102">
        <v>18.3</v>
      </c>
      <c r="E1166" s="102">
        <v>8.1999999999999993</v>
      </c>
      <c r="F1166" s="218">
        <v>87</v>
      </c>
      <c r="G1166" s="102">
        <v>8.0399999999999991</v>
      </c>
      <c r="H1166" s="218">
        <v>0.6</v>
      </c>
      <c r="I1166" s="102"/>
      <c r="J1166" s="102">
        <v>1.4</v>
      </c>
      <c r="K1166" s="218">
        <v>87</v>
      </c>
      <c r="L1166" s="218">
        <v>110</v>
      </c>
      <c r="M1166" s="218">
        <v>250</v>
      </c>
      <c r="N1166" s="218">
        <v>20</v>
      </c>
      <c r="O1166" s="218">
        <v>800</v>
      </c>
      <c r="P1166" s="112"/>
      <c r="Q1166">
        <f t="shared" si="36"/>
        <v>2020</v>
      </c>
      <c r="R1166">
        <f t="shared" si="37"/>
        <v>8</v>
      </c>
    </row>
    <row r="1167" spans="1:18">
      <c r="A1167" s="117">
        <v>21</v>
      </c>
      <c r="B1167" s="102" t="s">
        <v>261</v>
      </c>
      <c r="C1167" s="206">
        <v>44117</v>
      </c>
      <c r="D1167" s="102">
        <v>8.6</v>
      </c>
      <c r="E1167" s="102">
        <v>11</v>
      </c>
      <c r="F1167" s="218">
        <v>95</v>
      </c>
      <c r="G1167" s="102">
        <v>7.98</v>
      </c>
      <c r="H1167" s="218">
        <v>1.3</v>
      </c>
      <c r="I1167" s="102"/>
      <c r="J1167" s="102">
        <v>1.8</v>
      </c>
      <c r="K1167" s="218">
        <v>77</v>
      </c>
      <c r="L1167" s="218">
        <v>95</v>
      </c>
      <c r="M1167" s="218">
        <v>2600</v>
      </c>
      <c r="N1167" s="218" t="s">
        <v>148</v>
      </c>
      <c r="O1167" s="218">
        <v>3100</v>
      </c>
      <c r="P1167" s="112"/>
      <c r="Q1167">
        <f t="shared" si="36"/>
        <v>2020</v>
      </c>
      <c r="R1167">
        <f t="shared" si="37"/>
        <v>10</v>
      </c>
    </row>
    <row r="1168" spans="1:18">
      <c r="A1168" s="117">
        <v>21</v>
      </c>
      <c r="B1168" s="102" t="s">
        <v>261</v>
      </c>
      <c r="C1168" s="206">
        <v>44180</v>
      </c>
      <c r="D1168" s="102">
        <v>5.5</v>
      </c>
      <c r="E1168" s="102">
        <v>11.4</v>
      </c>
      <c r="F1168" s="218">
        <v>91</v>
      </c>
      <c r="G1168" s="102">
        <v>8.1300000000000008</v>
      </c>
      <c r="H1168" s="218">
        <v>2</v>
      </c>
      <c r="I1168" s="102"/>
      <c r="J1168" s="102">
        <v>1.5</v>
      </c>
      <c r="K1168" s="218">
        <v>48</v>
      </c>
      <c r="L1168" s="218">
        <v>66</v>
      </c>
      <c r="M1168" s="218">
        <v>6800</v>
      </c>
      <c r="N1168" s="218">
        <v>39</v>
      </c>
      <c r="O1168" s="218">
        <v>7700</v>
      </c>
      <c r="P1168" s="112"/>
      <c r="Q1168">
        <f t="shared" si="36"/>
        <v>2020</v>
      </c>
      <c r="R1168">
        <f t="shared" si="37"/>
        <v>12</v>
      </c>
    </row>
    <row r="1169" spans="1:18">
      <c r="A1169" s="117">
        <v>23</v>
      </c>
      <c r="B1169" s="102" t="s">
        <v>262</v>
      </c>
      <c r="C1169" s="206">
        <v>43879</v>
      </c>
      <c r="D1169" s="102">
        <v>6</v>
      </c>
      <c r="E1169" s="102">
        <v>11.9</v>
      </c>
      <c r="F1169" s="218">
        <v>96</v>
      </c>
      <c r="G1169" s="102">
        <v>7.8</v>
      </c>
      <c r="H1169" s="218">
        <v>21</v>
      </c>
      <c r="I1169" s="102"/>
      <c r="J1169" s="102">
        <v>2.1</v>
      </c>
      <c r="K1169" s="218">
        <v>35</v>
      </c>
      <c r="L1169" s="218">
        <v>86</v>
      </c>
      <c r="M1169" s="218">
        <v>7500</v>
      </c>
      <c r="N1169" s="218">
        <v>88</v>
      </c>
      <c r="O1169" s="218">
        <v>7600</v>
      </c>
      <c r="P1169" s="112"/>
      <c r="Q1169">
        <f t="shared" si="36"/>
        <v>2020</v>
      </c>
      <c r="R1169">
        <f t="shared" si="37"/>
        <v>2</v>
      </c>
    </row>
    <row r="1170" spans="1:18">
      <c r="A1170" s="117">
        <v>23</v>
      </c>
      <c r="B1170" s="102" t="s">
        <v>262</v>
      </c>
      <c r="C1170" s="206">
        <v>43942</v>
      </c>
      <c r="D1170" s="102">
        <v>10.199999999999999</v>
      </c>
      <c r="E1170" s="102">
        <v>12.1</v>
      </c>
      <c r="F1170" s="218">
        <v>108</v>
      </c>
      <c r="G1170" s="102">
        <v>7.93</v>
      </c>
      <c r="H1170" s="218">
        <v>4.9000000000000004</v>
      </c>
      <c r="I1170" s="102"/>
      <c r="J1170" s="102">
        <v>1.9400000000000004</v>
      </c>
      <c r="K1170" s="218">
        <v>17</v>
      </c>
      <c r="L1170" s="218">
        <v>57</v>
      </c>
      <c r="M1170" s="218">
        <v>3600</v>
      </c>
      <c r="N1170" s="218">
        <v>33</v>
      </c>
      <c r="O1170" s="218">
        <v>4100</v>
      </c>
      <c r="P1170" s="112"/>
      <c r="Q1170">
        <f t="shared" si="36"/>
        <v>2020</v>
      </c>
      <c r="R1170">
        <f t="shared" si="37"/>
        <v>4</v>
      </c>
    </row>
    <row r="1171" spans="1:18">
      <c r="A1171" s="117">
        <v>23</v>
      </c>
      <c r="B1171" s="102" t="s">
        <v>262</v>
      </c>
      <c r="C1171" s="206">
        <v>43992</v>
      </c>
      <c r="D1171" s="102">
        <v>16.2</v>
      </c>
      <c r="E1171" s="102">
        <v>9.5</v>
      </c>
      <c r="F1171" s="218">
        <v>97</v>
      </c>
      <c r="G1171" s="102">
        <v>7.94</v>
      </c>
      <c r="H1171" s="218">
        <v>3.7</v>
      </c>
      <c r="I1171" s="102"/>
      <c r="J1171" s="102">
        <v>2.8</v>
      </c>
      <c r="K1171" s="218">
        <v>42</v>
      </c>
      <c r="L1171" s="218">
        <v>79</v>
      </c>
      <c r="M1171" s="218">
        <v>1800</v>
      </c>
      <c r="N1171" s="218">
        <v>67</v>
      </c>
      <c r="O1171" s="218">
        <v>2400</v>
      </c>
      <c r="P1171" s="112"/>
      <c r="Q1171">
        <f t="shared" si="36"/>
        <v>2020</v>
      </c>
      <c r="R1171">
        <f t="shared" si="37"/>
        <v>6</v>
      </c>
    </row>
    <row r="1172" spans="1:18">
      <c r="A1172" s="117">
        <v>23</v>
      </c>
      <c r="B1172" s="102" t="s">
        <v>262</v>
      </c>
      <c r="C1172" s="206">
        <v>44062</v>
      </c>
      <c r="D1172" s="102">
        <v>19.600000000000001</v>
      </c>
      <c r="E1172" s="102">
        <v>6.9</v>
      </c>
      <c r="F1172" s="218">
        <v>75</v>
      </c>
      <c r="G1172" s="102">
        <v>7.6</v>
      </c>
      <c r="H1172" s="218">
        <v>7.8</v>
      </c>
      <c r="I1172" s="102"/>
      <c r="J1172" s="102">
        <v>1.8</v>
      </c>
      <c r="K1172" s="218">
        <v>45</v>
      </c>
      <c r="L1172" s="218">
        <v>220</v>
      </c>
      <c r="M1172" s="218">
        <v>3800</v>
      </c>
      <c r="N1172" s="218">
        <v>87</v>
      </c>
      <c r="O1172" s="218">
        <v>5000</v>
      </c>
      <c r="P1172" s="112"/>
      <c r="Q1172">
        <f t="shared" si="36"/>
        <v>2020</v>
      </c>
      <c r="R1172">
        <f t="shared" si="37"/>
        <v>8</v>
      </c>
    </row>
    <row r="1173" spans="1:18">
      <c r="A1173" s="117">
        <v>23</v>
      </c>
      <c r="B1173" s="102" t="s">
        <v>262</v>
      </c>
      <c r="C1173" s="206">
        <v>44117</v>
      </c>
      <c r="D1173" s="102">
        <v>9.1999999999999993</v>
      </c>
      <c r="E1173" s="102">
        <v>9.9</v>
      </c>
      <c r="F1173" s="218">
        <v>86</v>
      </c>
      <c r="G1173" s="102">
        <v>7.83</v>
      </c>
      <c r="H1173" s="218">
        <v>2.4300000000000002</v>
      </c>
      <c r="I1173" s="102"/>
      <c r="J1173" s="102">
        <v>1.8</v>
      </c>
      <c r="K1173" s="218">
        <v>36</v>
      </c>
      <c r="L1173" s="218">
        <v>78</v>
      </c>
      <c r="M1173" s="218">
        <v>4000</v>
      </c>
      <c r="N1173" s="218">
        <v>50</v>
      </c>
      <c r="O1173" s="218">
        <v>4300</v>
      </c>
      <c r="P1173" s="112"/>
      <c r="Q1173">
        <f t="shared" si="36"/>
        <v>2020</v>
      </c>
      <c r="R1173">
        <f t="shared" si="37"/>
        <v>10</v>
      </c>
    </row>
    <row r="1174" spans="1:18">
      <c r="A1174" s="117">
        <v>23</v>
      </c>
      <c r="B1174" s="102" t="s">
        <v>262</v>
      </c>
      <c r="C1174" s="206">
        <v>44180</v>
      </c>
      <c r="D1174" s="102">
        <v>7.2</v>
      </c>
      <c r="E1174" s="102">
        <v>9.9</v>
      </c>
      <c r="F1174" s="218">
        <v>82</v>
      </c>
      <c r="G1174" s="102">
        <v>7.86</v>
      </c>
      <c r="H1174" s="218">
        <v>10.3</v>
      </c>
      <c r="I1174" s="102"/>
      <c r="J1174" s="102">
        <v>1.8</v>
      </c>
      <c r="K1174" s="218">
        <v>35</v>
      </c>
      <c r="L1174" s="218">
        <v>110</v>
      </c>
      <c r="M1174" s="218">
        <v>5900</v>
      </c>
      <c r="N1174" s="218">
        <v>180</v>
      </c>
      <c r="O1174" s="218">
        <v>6900</v>
      </c>
      <c r="P1174" s="112"/>
      <c r="Q1174">
        <f t="shared" si="36"/>
        <v>2020</v>
      </c>
      <c r="R1174">
        <f t="shared" si="37"/>
        <v>12</v>
      </c>
    </row>
    <row r="1175" spans="1:18">
      <c r="A1175" s="117">
        <v>25</v>
      </c>
      <c r="B1175" s="102" t="s">
        <v>263</v>
      </c>
      <c r="C1175" s="206">
        <v>43844</v>
      </c>
      <c r="D1175" s="102">
        <v>4.4000000000000004</v>
      </c>
      <c r="E1175" s="102">
        <v>12</v>
      </c>
      <c r="F1175" s="218">
        <v>93</v>
      </c>
      <c r="G1175" s="102">
        <v>7.83</v>
      </c>
      <c r="H1175" s="218">
        <v>32</v>
      </c>
      <c r="I1175" s="102"/>
      <c r="J1175" s="102">
        <v>5.2</v>
      </c>
      <c r="K1175" s="218">
        <v>57</v>
      </c>
      <c r="L1175" s="218">
        <v>150</v>
      </c>
      <c r="M1175" s="218">
        <v>2200</v>
      </c>
      <c r="N1175" s="218">
        <v>440</v>
      </c>
      <c r="O1175" s="218">
        <v>3500</v>
      </c>
      <c r="P1175" s="112"/>
      <c r="Q1175">
        <f t="shared" si="36"/>
        <v>2020</v>
      </c>
      <c r="R1175">
        <f t="shared" si="37"/>
        <v>1</v>
      </c>
    </row>
    <row r="1176" spans="1:18">
      <c r="A1176" s="117">
        <v>25</v>
      </c>
      <c r="B1176" s="102" t="s">
        <v>263</v>
      </c>
      <c r="C1176" s="206">
        <v>43879</v>
      </c>
      <c r="D1176" s="102">
        <v>5.4</v>
      </c>
      <c r="E1176" s="102">
        <v>11.6</v>
      </c>
      <c r="F1176" s="218">
        <v>92</v>
      </c>
      <c r="G1176" s="102">
        <v>7.93</v>
      </c>
      <c r="H1176" s="218">
        <v>8.5</v>
      </c>
      <c r="I1176" s="102"/>
      <c r="J1176" s="102">
        <v>2.6</v>
      </c>
      <c r="K1176" s="218">
        <v>31</v>
      </c>
      <c r="L1176" s="218">
        <v>79</v>
      </c>
      <c r="M1176" s="218">
        <v>1600</v>
      </c>
      <c r="N1176" s="218">
        <v>33</v>
      </c>
      <c r="O1176" s="218">
        <v>2500</v>
      </c>
      <c r="P1176" s="112"/>
      <c r="Q1176">
        <f t="shared" si="36"/>
        <v>2020</v>
      </c>
      <c r="R1176">
        <f t="shared" si="37"/>
        <v>2</v>
      </c>
    </row>
    <row r="1177" spans="1:18">
      <c r="A1177" s="117">
        <v>25</v>
      </c>
      <c r="B1177" s="102" t="s">
        <v>263</v>
      </c>
      <c r="C1177" s="206">
        <v>43907</v>
      </c>
      <c r="D1177" s="102">
        <v>5.6</v>
      </c>
      <c r="E1177" s="102">
        <v>11.1</v>
      </c>
      <c r="F1177" s="218">
        <v>88</v>
      </c>
      <c r="G1177" s="102">
        <v>7.99</v>
      </c>
      <c r="H1177" s="218">
        <v>4.5</v>
      </c>
      <c r="I1177" s="102"/>
      <c r="J1177" s="102">
        <v>3.5</v>
      </c>
      <c r="K1177" s="218">
        <v>3.5</v>
      </c>
      <c r="L1177" s="218">
        <v>62</v>
      </c>
      <c r="M1177" s="218">
        <v>1400</v>
      </c>
      <c r="N1177" s="218">
        <v>38</v>
      </c>
      <c r="O1177" s="218">
        <v>1600</v>
      </c>
      <c r="P1177" s="112"/>
      <c r="Q1177">
        <f t="shared" si="36"/>
        <v>2020</v>
      </c>
      <c r="R1177">
        <f t="shared" si="37"/>
        <v>3</v>
      </c>
    </row>
    <row r="1178" spans="1:18">
      <c r="A1178" s="117">
        <v>25</v>
      </c>
      <c r="B1178" s="102" t="s">
        <v>263</v>
      </c>
      <c r="C1178" s="206">
        <v>43942</v>
      </c>
      <c r="D1178" s="102">
        <v>11</v>
      </c>
      <c r="E1178" s="102">
        <v>11.3</v>
      </c>
      <c r="F1178" s="218">
        <v>103</v>
      </c>
      <c r="G1178" s="102">
        <v>8.01</v>
      </c>
      <c r="H1178" s="218">
        <v>7</v>
      </c>
      <c r="I1178" s="102"/>
      <c r="J1178" s="102">
        <v>4.3099999999999996</v>
      </c>
      <c r="K1178" s="218">
        <v>5.8</v>
      </c>
      <c r="L1178" s="218">
        <v>82</v>
      </c>
      <c r="M1178" s="218">
        <v>500</v>
      </c>
      <c r="N1178" s="218">
        <v>10</v>
      </c>
      <c r="O1178" s="218">
        <v>1300</v>
      </c>
      <c r="P1178" s="112"/>
      <c r="Q1178">
        <f t="shared" si="36"/>
        <v>2020</v>
      </c>
      <c r="R1178">
        <f t="shared" si="37"/>
        <v>4</v>
      </c>
    </row>
    <row r="1179" spans="1:18">
      <c r="A1179" s="117">
        <v>25</v>
      </c>
      <c r="B1179" s="102" t="s">
        <v>263</v>
      </c>
      <c r="C1179" s="206">
        <v>43969</v>
      </c>
      <c r="D1179" s="102">
        <v>10.3</v>
      </c>
      <c r="E1179" s="102">
        <v>10.3</v>
      </c>
      <c r="F1179" s="218">
        <v>92</v>
      </c>
      <c r="G1179" s="102">
        <v>8.0500000000000007</v>
      </c>
      <c r="H1179" s="218">
        <v>7.9</v>
      </c>
      <c r="I1179" s="102"/>
      <c r="J1179" s="102">
        <v>4.4000000000000004</v>
      </c>
      <c r="K1179" s="218">
        <v>11</v>
      </c>
      <c r="L1179" s="218">
        <v>77</v>
      </c>
      <c r="M1179" s="218">
        <v>270</v>
      </c>
      <c r="N1179" s="218">
        <v>12</v>
      </c>
      <c r="O1179" s="218">
        <v>1100</v>
      </c>
      <c r="P1179" s="112"/>
      <c r="Q1179">
        <f t="shared" si="36"/>
        <v>2020</v>
      </c>
      <c r="R1179">
        <f t="shared" si="37"/>
        <v>5</v>
      </c>
    </row>
    <row r="1180" spans="1:18">
      <c r="A1180" s="117">
        <v>25</v>
      </c>
      <c r="B1180" s="102" t="s">
        <v>263</v>
      </c>
      <c r="C1180" s="206">
        <v>43992</v>
      </c>
      <c r="D1180" s="102">
        <v>18.3</v>
      </c>
      <c r="E1180" s="102">
        <v>10.5</v>
      </c>
      <c r="F1180" s="218">
        <v>112</v>
      </c>
      <c r="G1180" s="102">
        <v>8.16</v>
      </c>
      <c r="H1180" s="218">
        <v>5.3</v>
      </c>
      <c r="I1180" s="102"/>
      <c r="J1180" s="102">
        <v>2.5</v>
      </c>
      <c r="K1180" s="218">
        <v>17</v>
      </c>
      <c r="L1180" s="218">
        <v>54</v>
      </c>
      <c r="M1180" s="218">
        <v>220</v>
      </c>
      <c r="N1180" s="218">
        <v>38</v>
      </c>
      <c r="O1180" s="218">
        <v>970</v>
      </c>
      <c r="P1180" s="112"/>
      <c r="Q1180">
        <f t="shared" si="36"/>
        <v>2020</v>
      </c>
      <c r="R1180">
        <f t="shared" si="37"/>
        <v>6</v>
      </c>
    </row>
    <row r="1181" spans="1:18">
      <c r="A1181" s="117">
        <v>25</v>
      </c>
      <c r="B1181" s="102" t="s">
        <v>263</v>
      </c>
      <c r="C1181" s="206">
        <v>44026</v>
      </c>
      <c r="D1181" s="102">
        <v>14.5</v>
      </c>
      <c r="E1181" s="102">
        <v>8.9</v>
      </c>
      <c r="F1181" s="218">
        <v>88</v>
      </c>
      <c r="G1181" s="102">
        <v>7.88</v>
      </c>
      <c r="H1181" s="218">
        <v>4.5</v>
      </c>
      <c r="I1181" s="102"/>
      <c r="J1181" s="102">
        <v>1.4</v>
      </c>
      <c r="K1181" s="218">
        <v>20</v>
      </c>
      <c r="L1181" s="218">
        <v>47</v>
      </c>
      <c r="M1181" s="218">
        <v>360</v>
      </c>
      <c r="N1181" s="218">
        <v>31</v>
      </c>
      <c r="O1181" s="218">
        <v>870</v>
      </c>
      <c r="P1181" s="112"/>
      <c r="Q1181">
        <f t="shared" si="36"/>
        <v>2020</v>
      </c>
      <c r="R1181">
        <f t="shared" si="37"/>
        <v>7</v>
      </c>
    </row>
    <row r="1182" spans="1:18">
      <c r="A1182" s="117">
        <v>25</v>
      </c>
      <c r="B1182" s="102" t="s">
        <v>263</v>
      </c>
      <c r="C1182" s="206">
        <v>44062</v>
      </c>
      <c r="D1182" s="102">
        <v>21.2</v>
      </c>
      <c r="E1182" s="102">
        <v>6.8</v>
      </c>
      <c r="F1182" s="218">
        <v>76</v>
      </c>
      <c r="G1182" s="102">
        <v>7.75</v>
      </c>
      <c r="H1182" s="218">
        <v>4.0999999999999996</v>
      </c>
      <c r="I1182" s="102"/>
      <c r="J1182" s="102">
        <v>1.6</v>
      </c>
      <c r="K1182" s="218">
        <v>11</v>
      </c>
      <c r="L1182" s="218">
        <v>48</v>
      </c>
      <c r="M1182" s="218">
        <v>50</v>
      </c>
      <c r="N1182" s="218">
        <v>41</v>
      </c>
      <c r="O1182" s="218">
        <v>750</v>
      </c>
      <c r="P1182" s="112"/>
      <c r="Q1182">
        <f t="shared" si="36"/>
        <v>2020</v>
      </c>
      <c r="R1182">
        <f t="shared" si="37"/>
        <v>8</v>
      </c>
    </row>
    <row r="1183" spans="1:18">
      <c r="A1183" s="117">
        <v>25</v>
      </c>
      <c r="B1183" s="102" t="s">
        <v>263</v>
      </c>
      <c r="C1183" s="206">
        <v>44090</v>
      </c>
      <c r="D1183" s="102">
        <v>14.9</v>
      </c>
      <c r="E1183" s="102">
        <v>7.4</v>
      </c>
      <c r="F1183" s="218">
        <v>73</v>
      </c>
      <c r="G1183" s="102">
        <v>7.74</v>
      </c>
      <c r="H1183" s="218">
        <v>7</v>
      </c>
      <c r="I1183" s="102"/>
      <c r="J1183" s="102">
        <v>1.6</v>
      </c>
      <c r="K1183" s="218">
        <v>17</v>
      </c>
      <c r="L1183" s="218">
        <v>48</v>
      </c>
      <c r="M1183" s="218">
        <v>81</v>
      </c>
      <c r="N1183" s="218">
        <v>29</v>
      </c>
      <c r="O1183" s="218">
        <v>720</v>
      </c>
      <c r="P1183" s="112"/>
      <c r="Q1183">
        <f t="shared" si="36"/>
        <v>2020</v>
      </c>
      <c r="R1183">
        <f t="shared" si="37"/>
        <v>9</v>
      </c>
    </row>
    <row r="1184" spans="1:18">
      <c r="A1184" s="117">
        <v>25</v>
      </c>
      <c r="B1184" s="102" t="s">
        <v>263</v>
      </c>
      <c r="C1184" s="206">
        <v>44117</v>
      </c>
      <c r="D1184" s="102">
        <v>9.3000000000000007</v>
      </c>
      <c r="E1184" s="102">
        <v>10.1</v>
      </c>
      <c r="F1184" s="218">
        <v>88</v>
      </c>
      <c r="G1184" s="102">
        <v>7.86</v>
      </c>
      <c r="H1184" s="218">
        <v>27.5</v>
      </c>
      <c r="I1184" s="102"/>
      <c r="J1184" s="102">
        <v>2.7</v>
      </c>
      <c r="K1184" s="218">
        <v>20</v>
      </c>
      <c r="L1184" s="218">
        <v>110</v>
      </c>
      <c r="M1184" s="218">
        <v>1700</v>
      </c>
      <c r="N1184" s="218">
        <v>53</v>
      </c>
      <c r="O1184" s="218">
        <v>2500</v>
      </c>
      <c r="P1184" s="112"/>
      <c r="Q1184">
        <f t="shared" si="36"/>
        <v>2020</v>
      </c>
      <c r="R1184">
        <f t="shared" si="37"/>
        <v>10</v>
      </c>
    </row>
    <row r="1185" spans="1:18">
      <c r="A1185" s="117">
        <v>25</v>
      </c>
      <c r="B1185" s="102" t="s">
        <v>263</v>
      </c>
      <c r="C1185" s="206">
        <v>44153</v>
      </c>
      <c r="D1185" s="102">
        <v>10.5</v>
      </c>
      <c r="E1185" s="102">
        <v>9.4</v>
      </c>
      <c r="F1185" s="218">
        <v>85</v>
      </c>
      <c r="G1185" s="102">
        <v>7.91</v>
      </c>
      <c r="H1185" s="218">
        <v>19</v>
      </c>
      <c r="I1185" s="102"/>
      <c r="J1185" s="102">
        <v>2.9</v>
      </c>
      <c r="K1185" s="218">
        <v>26</v>
      </c>
      <c r="L1185" s="218">
        <v>88</v>
      </c>
      <c r="M1185" s="218">
        <v>740</v>
      </c>
      <c r="N1185" s="218">
        <v>140</v>
      </c>
      <c r="O1185" s="218">
        <v>1700</v>
      </c>
      <c r="P1185" s="112"/>
      <c r="Q1185">
        <f t="shared" si="36"/>
        <v>2020</v>
      </c>
      <c r="R1185">
        <f t="shared" si="37"/>
        <v>11</v>
      </c>
    </row>
    <row r="1186" spans="1:18">
      <c r="A1186" s="117">
        <v>25</v>
      </c>
      <c r="B1186" s="102" t="s">
        <v>263</v>
      </c>
      <c r="C1186" s="206">
        <v>44180</v>
      </c>
      <c r="D1186" s="102">
        <v>6</v>
      </c>
      <c r="E1186" s="102">
        <v>10.7</v>
      </c>
      <c r="F1186" s="218">
        <v>86</v>
      </c>
      <c r="G1186" s="102">
        <v>8.02</v>
      </c>
      <c r="H1186" s="218">
        <v>10.6</v>
      </c>
      <c r="I1186" s="102"/>
      <c r="J1186" s="102">
        <v>1.2</v>
      </c>
      <c r="K1186" s="218">
        <v>34</v>
      </c>
      <c r="L1186" s="218">
        <v>77</v>
      </c>
      <c r="M1186" s="218">
        <v>880</v>
      </c>
      <c r="N1186" s="218">
        <v>120</v>
      </c>
      <c r="O1186" s="218">
        <v>1600</v>
      </c>
      <c r="P1186" s="112"/>
      <c r="Q1186">
        <f t="shared" si="36"/>
        <v>2020</v>
      </c>
      <c r="R1186">
        <f t="shared" si="37"/>
        <v>12</v>
      </c>
    </row>
    <row r="1187" spans="1:18">
      <c r="A1187" s="117">
        <v>27</v>
      </c>
      <c r="B1187" s="102" t="s">
        <v>264</v>
      </c>
      <c r="C1187" s="206">
        <v>43879</v>
      </c>
      <c r="D1187" s="102">
        <v>4.9000000000000004</v>
      </c>
      <c r="E1187" s="102">
        <v>11.7</v>
      </c>
      <c r="F1187" s="218">
        <v>92</v>
      </c>
      <c r="G1187" s="102">
        <v>8.0399999999999991</v>
      </c>
      <c r="H1187" s="218">
        <v>2.7</v>
      </c>
      <c r="I1187" s="102"/>
      <c r="J1187" s="102">
        <v>3</v>
      </c>
      <c r="K1187" s="218">
        <v>17</v>
      </c>
      <c r="L1187" s="218">
        <v>46</v>
      </c>
      <c r="M1187" s="218">
        <v>1300</v>
      </c>
      <c r="N1187" s="218">
        <v>58</v>
      </c>
      <c r="O1187" s="218">
        <v>2100</v>
      </c>
      <c r="P1187" s="112"/>
      <c r="Q1187">
        <f t="shared" si="36"/>
        <v>2020</v>
      </c>
      <c r="R1187">
        <f t="shared" si="37"/>
        <v>2</v>
      </c>
    </row>
    <row r="1188" spans="1:18">
      <c r="A1188" s="117">
        <v>27</v>
      </c>
      <c r="B1188" s="102" t="s">
        <v>264</v>
      </c>
      <c r="C1188" s="206">
        <v>43942</v>
      </c>
      <c r="D1188" s="102">
        <v>10.3</v>
      </c>
      <c r="E1188" s="102">
        <v>12.8</v>
      </c>
      <c r="F1188" s="218">
        <v>115</v>
      </c>
      <c r="G1188" s="102">
        <v>8.6300000000000008</v>
      </c>
      <c r="H1188" s="218">
        <v>7</v>
      </c>
      <c r="I1188" s="102"/>
      <c r="J1188" s="102">
        <v>6.57</v>
      </c>
      <c r="K1188" s="218">
        <v>6.5</v>
      </c>
      <c r="L1188" s="218">
        <v>45</v>
      </c>
      <c r="M1188" s="218">
        <v>560</v>
      </c>
      <c r="N1188" s="218" t="s">
        <v>148</v>
      </c>
      <c r="O1188" s="218">
        <v>1700</v>
      </c>
      <c r="P1188" s="112"/>
      <c r="Q1188">
        <f t="shared" si="36"/>
        <v>2020</v>
      </c>
      <c r="R1188">
        <f t="shared" si="37"/>
        <v>4</v>
      </c>
    </row>
    <row r="1189" spans="1:18">
      <c r="A1189" s="117">
        <v>27</v>
      </c>
      <c r="B1189" s="102" t="s">
        <v>264</v>
      </c>
      <c r="C1189" s="206">
        <v>43992</v>
      </c>
      <c r="D1189" s="102">
        <v>17.100000000000001</v>
      </c>
      <c r="E1189" s="102">
        <v>4.9000000000000004</v>
      </c>
      <c r="F1189" s="218">
        <v>51</v>
      </c>
      <c r="G1189" s="102">
        <v>7.79</v>
      </c>
      <c r="H1189" s="218">
        <v>2.5</v>
      </c>
      <c r="I1189" s="102"/>
      <c r="J1189" s="102">
        <v>3.5</v>
      </c>
      <c r="K1189" s="218">
        <v>20</v>
      </c>
      <c r="L1189" s="218">
        <v>65</v>
      </c>
      <c r="M1189" s="218">
        <v>57</v>
      </c>
      <c r="N1189" s="218">
        <v>270</v>
      </c>
      <c r="O1189" s="218">
        <v>1400</v>
      </c>
      <c r="P1189" s="112"/>
      <c r="Q1189">
        <f t="shared" si="36"/>
        <v>2020</v>
      </c>
      <c r="R1189">
        <f t="shared" si="37"/>
        <v>6</v>
      </c>
    </row>
    <row r="1190" spans="1:18">
      <c r="A1190" s="117">
        <v>27</v>
      </c>
      <c r="B1190" s="102" t="s">
        <v>264</v>
      </c>
      <c r="C1190" s="206">
        <v>44062</v>
      </c>
      <c r="D1190" s="102">
        <v>23.1</v>
      </c>
      <c r="E1190" s="102">
        <v>6.1</v>
      </c>
      <c r="F1190" s="218">
        <v>71</v>
      </c>
      <c r="G1190" s="102">
        <v>8.16</v>
      </c>
      <c r="H1190" s="218">
        <v>9.6</v>
      </c>
      <c r="I1190" s="102"/>
      <c r="J1190" s="102">
        <v>5.4</v>
      </c>
      <c r="K1190" s="218">
        <v>4.8</v>
      </c>
      <c r="L1190" s="218">
        <v>78</v>
      </c>
      <c r="M1190" s="218">
        <v>21</v>
      </c>
      <c r="N1190" s="218">
        <v>130</v>
      </c>
      <c r="O1190" s="218">
        <v>1700</v>
      </c>
      <c r="P1190" s="112"/>
      <c r="Q1190">
        <f t="shared" si="36"/>
        <v>2020</v>
      </c>
      <c r="R1190">
        <f t="shared" si="37"/>
        <v>8</v>
      </c>
    </row>
    <row r="1191" spans="1:18">
      <c r="A1191" s="117">
        <v>27</v>
      </c>
      <c r="B1191" s="102" t="s">
        <v>264</v>
      </c>
      <c r="C1191" s="206">
        <v>44117</v>
      </c>
      <c r="D1191" s="102">
        <v>11.7</v>
      </c>
      <c r="E1191" s="102">
        <v>5.7</v>
      </c>
      <c r="F1191" s="218">
        <v>53</v>
      </c>
      <c r="G1191" s="102">
        <v>7.74</v>
      </c>
      <c r="H1191" s="218">
        <v>1.3</v>
      </c>
      <c r="I1191" s="102"/>
      <c r="J1191" s="102">
        <v>2.6</v>
      </c>
      <c r="K1191" s="218">
        <v>58</v>
      </c>
      <c r="L1191" s="218">
        <v>83</v>
      </c>
      <c r="M1191" s="218">
        <v>79</v>
      </c>
      <c r="N1191" s="218">
        <v>340</v>
      </c>
      <c r="O1191" s="218">
        <v>1200</v>
      </c>
      <c r="P1191" s="112"/>
      <c r="Q1191">
        <f t="shared" si="36"/>
        <v>2020</v>
      </c>
      <c r="R1191">
        <f t="shared" si="37"/>
        <v>10</v>
      </c>
    </row>
    <row r="1192" spans="1:18">
      <c r="A1192" s="117">
        <v>27</v>
      </c>
      <c r="B1192" s="102" t="s">
        <v>264</v>
      </c>
      <c r="C1192" s="206">
        <v>44180</v>
      </c>
      <c r="D1192" s="102">
        <v>4.5</v>
      </c>
      <c r="E1192" s="102">
        <v>10.8</v>
      </c>
      <c r="F1192" s="218">
        <v>84</v>
      </c>
      <c r="G1192" s="102">
        <v>8.01</v>
      </c>
      <c r="H1192" s="218">
        <v>1.1000000000000001</v>
      </c>
      <c r="I1192" s="102"/>
      <c r="J1192" s="102">
        <v>0.8</v>
      </c>
      <c r="K1192" s="218">
        <v>25</v>
      </c>
      <c r="L1192" s="218">
        <v>38</v>
      </c>
      <c r="M1192" s="218">
        <v>350</v>
      </c>
      <c r="N1192" s="218">
        <v>110</v>
      </c>
      <c r="O1192" s="218">
        <v>1100</v>
      </c>
      <c r="P1192" s="112"/>
      <c r="Q1192">
        <f t="shared" si="36"/>
        <v>2020</v>
      </c>
      <c r="R1192">
        <f t="shared" si="37"/>
        <v>12</v>
      </c>
    </row>
    <row r="1193" spans="1:18">
      <c r="A1193" s="117">
        <v>10</v>
      </c>
      <c r="B1193" s="102" t="s">
        <v>218</v>
      </c>
      <c r="C1193" s="206">
        <v>44161</v>
      </c>
      <c r="D1193" s="102">
        <v>8.1999999999999993</v>
      </c>
      <c r="E1193" s="102">
        <v>11.1</v>
      </c>
      <c r="F1193" s="218">
        <v>94</v>
      </c>
      <c r="G1193" s="102">
        <v>8.24</v>
      </c>
      <c r="H1193" s="218">
        <v>6.1</v>
      </c>
      <c r="I1193" s="102">
        <v>63.6</v>
      </c>
      <c r="J1193" s="102">
        <v>51</v>
      </c>
      <c r="K1193" s="218">
        <v>70</v>
      </c>
      <c r="L1193" s="218">
        <v>13</v>
      </c>
      <c r="M1193" s="218">
        <v>8300</v>
      </c>
      <c r="N1193" s="218">
        <v>18</v>
      </c>
      <c r="O1193" s="218">
        <v>8900</v>
      </c>
      <c r="P1193" s="112"/>
      <c r="Q1193">
        <f t="shared" si="36"/>
        <v>2020</v>
      </c>
      <c r="R1193">
        <f t="shared" si="37"/>
        <v>11</v>
      </c>
    </row>
    <row r="1194" spans="1:18">
      <c r="A1194" s="117">
        <v>10</v>
      </c>
      <c r="B1194" s="102" t="s">
        <v>218</v>
      </c>
      <c r="C1194" s="206">
        <v>44186</v>
      </c>
      <c r="D1194" s="102">
        <v>6.3</v>
      </c>
      <c r="E1194" s="102">
        <v>11.9</v>
      </c>
      <c r="F1194" s="218">
        <v>97</v>
      </c>
      <c r="G1194" s="102">
        <v>8.1199999999999992</v>
      </c>
      <c r="H1194" s="218">
        <v>7.2</v>
      </c>
      <c r="I1194" s="102">
        <v>66.5</v>
      </c>
      <c r="J1194" s="102">
        <v>49</v>
      </c>
      <c r="K1194" s="218">
        <v>74</v>
      </c>
      <c r="L1194" s="218">
        <v>19</v>
      </c>
      <c r="M1194" s="218">
        <v>9400</v>
      </c>
      <c r="N1194" s="218">
        <v>27</v>
      </c>
      <c r="O1194" s="218">
        <v>11000</v>
      </c>
      <c r="P1194" s="112"/>
      <c r="Q1194">
        <f t="shared" si="36"/>
        <v>2020</v>
      </c>
      <c r="R1194">
        <f t="shared" si="37"/>
        <v>12</v>
      </c>
    </row>
    <row r="1195" spans="1:18">
      <c r="A1195">
        <v>3</v>
      </c>
      <c r="B1195" t="s">
        <v>252</v>
      </c>
      <c r="C1195" s="216">
        <v>44222</v>
      </c>
      <c r="D1195">
        <v>2</v>
      </c>
      <c r="E1195" s="116">
        <v>13.4</v>
      </c>
      <c r="F1195" s="101">
        <v>97</v>
      </c>
      <c r="G1195">
        <v>8</v>
      </c>
      <c r="H1195" s="116">
        <v>8</v>
      </c>
      <c r="I1195">
        <v>46.4</v>
      </c>
      <c r="J1195">
        <v>1.8</v>
      </c>
      <c r="K1195">
        <v>43</v>
      </c>
      <c r="L1195">
        <v>83</v>
      </c>
      <c r="M1195">
        <v>5700</v>
      </c>
      <c r="N1195">
        <v>77</v>
      </c>
      <c r="O1195">
        <v>6800</v>
      </c>
      <c r="Q1195">
        <f t="shared" ref="Q1195:Q1258" si="38">YEAR(C1195)</f>
        <v>2021</v>
      </c>
      <c r="R1195">
        <f t="shared" ref="R1195:R1258" si="39">MONTH(C1195)</f>
        <v>1</v>
      </c>
    </row>
    <row r="1196" spans="1:18">
      <c r="A1196">
        <v>3</v>
      </c>
      <c r="B1196" t="s">
        <v>252</v>
      </c>
      <c r="C1196" s="216">
        <v>44251</v>
      </c>
      <c r="D1196">
        <v>3.4</v>
      </c>
      <c r="E1196" s="116">
        <v>13</v>
      </c>
      <c r="F1196" s="101">
        <v>96</v>
      </c>
      <c r="G1196">
        <v>7.9</v>
      </c>
      <c r="H1196" s="116">
        <v>4.0999999999999996</v>
      </c>
      <c r="I1196">
        <v>47.7</v>
      </c>
      <c r="J1196">
        <v>2.2999999999999998</v>
      </c>
      <c r="K1196">
        <v>33</v>
      </c>
      <c r="L1196">
        <v>67</v>
      </c>
      <c r="M1196">
        <v>5100</v>
      </c>
      <c r="N1196">
        <v>77</v>
      </c>
      <c r="O1196">
        <v>5600</v>
      </c>
      <c r="Q1196">
        <f t="shared" si="38"/>
        <v>2021</v>
      </c>
      <c r="R1196">
        <f t="shared" si="39"/>
        <v>2</v>
      </c>
    </row>
    <row r="1197" spans="1:18">
      <c r="A1197">
        <v>3</v>
      </c>
      <c r="B1197" t="s">
        <v>252</v>
      </c>
      <c r="C1197" s="216">
        <v>44284</v>
      </c>
      <c r="D1197">
        <v>7</v>
      </c>
      <c r="E1197" s="116">
        <v>12</v>
      </c>
      <c r="F1197" s="101">
        <v>98</v>
      </c>
      <c r="G1197">
        <v>8.1</v>
      </c>
      <c r="H1197" s="116">
        <v>2.9</v>
      </c>
      <c r="I1197">
        <v>50.5</v>
      </c>
      <c r="J1197">
        <v>2.4</v>
      </c>
      <c r="K1197">
        <v>4.4000000000000004</v>
      </c>
      <c r="L1197">
        <v>40</v>
      </c>
      <c r="M1197">
        <v>3300</v>
      </c>
      <c r="N1197">
        <v>25</v>
      </c>
      <c r="O1197">
        <v>4300</v>
      </c>
      <c r="Q1197">
        <f t="shared" si="38"/>
        <v>2021</v>
      </c>
      <c r="R1197">
        <f t="shared" si="39"/>
        <v>3</v>
      </c>
    </row>
    <row r="1198" spans="1:18">
      <c r="A1198">
        <v>3</v>
      </c>
      <c r="B1198" t="s">
        <v>252</v>
      </c>
      <c r="C1198" s="216">
        <v>44315</v>
      </c>
      <c r="D1198">
        <v>9.1</v>
      </c>
      <c r="E1198" s="116">
        <v>11.9</v>
      </c>
      <c r="F1198" s="101">
        <v>104</v>
      </c>
      <c r="G1198">
        <v>8.1999999999999993</v>
      </c>
      <c r="H1198" s="116">
        <v>3.9</v>
      </c>
      <c r="I1198">
        <v>48.2</v>
      </c>
      <c r="J1198">
        <v>3.6</v>
      </c>
      <c r="K1198">
        <v>6.2</v>
      </c>
      <c r="L1198">
        <v>51</v>
      </c>
      <c r="M1198">
        <v>2000</v>
      </c>
      <c r="N1198" t="s">
        <v>148</v>
      </c>
      <c r="O1198">
        <v>2600</v>
      </c>
      <c r="Q1198">
        <f t="shared" si="38"/>
        <v>2021</v>
      </c>
      <c r="R1198">
        <f t="shared" si="39"/>
        <v>4</v>
      </c>
    </row>
    <row r="1199" spans="1:18">
      <c r="A1199">
        <v>3</v>
      </c>
      <c r="B1199" t="s">
        <v>252</v>
      </c>
      <c r="C1199" s="216">
        <v>44344</v>
      </c>
      <c r="D1199">
        <v>13.4</v>
      </c>
      <c r="E1199" s="116">
        <v>8.6999999999999993</v>
      </c>
      <c r="F1199" s="101">
        <v>82</v>
      </c>
      <c r="G1199">
        <v>7.9</v>
      </c>
      <c r="H1199" s="116">
        <v>2.6</v>
      </c>
      <c r="I1199">
        <v>49.2</v>
      </c>
      <c r="J1199">
        <v>2.2999999999999998</v>
      </c>
      <c r="K1199">
        <v>11</v>
      </c>
      <c r="L1199">
        <v>58</v>
      </c>
      <c r="M1199">
        <v>1400</v>
      </c>
      <c r="N1199">
        <v>52</v>
      </c>
      <c r="O1199">
        <v>2100</v>
      </c>
      <c r="Q1199">
        <f t="shared" si="38"/>
        <v>2021</v>
      </c>
      <c r="R1199">
        <f t="shared" si="39"/>
        <v>5</v>
      </c>
    </row>
    <row r="1200" spans="1:18">
      <c r="A1200">
        <v>3</v>
      </c>
      <c r="B1200" t="s">
        <v>252</v>
      </c>
      <c r="C1200" s="216">
        <v>44365</v>
      </c>
      <c r="D1200">
        <v>21</v>
      </c>
      <c r="E1200" s="116">
        <v>6.9</v>
      </c>
      <c r="F1200" s="101">
        <v>77</v>
      </c>
      <c r="G1200">
        <v>7.9</v>
      </c>
      <c r="H1200" s="116">
        <v>1.2</v>
      </c>
      <c r="I1200">
        <v>49</v>
      </c>
      <c r="J1200">
        <v>1.4</v>
      </c>
      <c r="K1200">
        <v>50</v>
      </c>
      <c r="L1200">
        <v>80</v>
      </c>
      <c r="M1200">
        <v>1200</v>
      </c>
      <c r="N1200">
        <v>56</v>
      </c>
      <c r="O1200">
        <v>1900</v>
      </c>
      <c r="Q1200">
        <f t="shared" si="38"/>
        <v>2021</v>
      </c>
      <c r="R1200">
        <f t="shared" si="39"/>
        <v>6</v>
      </c>
    </row>
    <row r="1201" spans="1:18">
      <c r="A1201">
        <v>3</v>
      </c>
      <c r="B1201" t="s">
        <v>252</v>
      </c>
      <c r="C1201" s="216">
        <v>44390</v>
      </c>
      <c r="D1201">
        <v>21.6</v>
      </c>
      <c r="E1201" s="116">
        <v>7.4</v>
      </c>
      <c r="F1201" s="101">
        <v>84</v>
      </c>
      <c r="G1201">
        <v>7.8</v>
      </c>
      <c r="H1201" s="116">
        <v>0.64</v>
      </c>
      <c r="I1201">
        <v>42.2</v>
      </c>
      <c r="J1201">
        <v>0.86</v>
      </c>
      <c r="K1201">
        <v>63</v>
      </c>
      <c r="L1201">
        <v>86</v>
      </c>
      <c r="M1201">
        <v>1200</v>
      </c>
      <c r="N1201">
        <v>27</v>
      </c>
      <c r="O1201">
        <v>1700</v>
      </c>
      <c r="Q1201">
        <f t="shared" si="38"/>
        <v>2021</v>
      </c>
      <c r="R1201">
        <f t="shared" si="39"/>
        <v>7</v>
      </c>
    </row>
    <row r="1202" spans="1:18">
      <c r="A1202">
        <v>3</v>
      </c>
      <c r="B1202" t="s">
        <v>252</v>
      </c>
      <c r="C1202" s="216">
        <v>44431</v>
      </c>
      <c r="D1202">
        <v>16.8</v>
      </c>
      <c r="E1202" s="116">
        <v>7.7</v>
      </c>
      <c r="F1202" s="101">
        <v>79</v>
      </c>
      <c r="G1202">
        <v>7.8</v>
      </c>
      <c r="H1202" s="116">
        <v>0.42</v>
      </c>
      <c r="I1202">
        <v>47.3</v>
      </c>
      <c r="J1202">
        <v>0.74</v>
      </c>
      <c r="K1202">
        <v>44</v>
      </c>
      <c r="L1202">
        <v>69</v>
      </c>
      <c r="M1202">
        <v>1500</v>
      </c>
      <c r="N1202">
        <v>17</v>
      </c>
      <c r="O1202">
        <v>2000</v>
      </c>
      <c r="Q1202">
        <f t="shared" si="38"/>
        <v>2021</v>
      </c>
      <c r="R1202">
        <f t="shared" si="39"/>
        <v>8</v>
      </c>
    </row>
    <row r="1203" spans="1:18">
      <c r="A1203">
        <v>3</v>
      </c>
      <c r="B1203" t="s">
        <v>252</v>
      </c>
      <c r="C1203" s="216">
        <v>44459</v>
      </c>
      <c r="D1203">
        <v>14.7</v>
      </c>
      <c r="E1203" s="116">
        <v>7.2</v>
      </c>
      <c r="F1203" s="101">
        <v>70</v>
      </c>
      <c r="G1203">
        <v>7.8</v>
      </c>
      <c r="H1203" s="116">
        <v>0.76</v>
      </c>
      <c r="I1203">
        <v>50.6</v>
      </c>
      <c r="J1203">
        <v>0.73</v>
      </c>
      <c r="K1203">
        <v>56</v>
      </c>
      <c r="L1203">
        <v>76</v>
      </c>
      <c r="M1203">
        <v>1200</v>
      </c>
      <c r="N1203">
        <v>26</v>
      </c>
      <c r="O1203">
        <v>1800</v>
      </c>
      <c r="Q1203">
        <f t="shared" si="38"/>
        <v>2021</v>
      </c>
      <c r="R1203">
        <f t="shared" si="39"/>
        <v>9</v>
      </c>
    </row>
    <row r="1204" spans="1:18">
      <c r="A1204">
        <v>3</v>
      </c>
      <c r="B1204" t="s">
        <v>252</v>
      </c>
      <c r="C1204" s="216">
        <v>44489</v>
      </c>
      <c r="D1204">
        <v>10.7</v>
      </c>
      <c r="E1204" s="116">
        <v>8.8000000000000007</v>
      </c>
      <c r="F1204" s="101">
        <v>81</v>
      </c>
      <c r="G1204">
        <v>7.8</v>
      </c>
      <c r="H1204" s="116">
        <v>0.47</v>
      </c>
      <c r="I1204">
        <v>54.5</v>
      </c>
      <c r="J1204">
        <v>3.6</v>
      </c>
      <c r="K1204">
        <v>33</v>
      </c>
      <c r="L1204">
        <v>67</v>
      </c>
      <c r="M1204">
        <v>3400</v>
      </c>
      <c r="N1204">
        <v>46</v>
      </c>
      <c r="O1204">
        <v>4500</v>
      </c>
      <c r="Q1204">
        <f t="shared" si="38"/>
        <v>2021</v>
      </c>
      <c r="R1204">
        <f t="shared" si="39"/>
        <v>10</v>
      </c>
    </row>
    <row r="1205" spans="1:18">
      <c r="A1205">
        <v>3</v>
      </c>
      <c r="B1205" t="s">
        <v>252</v>
      </c>
      <c r="C1205" s="216">
        <v>44530</v>
      </c>
      <c r="D1205">
        <v>3.4</v>
      </c>
      <c r="E1205" s="116">
        <v>12.7</v>
      </c>
      <c r="F1205" s="101">
        <v>98</v>
      </c>
      <c r="G1205">
        <v>8</v>
      </c>
      <c r="H1205" s="116">
        <v>7</v>
      </c>
      <c r="I1205">
        <v>52.7</v>
      </c>
      <c r="J1205">
        <v>2.2000000000000002</v>
      </c>
      <c r="K1205">
        <v>27</v>
      </c>
      <c r="L1205">
        <v>80</v>
      </c>
      <c r="M1205">
        <v>6900</v>
      </c>
      <c r="N1205">
        <v>40</v>
      </c>
      <c r="O1205">
        <v>6800</v>
      </c>
      <c r="Q1205">
        <f t="shared" si="38"/>
        <v>2021</v>
      </c>
      <c r="R1205">
        <f t="shared" si="39"/>
        <v>11</v>
      </c>
    </row>
    <row r="1206" spans="1:18">
      <c r="A1206">
        <v>3</v>
      </c>
      <c r="B1206" t="s">
        <v>252</v>
      </c>
      <c r="C1206" s="216">
        <v>44550</v>
      </c>
      <c r="D1206">
        <v>3.6</v>
      </c>
      <c r="E1206" s="116">
        <v>13.3</v>
      </c>
      <c r="F1206" s="101">
        <v>99</v>
      </c>
      <c r="G1206">
        <v>8</v>
      </c>
      <c r="H1206" s="116">
        <v>2.6</v>
      </c>
      <c r="I1206">
        <v>45.8</v>
      </c>
      <c r="J1206">
        <v>2.5</v>
      </c>
      <c r="K1206">
        <v>41</v>
      </c>
      <c r="L1206">
        <v>68</v>
      </c>
      <c r="M1206">
        <v>4500</v>
      </c>
      <c r="N1206">
        <v>82</v>
      </c>
      <c r="O1206">
        <v>4300</v>
      </c>
      <c r="Q1206">
        <f t="shared" si="38"/>
        <v>2021</v>
      </c>
      <c r="R1206">
        <f t="shared" si="39"/>
        <v>12</v>
      </c>
    </row>
    <row r="1207" spans="1:18">
      <c r="A1207">
        <v>3</v>
      </c>
      <c r="B1207" t="s">
        <v>252</v>
      </c>
      <c r="C1207" s="216">
        <v>44580</v>
      </c>
      <c r="D1207">
        <v>2.2999999999999998</v>
      </c>
      <c r="E1207" s="116">
        <v>13.6</v>
      </c>
      <c r="F1207" s="101">
        <v>99</v>
      </c>
      <c r="G1207">
        <v>8</v>
      </c>
      <c r="H1207" s="116">
        <v>4.3</v>
      </c>
      <c r="I1207">
        <v>43.4</v>
      </c>
      <c r="J1207">
        <v>1.7</v>
      </c>
      <c r="K1207">
        <v>44</v>
      </c>
      <c r="L1207">
        <v>72</v>
      </c>
      <c r="M1207">
        <v>3800</v>
      </c>
      <c r="N1207">
        <v>92</v>
      </c>
      <c r="O1207">
        <v>4600</v>
      </c>
      <c r="Q1207">
        <f t="shared" si="38"/>
        <v>2022</v>
      </c>
      <c r="R1207">
        <f t="shared" si="39"/>
        <v>1</v>
      </c>
    </row>
    <row r="1208" spans="1:18">
      <c r="A1208">
        <v>3</v>
      </c>
      <c r="B1208" t="s">
        <v>252</v>
      </c>
      <c r="C1208" s="216">
        <v>44607</v>
      </c>
      <c r="D1208">
        <v>3.1</v>
      </c>
      <c r="E1208" s="116">
        <v>13.2</v>
      </c>
      <c r="F1208" s="101">
        <v>99</v>
      </c>
      <c r="G1208">
        <v>8.1</v>
      </c>
      <c r="H1208" s="116">
        <v>3.7</v>
      </c>
      <c r="I1208">
        <v>47.5</v>
      </c>
      <c r="J1208">
        <v>2.2000000000000002</v>
      </c>
      <c r="K1208">
        <v>32</v>
      </c>
      <c r="L1208">
        <v>57</v>
      </c>
      <c r="M1208">
        <v>4100</v>
      </c>
      <c r="N1208">
        <v>43</v>
      </c>
      <c r="O1208">
        <v>4500</v>
      </c>
      <c r="Q1208">
        <f t="shared" si="38"/>
        <v>2022</v>
      </c>
      <c r="R1208">
        <f t="shared" si="39"/>
        <v>2</v>
      </c>
    </row>
    <row r="1209" spans="1:18">
      <c r="A1209">
        <v>3</v>
      </c>
      <c r="B1209" t="s">
        <v>252</v>
      </c>
      <c r="C1209" s="216">
        <v>44637</v>
      </c>
      <c r="D1209">
        <v>5.0999999999999996</v>
      </c>
      <c r="E1209" s="116">
        <v>12.3</v>
      </c>
      <c r="F1209" s="101">
        <v>95</v>
      </c>
      <c r="G1209">
        <v>8</v>
      </c>
      <c r="H1209" s="116">
        <v>3.6</v>
      </c>
      <c r="I1209">
        <v>47.4</v>
      </c>
      <c r="J1209">
        <v>2.2000000000000002</v>
      </c>
      <c r="K1209">
        <v>26</v>
      </c>
      <c r="L1209">
        <v>49</v>
      </c>
      <c r="M1209">
        <v>2700</v>
      </c>
      <c r="N1209">
        <v>53</v>
      </c>
      <c r="O1209">
        <v>3900</v>
      </c>
      <c r="Q1209">
        <f t="shared" si="38"/>
        <v>2022</v>
      </c>
      <c r="R1209">
        <f t="shared" si="39"/>
        <v>3</v>
      </c>
    </row>
    <row r="1210" spans="1:18">
      <c r="A1210">
        <v>3</v>
      </c>
      <c r="B1210" t="s">
        <v>252</v>
      </c>
      <c r="C1210" s="216">
        <v>44670</v>
      </c>
      <c r="D1210">
        <v>10.8</v>
      </c>
      <c r="E1210" s="116">
        <v>12.4</v>
      </c>
      <c r="F1210" s="101">
        <v>111</v>
      </c>
      <c r="G1210">
        <v>8.1999999999999993</v>
      </c>
      <c r="H1210" s="116">
        <v>1.7</v>
      </c>
      <c r="I1210">
        <v>47.7</v>
      </c>
      <c r="J1210">
        <v>2.2999999999999998</v>
      </c>
      <c r="K1210">
        <v>7.6</v>
      </c>
      <c r="L1210">
        <v>39</v>
      </c>
      <c r="M1210">
        <v>2400</v>
      </c>
      <c r="N1210">
        <v>33</v>
      </c>
      <c r="O1210">
        <v>3400</v>
      </c>
      <c r="Q1210">
        <f t="shared" si="38"/>
        <v>2022</v>
      </c>
      <c r="R1210">
        <f t="shared" si="39"/>
        <v>4</v>
      </c>
    </row>
    <row r="1211" spans="1:18">
      <c r="A1211">
        <v>3</v>
      </c>
      <c r="B1211" t="s">
        <v>252</v>
      </c>
      <c r="C1211" s="216">
        <v>44698</v>
      </c>
      <c r="D1211">
        <v>14.8</v>
      </c>
      <c r="E1211" s="116">
        <v>9.1999999999999993</v>
      </c>
      <c r="F1211" s="101">
        <v>90</v>
      </c>
      <c r="G1211">
        <v>7.9</v>
      </c>
      <c r="H1211" s="116">
        <v>2</v>
      </c>
      <c r="I1211">
        <v>50.6</v>
      </c>
      <c r="J1211">
        <v>2</v>
      </c>
      <c r="K1211">
        <v>18</v>
      </c>
      <c r="L1211">
        <v>40</v>
      </c>
      <c r="M1211">
        <v>1400</v>
      </c>
      <c r="N1211">
        <v>31</v>
      </c>
      <c r="O1211">
        <v>1900</v>
      </c>
      <c r="Q1211">
        <f t="shared" si="38"/>
        <v>2022</v>
      </c>
      <c r="R1211">
        <f t="shared" si="39"/>
        <v>5</v>
      </c>
    </row>
    <row r="1212" spans="1:18">
      <c r="A1212">
        <v>3</v>
      </c>
      <c r="B1212" t="s">
        <v>252</v>
      </c>
      <c r="C1212" s="216">
        <v>44735</v>
      </c>
      <c r="D1212">
        <v>17.600000000000001</v>
      </c>
      <c r="E1212" s="116">
        <v>7.7</v>
      </c>
      <c r="F1212" s="101">
        <v>80</v>
      </c>
      <c r="G1212">
        <v>7.9</v>
      </c>
      <c r="H1212" s="116">
        <v>1.1000000000000001</v>
      </c>
      <c r="I1212">
        <v>44.8</v>
      </c>
      <c r="J1212">
        <v>1.2</v>
      </c>
      <c r="K1212">
        <v>49</v>
      </c>
      <c r="L1212">
        <v>69</v>
      </c>
      <c r="M1212">
        <v>1200</v>
      </c>
      <c r="N1212">
        <v>62</v>
      </c>
      <c r="O1212">
        <v>1900</v>
      </c>
      <c r="Q1212">
        <f t="shared" si="38"/>
        <v>2022</v>
      </c>
      <c r="R1212">
        <f t="shared" si="39"/>
        <v>6</v>
      </c>
    </row>
    <row r="1213" spans="1:18">
      <c r="A1213">
        <v>3</v>
      </c>
      <c r="B1213" t="s">
        <v>252</v>
      </c>
      <c r="C1213" s="216">
        <v>44761</v>
      </c>
      <c r="D1213">
        <v>18.600000000000001</v>
      </c>
      <c r="E1213" s="116">
        <v>7.4</v>
      </c>
      <c r="F1213" s="101">
        <v>78</v>
      </c>
      <c r="G1213">
        <v>7.8</v>
      </c>
      <c r="H1213" s="116">
        <v>0.68</v>
      </c>
      <c r="J1213">
        <v>1</v>
      </c>
      <c r="K1213">
        <v>38</v>
      </c>
      <c r="L1213">
        <v>57</v>
      </c>
      <c r="M1213">
        <v>750</v>
      </c>
      <c r="N1213">
        <v>42</v>
      </c>
      <c r="O1213">
        <v>1200</v>
      </c>
      <c r="Q1213">
        <f t="shared" si="38"/>
        <v>2022</v>
      </c>
      <c r="R1213">
        <f t="shared" si="39"/>
        <v>7</v>
      </c>
    </row>
    <row r="1214" spans="1:18">
      <c r="A1214">
        <v>3</v>
      </c>
      <c r="B1214" t="s">
        <v>252</v>
      </c>
      <c r="C1214" s="216">
        <v>44795</v>
      </c>
      <c r="D1214">
        <v>20.3</v>
      </c>
      <c r="E1214" s="116">
        <v>5.6</v>
      </c>
      <c r="F1214" s="101">
        <v>62</v>
      </c>
      <c r="G1214">
        <v>7.7</v>
      </c>
      <c r="H1214" s="116">
        <v>0.52</v>
      </c>
      <c r="I1214">
        <v>52</v>
      </c>
      <c r="J1214" s="57" t="s">
        <v>287</v>
      </c>
      <c r="K1214">
        <v>53</v>
      </c>
      <c r="L1214">
        <v>70</v>
      </c>
      <c r="M1214">
        <v>1100</v>
      </c>
      <c r="N1214">
        <v>31</v>
      </c>
      <c r="O1214">
        <v>1400</v>
      </c>
      <c r="Q1214">
        <f t="shared" si="38"/>
        <v>2022</v>
      </c>
      <c r="R1214">
        <f t="shared" si="39"/>
        <v>8</v>
      </c>
    </row>
    <row r="1215" spans="1:18">
      <c r="A1215">
        <v>3</v>
      </c>
      <c r="B1215" t="s">
        <v>252</v>
      </c>
      <c r="C1215" s="216">
        <v>44826</v>
      </c>
      <c r="D1215">
        <v>12.9</v>
      </c>
      <c r="E1215" s="116">
        <v>9.1</v>
      </c>
      <c r="F1215" s="101">
        <v>86</v>
      </c>
      <c r="G1215">
        <v>7.9</v>
      </c>
      <c r="H1215" s="116">
        <v>0.64</v>
      </c>
      <c r="I1215">
        <v>51.3</v>
      </c>
      <c r="J1215">
        <v>0.78</v>
      </c>
      <c r="K1215">
        <v>35</v>
      </c>
      <c r="L1215">
        <v>56</v>
      </c>
      <c r="M1215">
        <v>1200</v>
      </c>
      <c r="N1215">
        <v>18</v>
      </c>
      <c r="O1215">
        <v>1400</v>
      </c>
      <c r="Q1215">
        <f t="shared" si="38"/>
        <v>2022</v>
      </c>
      <c r="R1215">
        <f t="shared" si="39"/>
        <v>9</v>
      </c>
    </row>
    <row r="1216" spans="1:18">
      <c r="A1216">
        <v>3</v>
      </c>
      <c r="B1216" t="s">
        <v>252</v>
      </c>
      <c r="C1216" s="216">
        <v>44858</v>
      </c>
      <c r="D1216">
        <v>11.5</v>
      </c>
      <c r="E1216" s="116">
        <v>8.4</v>
      </c>
      <c r="F1216" s="101">
        <v>87</v>
      </c>
      <c r="G1216">
        <v>7.8</v>
      </c>
      <c r="H1216" s="116">
        <v>0.85</v>
      </c>
      <c r="I1216">
        <v>58.1</v>
      </c>
      <c r="J1216">
        <v>1.1000000000000001</v>
      </c>
      <c r="K1216">
        <v>11</v>
      </c>
      <c r="L1216">
        <v>61</v>
      </c>
      <c r="M1216">
        <v>2200</v>
      </c>
      <c r="N1216">
        <v>22</v>
      </c>
      <c r="O1216">
        <v>2900</v>
      </c>
      <c r="Q1216">
        <f t="shared" si="38"/>
        <v>2022</v>
      </c>
      <c r="R1216">
        <f t="shared" si="39"/>
        <v>10</v>
      </c>
    </row>
    <row r="1217" spans="1:18">
      <c r="A1217">
        <v>3</v>
      </c>
      <c r="B1217" t="s">
        <v>252</v>
      </c>
      <c r="C1217" s="216">
        <v>44881</v>
      </c>
      <c r="D1217">
        <v>10</v>
      </c>
      <c r="E1217" s="116">
        <v>8.5</v>
      </c>
      <c r="F1217" s="101">
        <v>75</v>
      </c>
      <c r="G1217">
        <v>7.9</v>
      </c>
      <c r="H1217" s="116">
        <v>1.4</v>
      </c>
      <c r="I1217">
        <v>59.2</v>
      </c>
      <c r="J1217">
        <v>0.9</v>
      </c>
      <c r="K1217">
        <v>49</v>
      </c>
      <c r="L1217">
        <v>81</v>
      </c>
      <c r="M1217">
        <v>2700</v>
      </c>
      <c r="N1217">
        <v>34</v>
      </c>
      <c r="O1217">
        <v>3600</v>
      </c>
      <c r="Q1217">
        <f t="shared" si="38"/>
        <v>2022</v>
      </c>
      <c r="R1217">
        <f t="shared" si="39"/>
        <v>11</v>
      </c>
    </row>
    <row r="1218" spans="1:18">
      <c r="A1218">
        <v>3</v>
      </c>
      <c r="B1218" t="s">
        <v>252</v>
      </c>
      <c r="C1218" s="216">
        <v>44916</v>
      </c>
      <c r="D1218">
        <v>1.7</v>
      </c>
      <c r="E1218" s="116">
        <v>13.3</v>
      </c>
      <c r="F1218" s="101">
        <v>95</v>
      </c>
      <c r="G1218">
        <v>7.8</v>
      </c>
      <c r="H1218" s="116">
        <v>6.1</v>
      </c>
      <c r="I1218" s="57"/>
      <c r="J1218">
        <v>3.9</v>
      </c>
      <c r="K1218">
        <v>41</v>
      </c>
      <c r="L1218">
        <v>82</v>
      </c>
      <c r="M1218">
        <v>3600</v>
      </c>
      <c r="N1218">
        <v>600</v>
      </c>
      <c r="O1218">
        <v>4700</v>
      </c>
      <c r="Q1218">
        <f t="shared" si="38"/>
        <v>2022</v>
      </c>
      <c r="R1218">
        <f t="shared" si="39"/>
        <v>12</v>
      </c>
    </row>
    <row r="1219" spans="1:18">
      <c r="A1219">
        <v>3</v>
      </c>
      <c r="B1219" t="s">
        <v>252</v>
      </c>
      <c r="C1219" s="216">
        <v>44944</v>
      </c>
      <c r="D1219">
        <v>4</v>
      </c>
      <c r="E1219" s="116">
        <v>12.6</v>
      </c>
      <c r="F1219" s="101">
        <v>97</v>
      </c>
      <c r="G1219">
        <v>7.9</v>
      </c>
      <c r="H1219" s="116">
        <v>5.7</v>
      </c>
      <c r="I1219">
        <v>43.6</v>
      </c>
      <c r="J1219">
        <v>2.1</v>
      </c>
      <c r="K1219">
        <v>40</v>
      </c>
      <c r="L1219">
        <v>79</v>
      </c>
      <c r="M1219">
        <v>5600</v>
      </c>
      <c r="N1219">
        <v>100</v>
      </c>
      <c r="O1219">
        <v>6100</v>
      </c>
      <c r="Q1219">
        <f t="shared" si="38"/>
        <v>2023</v>
      </c>
      <c r="R1219">
        <f t="shared" si="39"/>
        <v>1</v>
      </c>
    </row>
    <row r="1220" spans="1:18">
      <c r="A1220">
        <v>3</v>
      </c>
      <c r="B1220" t="s">
        <v>252</v>
      </c>
      <c r="C1220" s="216">
        <v>44970</v>
      </c>
      <c r="D1220">
        <v>5</v>
      </c>
      <c r="E1220" s="116">
        <v>13.2</v>
      </c>
      <c r="F1220" s="101">
        <v>99</v>
      </c>
      <c r="G1220">
        <v>8</v>
      </c>
      <c r="H1220" s="116">
        <v>2.6</v>
      </c>
      <c r="I1220">
        <v>47.8</v>
      </c>
      <c r="J1220">
        <v>2.2000000000000002</v>
      </c>
      <c r="K1220">
        <v>21</v>
      </c>
      <c r="L1220">
        <v>51</v>
      </c>
      <c r="M1220">
        <v>4300</v>
      </c>
      <c r="N1220">
        <v>54</v>
      </c>
      <c r="O1220">
        <v>4800</v>
      </c>
      <c r="Q1220">
        <f t="shared" si="38"/>
        <v>2023</v>
      </c>
      <c r="R1220">
        <f t="shared" si="39"/>
        <v>2</v>
      </c>
    </row>
    <row r="1221" spans="1:18">
      <c r="A1221">
        <v>3</v>
      </c>
      <c r="B1221" t="s">
        <v>252</v>
      </c>
      <c r="C1221" s="216">
        <v>45006</v>
      </c>
      <c r="D1221">
        <v>5.4</v>
      </c>
      <c r="E1221" s="116">
        <v>12.9</v>
      </c>
      <c r="F1221" s="101">
        <v>102</v>
      </c>
      <c r="G1221">
        <v>8.1</v>
      </c>
      <c r="H1221" s="116">
        <v>4.4000000000000004</v>
      </c>
      <c r="I1221">
        <v>47.3</v>
      </c>
      <c r="J1221">
        <v>2.6</v>
      </c>
      <c r="K1221">
        <v>6.1</v>
      </c>
      <c r="L1221">
        <v>40</v>
      </c>
      <c r="M1221">
        <v>4700</v>
      </c>
      <c r="N1221">
        <v>27</v>
      </c>
      <c r="O1221">
        <v>5600</v>
      </c>
      <c r="Q1221">
        <f t="shared" si="38"/>
        <v>2023</v>
      </c>
      <c r="R1221">
        <f t="shared" si="39"/>
        <v>3</v>
      </c>
    </row>
    <row r="1222" spans="1:18">
      <c r="A1222">
        <v>3</v>
      </c>
      <c r="B1222" t="s">
        <v>252</v>
      </c>
      <c r="C1222" s="216">
        <v>45034</v>
      </c>
      <c r="D1222">
        <v>10.199999999999999</v>
      </c>
      <c r="E1222" s="116">
        <v>11.7</v>
      </c>
      <c r="F1222" s="101">
        <v>102</v>
      </c>
      <c r="G1222">
        <v>8.1</v>
      </c>
      <c r="H1222" s="116">
        <v>2.5</v>
      </c>
      <c r="I1222">
        <v>49.8</v>
      </c>
      <c r="J1222">
        <v>2.4</v>
      </c>
      <c r="K1222">
        <v>6.2</v>
      </c>
      <c r="L1222">
        <v>30</v>
      </c>
      <c r="M1222">
        <v>2400</v>
      </c>
      <c r="N1222">
        <v>15</v>
      </c>
      <c r="O1222">
        <v>3400</v>
      </c>
      <c r="Q1222">
        <f t="shared" si="38"/>
        <v>2023</v>
      </c>
      <c r="R1222">
        <f t="shared" si="39"/>
        <v>4</v>
      </c>
    </row>
    <row r="1223" spans="1:18">
      <c r="A1223">
        <v>3</v>
      </c>
      <c r="B1223" t="s">
        <v>252</v>
      </c>
      <c r="C1223" s="216">
        <v>45061</v>
      </c>
      <c r="D1223">
        <v>16.8</v>
      </c>
      <c r="E1223" s="116">
        <v>9.8000000000000007</v>
      </c>
      <c r="F1223" s="101">
        <v>101</v>
      </c>
      <c r="G1223">
        <v>8</v>
      </c>
      <c r="H1223" s="116">
        <v>2.5</v>
      </c>
      <c r="I1223">
        <v>51.9</v>
      </c>
      <c r="J1223">
        <v>2</v>
      </c>
      <c r="K1223">
        <v>4.5</v>
      </c>
      <c r="L1223">
        <v>41</v>
      </c>
      <c r="M1223">
        <v>1400</v>
      </c>
      <c r="N1223" t="s">
        <v>148</v>
      </c>
      <c r="O1223">
        <v>2600</v>
      </c>
      <c r="Q1223">
        <f t="shared" si="38"/>
        <v>2023</v>
      </c>
      <c r="R1223">
        <f t="shared" si="39"/>
        <v>5</v>
      </c>
    </row>
    <row r="1224" spans="1:18">
      <c r="A1224">
        <v>3</v>
      </c>
      <c r="B1224" t="s">
        <v>252</v>
      </c>
      <c r="C1224" s="216">
        <v>45096</v>
      </c>
      <c r="D1224">
        <v>20.5</v>
      </c>
      <c r="E1224" s="116">
        <v>6.9</v>
      </c>
      <c r="F1224" s="101">
        <v>76</v>
      </c>
      <c r="G1224">
        <v>7.8</v>
      </c>
      <c r="H1224" s="116">
        <v>0.93</v>
      </c>
      <c r="I1224">
        <v>49.7</v>
      </c>
      <c r="J1224">
        <v>0.89</v>
      </c>
      <c r="K1224">
        <v>43</v>
      </c>
      <c r="L1224">
        <v>62</v>
      </c>
      <c r="M1224">
        <v>1200</v>
      </c>
      <c r="N1224">
        <v>55</v>
      </c>
      <c r="O1224">
        <v>1700</v>
      </c>
      <c r="Q1224">
        <f t="shared" si="38"/>
        <v>2023</v>
      </c>
      <c r="R1224">
        <f t="shared" si="39"/>
        <v>6</v>
      </c>
    </row>
    <row r="1225" spans="1:18">
      <c r="A1225">
        <v>3</v>
      </c>
      <c r="B1225" t="s">
        <v>252</v>
      </c>
      <c r="C1225" s="216">
        <v>45125</v>
      </c>
      <c r="D1225">
        <v>19.600000000000001</v>
      </c>
      <c r="E1225" s="116">
        <v>7.9</v>
      </c>
      <c r="F1225" s="101">
        <v>85</v>
      </c>
      <c r="G1225">
        <v>7.8</v>
      </c>
      <c r="H1225" s="116">
        <v>0.87</v>
      </c>
      <c r="I1225">
        <v>47.9</v>
      </c>
      <c r="J1225">
        <v>0.72</v>
      </c>
      <c r="K1225">
        <v>40</v>
      </c>
      <c r="L1225">
        <v>67</v>
      </c>
      <c r="M1225">
        <v>1000</v>
      </c>
      <c r="N1225">
        <v>25</v>
      </c>
      <c r="O1225">
        <v>1400</v>
      </c>
      <c r="Q1225">
        <f t="shared" si="38"/>
        <v>2023</v>
      </c>
      <c r="R1225">
        <f t="shared" si="39"/>
        <v>7</v>
      </c>
    </row>
    <row r="1226" spans="1:18">
      <c r="A1226">
        <v>3</v>
      </c>
      <c r="B1226" t="s">
        <v>252</v>
      </c>
      <c r="C1226" s="216">
        <v>45155</v>
      </c>
      <c r="D1226">
        <v>18.600000000000001</v>
      </c>
      <c r="E1226" s="116">
        <v>6.7</v>
      </c>
      <c r="F1226" s="101">
        <v>71</v>
      </c>
      <c r="G1226">
        <v>7.8</v>
      </c>
      <c r="H1226" s="116">
        <v>0.77</v>
      </c>
      <c r="I1226">
        <v>51.1</v>
      </c>
      <c r="J1226">
        <v>1.1000000000000001</v>
      </c>
      <c r="K1226">
        <v>57</v>
      </c>
      <c r="L1226">
        <v>96</v>
      </c>
      <c r="M1226">
        <v>3400</v>
      </c>
      <c r="N1226">
        <v>42</v>
      </c>
      <c r="O1226">
        <v>4000</v>
      </c>
      <c r="Q1226">
        <f t="shared" si="38"/>
        <v>2023</v>
      </c>
      <c r="R1226">
        <f t="shared" si="39"/>
        <v>8</v>
      </c>
    </row>
    <row r="1227" spans="1:18">
      <c r="A1227">
        <v>3</v>
      </c>
      <c r="B1227" t="s">
        <v>252</v>
      </c>
      <c r="C1227" s="216">
        <v>45187</v>
      </c>
      <c r="D1227">
        <v>17.100000000000001</v>
      </c>
      <c r="E1227" s="116">
        <v>7.7</v>
      </c>
      <c r="F1227" s="101">
        <v>80</v>
      </c>
      <c r="G1227">
        <v>7.8</v>
      </c>
      <c r="H1227" s="116">
        <v>1.5</v>
      </c>
      <c r="I1227">
        <v>50</v>
      </c>
      <c r="J1227">
        <v>0.7</v>
      </c>
      <c r="K1227">
        <v>33</v>
      </c>
      <c r="L1227">
        <v>67</v>
      </c>
      <c r="M1227">
        <v>1400</v>
      </c>
      <c r="N1227">
        <v>27</v>
      </c>
      <c r="O1227">
        <v>2000</v>
      </c>
      <c r="Q1227">
        <f t="shared" si="38"/>
        <v>2023</v>
      </c>
      <c r="R1227">
        <f t="shared" si="39"/>
        <v>9</v>
      </c>
    </row>
    <row r="1228" spans="1:18">
      <c r="A1228">
        <v>3</v>
      </c>
      <c r="B1228" t="s">
        <v>252</v>
      </c>
      <c r="C1228" s="216">
        <v>45210</v>
      </c>
      <c r="D1228">
        <v>12.4</v>
      </c>
      <c r="E1228" s="116">
        <v>8.8000000000000007</v>
      </c>
      <c r="F1228" s="101">
        <v>83</v>
      </c>
      <c r="G1228">
        <v>7.8</v>
      </c>
      <c r="H1228" s="116">
        <v>2.2000000000000002</v>
      </c>
      <c r="I1228">
        <v>54.4</v>
      </c>
      <c r="J1228">
        <v>1.1000000000000001</v>
      </c>
      <c r="K1228">
        <v>60</v>
      </c>
      <c r="L1228">
        <v>83</v>
      </c>
      <c r="M1228">
        <v>3500</v>
      </c>
      <c r="N1228">
        <v>34</v>
      </c>
      <c r="O1228">
        <v>3800</v>
      </c>
      <c r="Q1228">
        <f t="shared" si="38"/>
        <v>2023</v>
      </c>
      <c r="R1228">
        <f t="shared" si="39"/>
        <v>10</v>
      </c>
    </row>
    <row r="1229" spans="1:18">
      <c r="A1229">
        <v>3</v>
      </c>
      <c r="B1229" t="s">
        <v>252</v>
      </c>
      <c r="C1229" s="216">
        <v>45244</v>
      </c>
      <c r="D1229">
        <v>7.5</v>
      </c>
      <c r="E1229" s="116">
        <v>10.9</v>
      </c>
      <c r="F1229" s="101">
        <v>92</v>
      </c>
      <c r="G1229">
        <v>7.9</v>
      </c>
      <c r="H1229" s="116">
        <v>3.2</v>
      </c>
      <c r="I1229">
        <v>49.2</v>
      </c>
      <c r="J1229">
        <v>1.6</v>
      </c>
      <c r="K1229">
        <v>40</v>
      </c>
      <c r="L1229">
        <v>64</v>
      </c>
      <c r="M1229">
        <v>4300</v>
      </c>
      <c r="N1229">
        <v>33</v>
      </c>
      <c r="O1229">
        <v>4600</v>
      </c>
      <c r="Q1229">
        <f t="shared" si="38"/>
        <v>2023</v>
      </c>
      <c r="R1229">
        <f t="shared" si="39"/>
        <v>11</v>
      </c>
    </row>
    <row r="1230" spans="1:18">
      <c r="A1230">
        <v>5</v>
      </c>
      <c r="B1230" t="s">
        <v>253</v>
      </c>
      <c r="C1230" s="216">
        <v>44222</v>
      </c>
      <c r="D1230">
        <v>1.5</v>
      </c>
      <c r="E1230" s="116">
        <v>10.1</v>
      </c>
      <c r="F1230" s="101">
        <v>72</v>
      </c>
      <c r="G1230">
        <v>7.7</v>
      </c>
      <c r="H1230" s="116">
        <v>5.3</v>
      </c>
      <c r="I1230">
        <v>46.7</v>
      </c>
      <c r="J1230">
        <v>1.4</v>
      </c>
      <c r="K1230">
        <v>50</v>
      </c>
      <c r="L1230">
        <v>79</v>
      </c>
      <c r="M1230">
        <v>4700</v>
      </c>
      <c r="N1230">
        <v>99</v>
      </c>
      <c r="O1230">
        <v>5200</v>
      </c>
      <c r="Q1230">
        <f t="shared" si="38"/>
        <v>2021</v>
      </c>
      <c r="R1230">
        <f t="shared" si="39"/>
        <v>1</v>
      </c>
    </row>
    <row r="1231" spans="1:18">
      <c r="A1231">
        <v>5</v>
      </c>
      <c r="B1231" t="s">
        <v>253</v>
      </c>
      <c r="C1231" s="216">
        <v>44284</v>
      </c>
      <c r="D1231">
        <v>6.7</v>
      </c>
      <c r="E1231" s="116">
        <v>11.6</v>
      </c>
      <c r="F1231" s="101">
        <v>94</v>
      </c>
      <c r="G1231">
        <v>8</v>
      </c>
      <c r="H1231" s="116">
        <v>3.4</v>
      </c>
      <c r="I1231">
        <v>48.6</v>
      </c>
      <c r="J1231">
        <v>2.4</v>
      </c>
      <c r="K1231">
        <v>5.6</v>
      </c>
      <c r="L1231">
        <v>40</v>
      </c>
      <c r="M1231">
        <v>2800</v>
      </c>
      <c r="N1231">
        <v>43</v>
      </c>
      <c r="O1231">
        <v>3800</v>
      </c>
      <c r="Q1231">
        <f t="shared" si="38"/>
        <v>2021</v>
      </c>
      <c r="R1231">
        <f t="shared" si="39"/>
        <v>3</v>
      </c>
    </row>
    <row r="1232" spans="1:18">
      <c r="A1232">
        <v>5</v>
      </c>
      <c r="B1232" t="s">
        <v>253</v>
      </c>
      <c r="C1232" s="216">
        <v>44344</v>
      </c>
      <c r="D1232">
        <v>13.7</v>
      </c>
      <c r="E1232" s="116">
        <v>9.1</v>
      </c>
      <c r="F1232" s="101">
        <v>87</v>
      </c>
      <c r="G1232">
        <v>7.9</v>
      </c>
      <c r="H1232" s="116">
        <v>4.5999999999999996</v>
      </c>
      <c r="I1232">
        <v>44.7</v>
      </c>
      <c r="J1232">
        <v>4.5</v>
      </c>
      <c r="K1232">
        <v>4.4000000000000004</v>
      </c>
      <c r="L1232">
        <v>69</v>
      </c>
      <c r="M1232">
        <v>1100</v>
      </c>
      <c r="N1232">
        <v>23</v>
      </c>
      <c r="O1232">
        <v>2200</v>
      </c>
      <c r="Q1232">
        <f t="shared" si="38"/>
        <v>2021</v>
      </c>
      <c r="R1232">
        <f t="shared" si="39"/>
        <v>5</v>
      </c>
    </row>
    <row r="1233" spans="1:18">
      <c r="A1233">
        <v>5</v>
      </c>
      <c r="B1233" t="s">
        <v>253</v>
      </c>
      <c r="C1233" s="216">
        <v>44390</v>
      </c>
      <c r="D1233">
        <v>22.8</v>
      </c>
      <c r="E1233" s="116">
        <v>6</v>
      </c>
      <c r="F1233" s="101">
        <v>69</v>
      </c>
      <c r="G1233">
        <v>7.7</v>
      </c>
      <c r="H1233" s="116">
        <v>7.6</v>
      </c>
      <c r="I1233">
        <v>41.3</v>
      </c>
      <c r="J1233">
        <v>2.2999999999999998</v>
      </c>
      <c r="K1233">
        <v>68</v>
      </c>
      <c r="L1233">
        <v>120</v>
      </c>
      <c r="M1233">
        <v>1100</v>
      </c>
      <c r="N1233">
        <v>110</v>
      </c>
      <c r="O1233">
        <v>2000</v>
      </c>
      <c r="Q1233">
        <f t="shared" si="38"/>
        <v>2021</v>
      </c>
      <c r="R1233">
        <f t="shared" si="39"/>
        <v>7</v>
      </c>
    </row>
    <row r="1234" spans="1:18">
      <c r="A1234">
        <v>5</v>
      </c>
      <c r="B1234" t="s">
        <v>253</v>
      </c>
      <c r="C1234" s="216">
        <v>44459</v>
      </c>
      <c r="D1234">
        <v>15.1</v>
      </c>
      <c r="E1234" s="116">
        <v>4.5999999999999996</v>
      </c>
      <c r="F1234" s="101">
        <v>45</v>
      </c>
      <c r="G1234">
        <v>7.6</v>
      </c>
      <c r="H1234" s="116">
        <v>1.7</v>
      </c>
      <c r="I1234">
        <v>46.5</v>
      </c>
      <c r="J1234">
        <v>0.99</v>
      </c>
      <c r="K1234">
        <v>55</v>
      </c>
      <c r="L1234">
        <v>83</v>
      </c>
      <c r="M1234">
        <v>1000</v>
      </c>
      <c r="N1234">
        <v>69</v>
      </c>
      <c r="O1234">
        <v>1500</v>
      </c>
      <c r="Q1234">
        <f t="shared" si="38"/>
        <v>2021</v>
      </c>
      <c r="R1234">
        <f t="shared" si="39"/>
        <v>9</v>
      </c>
    </row>
    <row r="1235" spans="1:18">
      <c r="A1235">
        <v>5</v>
      </c>
      <c r="B1235" t="s">
        <v>253</v>
      </c>
      <c r="C1235" s="216">
        <v>44530</v>
      </c>
      <c r="D1235">
        <v>3.4</v>
      </c>
      <c r="E1235" s="116">
        <v>12</v>
      </c>
      <c r="F1235" s="101">
        <v>92</v>
      </c>
      <c r="G1235">
        <v>7.9</v>
      </c>
      <c r="H1235" s="116">
        <v>4</v>
      </c>
      <c r="I1235">
        <v>50.8</v>
      </c>
      <c r="J1235">
        <v>2.2000000000000002</v>
      </c>
      <c r="K1235">
        <v>21</v>
      </c>
      <c r="L1235">
        <v>51</v>
      </c>
      <c r="M1235">
        <v>5500</v>
      </c>
      <c r="N1235">
        <v>62</v>
      </c>
      <c r="O1235">
        <v>5200</v>
      </c>
      <c r="Q1235">
        <f t="shared" si="38"/>
        <v>2021</v>
      </c>
      <c r="R1235">
        <f t="shared" si="39"/>
        <v>11</v>
      </c>
    </row>
    <row r="1236" spans="1:18">
      <c r="A1236">
        <v>5</v>
      </c>
      <c r="B1236" t="s">
        <v>253</v>
      </c>
      <c r="C1236" s="216">
        <v>44580</v>
      </c>
      <c r="D1236">
        <v>2.2999999999999998</v>
      </c>
      <c r="E1236" s="116">
        <v>13.1</v>
      </c>
      <c r="F1236" s="101">
        <v>96</v>
      </c>
      <c r="G1236">
        <v>7.9</v>
      </c>
      <c r="H1236" s="116">
        <v>5.4</v>
      </c>
      <c r="I1236">
        <v>46.9</v>
      </c>
      <c r="J1236">
        <v>1.7</v>
      </c>
      <c r="K1236">
        <v>42</v>
      </c>
      <c r="L1236">
        <v>75</v>
      </c>
      <c r="M1236">
        <v>3300</v>
      </c>
      <c r="N1236">
        <v>110</v>
      </c>
      <c r="O1236">
        <v>4100</v>
      </c>
      <c r="Q1236">
        <f t="shared" si="38"/>
        <v>2022</v>
      </c>
      <c r="R1236">
        <f t="shared" si="39"/>
        <v>1</v>
      </c>
    </row>
    <row r="1237" spans="1:18">
      <c r="A1237">
        <v>5</v>
      </c>
      <c r="B1237" t="s">
        <v>253</v>
      </c>
      <c r="C1237" s="216">
        <v>44637</v>
      </c>
      <c r="D1237">
        <v>5.4</v>
      </c>
      <c r="E1237" s="116">
        <v>11.7</v>
      </c>
      <c r="F1237" s="101">
        <v>91</v>
      </c>
      <c r="G1237">
        <v>7.9</v>
      </c>
      <c r="H1237" s="116">
        <v>3.8</v>
      </c>
      <c r="I1237">
        <v>45.1</v>
      </c>
      <c r="J1237">
        <v>2.5</v>
      </c>
      <c r="K1237">
        <v>11</v>
      </c>
      <c r="L1237">
        <v>51</v>
      </c>
      <c r="M1237">
        <v>2400</v>
      </c>
      <c r="N1237">
        <v>59</v>
      </c>
      <c r="O1237">
        <v>3600</v>
      </c>
      <c r="Q1237">
        <f t="shared" si="38"/>
        <v>2022</v>
      </c>
      <c r="R1237">
        <f t="shared" si="39"/>
        <v>3</v>
      </c>
    </row>
    <row r="1238" spans="1:18">
      <c r="A1238">
        <v>5</v>
      </c>
      <c r="B1238" t="s">
        <v>253</v>
      </c>
      <c r="C1238" s="216">
        <v>44698</v>
      </c>
      <c r="D1238">
        <v>15.4</v>
      </c>
      <c r="E1238" s="116">
        <v>10.199999999999999</v>
      </c>
      <c r="F1238" s="101">
        <v>100</v>
      </c>
      <c r="G1238">
        <v>8</v>
      </c>
      <c r="H1238" s="116">
        <v>2.2999999999999998</v>
      </c>
      <c r="I1238">
        <v>47.3</v>
      </c>
      <c r="J1238">
        <v>2.2999999999999998</v>
      </c>
      <c r="K1238">
        <v>9</v>
      </c>
      <c r="L1238">
        <v>38</v>
      </c>
      <c r="M1238">
        <v>1200</v>
      </c>
      <c r="N1238">
        <v>36</v>
      </c>
      <c r="O1238">
        <v>1800</v>
      </c>
      <c r="Q1238">
        <f t="shared" si="38"/>
        <v>2022</v>
      </c>
      <c r="R1238">
        <f t="shared" si="39"/>
        <v>5</v>
      </c>
    </row>
    <row r="1239" spans="1:18">
      <c r="A1239">
        <v>5</v>
      </c>
      <c r="B1239" t="s">
        <v>253</v>
      </c>
      <c r="C1239" s="216">
        <v>44761</v>
      </c>
      <c r="D1239">
        <v>18.600000000000001</v>
      </c>
      <c r="E1239" s="116">
        <v>7.3</v>
      </c>
      <c r="F1239" s="101">
        <v>78</v>
      </c>
      <c r="G1239">
        <v>7.7</v>
      </c>
      <c r="H1239" s="116">
        <v>0.9</v>
      </c>
      <c r="I1239">
        <v>41.3</v>
      </c>
      <c r="J1239">
        <v>0.99</v>
      </c>
      <c r="K1239">
        <v>20</v>
      </c>
      <c r="L1239">
        <v>44</v>
      </c>
      <c r="M1239">
        <v>490</v>
      </c>
      <c r="N1239">
        <v>42</v>
      </c>
      <c r="O1239">
        <v>1000</v>
      </c>
      <c r="Q1239">
        <f t="shared" si="38"/>
        <v>2022</v>
      </c>
      <c r="R1239">
        <f t="shared" si="39"/>
        <v>7</v>
      </c>
    </row>
    <row r="1240" spans="1:18">
      <c r="A1240">
        <v>5</v>
      </c>
      <c r="B1240" t="s">
        <v>253</v>
      </c>
      <c r="C1240" s="216">
        <v>44826</v>
      </c>
      <c r="D1240">
        <v>13.1</v>
      </c>
      <c r="E1240" s="116">
        <v>8.3000000000000007</v>
      </c>
      <c r="F1240" s="101">
        <v>78</v>
      </c>
      <c r="G1240">
        <v>7.8</v>
      </c>
      <c r="H1240" s="116">
        <v>0.56000000000000005</v>
      </c>
      <c r="I1240">
        <v>44.6</v>
      </c>
      <c r="J1240">
        <v>1.3</v>
      </c>
      <c r="K1240">
        <v>26</v>
      </c>
      <c r="L1240">
        <v>49</v>
      </c>
      <c r="M1240">
        <v>1000</v>
      </c>
      <c r="N1240">
        <v>44</v>
      </c>
      <c r="O1240">
        <v>1400</v>
      </c>
      <c r="Q1240">
        <f t="shared" si="38"/>
        <v>2022</v>
      </c>
      <c r="R1240">
        <f t="shared" si="39"/>
        <v>9</v>
      </c>
    </row>
    <row r="1241" spans="1:18">
      <c r="A1241">
        <v>5</v>
      </c>
      <c r="B1241" t="s">
        <v>253</v>
      </c>
      <c r="C1241" s="216">
        <v>44881</v>
      </c>
      <c r="D1241">
        <v>10.199999999999999</v>
      </c>
      <c r="E1241" s="116">
        <v>5.9</v>
      </c>
      <c r="F1241" s="101">
        <v>52</v>
      </c>
      <c r="G1241">
        <v>7.7</v>
      </c>
      <c r="H1241" s="116">
        <v>2.1</v>
      </c>
      <c r="I1241">
        <v>56.5</v>
      </c>
      <c r="J1241">
        <v>1.2</v>
      </c>
      <c r="K1241">
        <v>42</v>
      </c>
      <c r="L1241">
        <v>87</v>
      </c>
      <c r="M1241">
        <v>2800</v>
      </c>
      <c r="N1241">
        <v>90</v>
      </c>
      <c r="O1241">
        <v>3600</v>
      </c>
      <c r="Q1241">
        <f t="shared" si="38"/>
        <v>2022</v>
      </c>
      <c r="R1241">
        <f t="shared" si="39"/>
        <v>11</v>
      </c>
    </row>
    <row r="1242" spans="1:18">
      <c r="A1242">
        <v>5</v>
      </c>
      <c r="B1242" t="s">
        <v>253</v>
      </c>
      <c r="C1242" s="216">
        <v>44944</v>
      </c>
      <c r="D1242">
        <v>3.4</v>
      </c>
      <c r="E1242" s="116">
        <v>11.6</v>
      </c>
      <c r="F1242" s="101">
        <v>89</v>
      </c>
      <c r="G1242">
        <v>7.9</v>
      </c>
      <c r="H1242" s="116">
        <v>6.4</v>
      </c>
      <c r="I1242">
        <v>42.9</v>
      </c>
      <c r="J1242">
        <v>2</v>
      </c>
      <c r="K1242">
        <v>37</v>
      </c>
      <c r="L1242">
        <v>77</v>
      </c>
      <c r="M1242">
        <v>4900</v>
      </c>
      <c r="N1242">
        <v>74</v>
      </c>
      <c r="O1242">
        <v>5300</v>
      </c>
      <c r="Q1242">
        <f t="shared" si="38"/>
        <v>2023</v>
      </c>
      <c r="R1242">
        <f t="shared" si="39"/>
        <v>1</v>
      </c>
    </row>
    <row r="1243" spans="1:18">
      <c r="A1243">
        <v>5</v>
      </c>
      <c r="B1243" t="s">
        <v>253</v>
      </c>
      <c r="C1243" s="216">
        <v>45006</v>
      </c>
      <c r="D1243">
        <v>5.4</v>
      </c>
      <c r="E1243" s="116">
        <v>12.7</v>
      </c>
      <c r="F1243" s="101">
        <v>100</v>
      </c>
      <c r="G1243">
        <v>8.1</v>
      </c>
      <c r="H1243" s="116">
        <v>2.7</v>
      </c>
      <c r="I1243">
        <v>45.5</v>
      </c>
      <c r="J1243">
        <v>2.8</v>
      </c>
      <c r="K1243">
        <v>5.2</v>
      </c>
      <c r="L1243">
        <v>31</v>
      </c>
      <c r="M1243">
        <v>3800</v>
      </c>
      <c r="N1243">
        <v>20</v>
      </c>
      <c r="O1243">
        <v>4200</v>
      </c>
      <c r="Q1243">
        <f t="shared" si="38"/>
        <v>2023</v>
      </c>
      <c r="R1243">
        <f t="shared" si="39"/>
        <v>3</v>
      </c>
    </row>
    <row r="1244" spans="1:18">
      <c r="A1244">
        <v>5</v>
      </c>
      <c r="B1244" t="s">
        <v>253</v>
      </c>
      <c r="C1244" s="216">
        <v>45061</v>
      </c>
      <c r="D1244">
        <v>17.5</v>
      </c>
      <c r="E1244" s="116">
        <v>10.3</v>
      </c>
      <c r="F1244" s="101">
        <v>108</v>
      </c>
      <c r="G1244">
        <v>8</v>
      </c>
      <c r="H1244" s="116">
        <v>3.6</v>
      </c>
      <c r="I1244">
        <v>47.8</v>
      </c>
      <c r="J1244">
        <v>2.1</v>
      </c>
      <c r="K1244">
        <v>6.1</v>
      </c>
      <c r="L1244">
        <v>39</v>
      </c>
      <c r="M1244">
        <v>1300</v>
      </c>
      <c r="N1244">
        <v>19</v>
      </c>
      <c r="O1244">
        <v>2400</v>
      </c>
      <c r="Q1244">
        <f t="shared" si="38"/>
        <v>2023</v>
      </c>
      <c r="R1244">
        <f t="shared" si="39"/>
        <v>5</v>
      </c>
    </row>
    <row r="1245" spans="1:18">
      <c r="A1245">
        <v>5</v>
      </c>
      <c r="B1245" t="s">
        <v>253</v>
      </c>
      <c r="C1245" s="216">
        <v>45125</v>
      </c>
      <c r="D1245">
        <v>20.9</v>
      </c>
      <c r="E1245" s="116">
        <v>9</v>
      </c>
      <c r="F1245" s="101">
        <v>101</v>
      </c>
      <c r="G1245">
        <v>7.9</v>
      </c>
      <c r="H1245" s="116">
        <v>0.82</v>
      </c>
      <c r="I1245">
        <v>45.7</v>
      </c>
      <c r="J1245">
        <v>1.2</v>
      </c>
      <c r="K1245">
        <v>22</v>
      </c>
      <c r="L1245">
        <v>51</v>
      </c>
      <c r="M1245">
        <v>820</v>
      </c>
      <c r="N1245">
        <v>42</v>
      </c>
      <c r="O1245">
        <v>1300</v>
      </c>
      <c r="Q1245">
        <f t="shared" si="38"/>
        <v>2023</v>
      </c>
      <c r="R1245">
        <f t="shared" si="39"/>
        <v>7</v>
      </c>
    </row>
    <row r="1246" spans="1:18">
      <c r="A1246">
        <v>5</v>
      </c>
      <c r="B1246" t="s">
        <v>253</v>
      </c>
      <c r="C1246" s="216">
        <v>45187</v>
      </c>
      <c r="D1246">
        <v>17.600000000000001</v>
      </c>
      <c r="E1246" s="116">
        <v>6.2</v>
      </c>
      <c r="G1246">
        <v>7.7</v>
      </c>
      <c r="H1246" s="116">
        <v>3</v>
      </c>
      <c r="I1246">
        <v>45.6</v>
      </c>
      <c r="J1246">
        <v>1</v>
      </c>
      <c r="K1246">
        <v>27</v>
      </c>
      <c r="L1246">
        <v>71</v>
      </c>
      <c r="M1246">
        <v>1100</v>
      </c>
      <c r="N1246">
        <v>36</v>
      </c>
      <c r="O1246">
        <v>1800</v>
      </c>
      <c r="Q1246">
        <f t="shared" si="38"/>
        <v>2023</v>
      </c>
      <c r="R1246">
        <f t="shared" si="39"/>
        <v>9</v>
      </c>
    </row>
    <row r="1247" spans="1:18">
      <c r="A1247">
        <v>5</v>
      </c>
      <c r="B1247" t="s">
        <v>253</v>
      </c>
      <c r="C1247" s="216">
        <v>45244</v>
      </c>
      <c r="D1247">
        <v>7.4</v>
      </c>
      <c r="E1247" s="116">
        <v>9.1</v>
      </c>
      <c r="F1247" s="101">
        <v>75</v>
      </c>
      <c r="G1247">
        <v>7.7</v>
      </c>
      <c r="H1247" s="116">
        <v>4.0999999999999996</v>
      </c>
      <c r="I1247">
        <v>47.4</v>
      </c>
      <c r="J1247">
        <v>1.8</v>
      </c>
      <c r="K1247">
        <v>36</v>
      </c>
      <c r="L1247">
        <v>67</v>
      </c>
      <c r="M1247">
        <v>3300</v>
      </c>
      <c r="N1247">
        <v>57</v>
      </c>
      <c r="O1247">
        <v>3800</v>
      </c>
      <c r="Q1247">
        <f t="shared" si="38"/>
        <v>2023</v>
      </c>
      <c r="R1247">
        <f t="shared" si="39"/>
        <v>11</v>
      </c>
    </row>
    <row r="1248" spans="1:18">
      <c r="A1248">
        <v>7</v>
      </c>
      <c r="B1248" t="s">
        <v>254</v>
      </c>
      <c r="C1248" s="216">
        <v>44223</v>
      </c>
      <c r="D1248">
        <v>1.5</v>
      </c>
      <c r="E1248" s="116">
        <v>13.3</v>
      </c>
      <c r="F1248" s="101">
        <v>95</v>
      </c>
      <c r="G1248">
        <v>8.1</v>
      </c>
      <c r="H1248" s="116">
        <v>5</v>
      </c>
      <c r="I1248">
        <v>42.5</v>
      </c>
      <c r="J1248">
        <v>1.3</v>
      </c>
      <c r="K1248">
        <v>44</v>
      </c>
      <c r="L1248">
        <v>68</v>
      </c>
      <c r="M1248">
        <v>3000</v>
      </c>
      <c r="N1248">
        <v>100</v>
      </c>
      <c r="O1248">
        <v>3700</v>
      </c>
      <c r="Q1248">
        <f t="shared" si="38"/>
        <v>2021</v>
      </c>
      <c r="R1248">
        <f t="shared" si="39"/>
        <v>1</v>
      </c>
    </row>
    <row r="1249" spans="1:18">
      <c r="A1249">
        <v>7</v>
      </c>
      <c r="B1249" t="s">
        <v>254</v>
      </c>
      <c r="C1249" s="216">
        <v>44251</v>
      </c>
      <c r="D1249">
        <v>2.8</v>
      </c>
      <c r="E1249" s="116">
        <v>14.1</v>
      </c>
      <c r="F1249" s="101">
        <v>103</v>
      </c>
      <c r="G1249">
        <v>8.1</v>
      </c>
      <c r="H1249" s="116">
        <v>2.8</v>
      </c>
      <c r="I1249">
        <v>41.3</v>
      </c>
      <c r="J1249">
        <v>1.9</v>
      </c>
      <c r="K1249">
        <v>37</v>
      </c>
      <c r="L1249">
        <v>63</v>
      </c>
      <c r="M1249">
        <v>3400</v>
      </c>
      <c r="N1249">
        <v>67</v>
      </c>
      <c r="O1249">
        <v>3800</v>
      </c>
      <c r="Q1249">
        <f t="shared" si="38"/>
        <v>2021</v>
      </c>
      <c r="R1249">
        <f t="shared" si="39"/>
        <v>2</v>
      </c>
    </row>
    <row r="1250" spans="1:18">
      <c r="A1250">
        <v>7</v>
      </c>
      <c r="B1250" t="s">
        <v>254</v>
      </c>
      <c r="C1250" s="216">
        <v>44284</v>
      </c>
      <c r="D1250">
        <v>5.5</v>
      </c>
      <c r="E1250" s="116">
        <v>16.100000000000001</v>
      </c>
      <c r="F1250" s="101">
        <v>127</v>
      </c>
      <c r="G1250">
        <v>8.9</v>
      </c>
      <c r="H1250" s="116">
        <v>3.7</v>
      </c>
      <c r="I1250">
        <v>41</v>
      </c>
      <c r="J1250">
        <v>4.9000000000000004</v>
      </c>
      <c r="K1250" t="s">
        <v>149</v>
      </c>
      <c r="L1250">
        <v>43</v>
      </c>
      <c r="M1250">
        <v>3500</v>
      </c>
      <c r="N1250">
        <v>26</v>
      </c>
      <c r="O1250">
        <v>4600</v>
      </c>
      <c r="Q1250">
        <f t="shared" si="38"/>
        <v>2021</v>
      </c>
      <c r="R1250">
        <f t="shared" si="39"/>
        <v>3</v>
      </c>
    </row>
    <row r="1251" spans="1:18">
      <c r="A1251">
        <v>7</v>
      </c>
      <c r="B1251" t="s">
        <v>254</v>
      </c>
      <c r="C1251" s="216">
        <v>44315</v>
      </c>
      <c r="D1251">
        <v>9.9</v>
      </c>
      <c r="E1251" s="116">
        <v>12.8</v>
      </c>
      <c r="F1251" s="101">
        <v>114</v>
      </c>
      <c r="G1251">
        <v>8.6999999999999993</v>
      </c>
      <c r="H1251" s="116">
        <v>2</v>
      </c>
      <c r="I1251">
        <v>39</v>
      </c>
      <c r="J1251">
        <v>3.8</v>
      </c>
      <c r="K1251">
        <v>3.5</v>
      </c>
      <c r="L1251">
        <v>24</v>
      </c>
      <c r="M1251">
        <v>3100</v>
      </c>
      <c r="N1251" t="s">
        <v>148</v>
      </c>
      <c r="O1251">
        <v>3800</v>
      </c>
      <c r="Q1251">
        <f t="shared" si="38"/>
        <v>2021</v>
      </c>
      <c r="R1251">
        <f t="shared" si="39"/>
        <v>4</v>
      </c>
    </row>
    <row r="1252" spans="1:18">
      <c r="A1252">
        <v>7</v>
      </c>
      <c r="B1252" t="s">
        <v>254</v>
      </c>
      <c r="C1252" s="216">
        <v>44344</v>
      </c>
      <c r="D1252">
        <v>14.7</v>
      </c>
      <c r="E1252" s="116">
        <v>11.6</v>
      </c>
      <c r="F1252" s="101">
        <v>114</v>
      </c>
      <c r="G1252">
        <v>8.5</v>
      </c>
      <c r="H1252" s="116">
        <v>2.2000000000000002</v>
      </c>
      <c r="I1252">
        <v>40.799999999999997</v>
      </c>
      <c r="J1252">
        <v>1.6</v>
      </c>
      <c r="K1252" t="s">
        <v>149</v>
      </c>
      <c r="L1252">
        <v>15</v>
      </c>
      <c r="M1252">
        <v>2700</v>
      </c>
      <c r="N1252">
        <v>13</v>
      </c>
      <c r="O1252">
        <v>3500</v>
      </c>
      <c r="Q1252">
        <f t="shared" si="38"/>
        <v>2021</v>
      </c>
      <c r="R1252">
        <f t="shared" si="39"/>
        <v>5</v>
      </c>
    </row>
    <row r="1253" spans="1:18">
      <c r="A1253">
        <v>7</v>
      </c>
      <c r="B1253" t="s">
        <v>254</v>
      </c>
      <c r="C1253" s="216">
        <v>44365</v>
      </c>
      <c r="D1253">
        <v>23.8</v>
      </c>
      <c r="E1253" s="116">
        <v>11.5</v>
      </c>
      <c r="F1253" s="101">
        <v>136</v>
      </c>
      <c r="G1253">
        <v>8.6</v>
      </c>
      <c r="H1253" s="116">
        <v>1.9</v>
      </c>
      <c r="I1253">
        <v>54.1</v>
      </c>
      <c r="J1253">
        <v>1.9</v>
      </c>
      <c r="K1253">
        <v>3</v>
      </c>
      <c r="L1253">
        <v>23</v>
      </c>
      <c r="M1253">
        <v>2300</v>
      </c>
      <c r="N1253">
        <v>34</v>
      </c>
      <c r="O1253">
        <v>3200</v>
      </c>
      <c r="Q1253">
        <f t="shared" si="38"/>
        <v>2021</v>
      </c>
      <c r="R1253">
        <f t="shared" si="39"/>
        <v>6</v>
      </c>
    </row>
    <row r="1254" spans="1:18">
      <c r="A1254">
        <v>7</v>
      </c>
      <c r="B1254" t="s">
        <v>254</v>
      </c>
      <c r="C1254" s="216">
        <v>44390</v>
      </c>
      <c r="D1254">
        <v>23.1</v>
      </c>
      <c r="E1254" s="116">
        <v>11.2</v>
      </c>
      <c r="F1254" s="101">
        <v>131</v>
      </c>
      <c r="G1254">
        <v>8.6</v>
      </c>
      <c r="H1254" s="116">
        <v>14</v>
      </c>
      <c r="I1254">
        <v>36.700000000000003</v>
      </c>
      <c r="J1254">
        <v>3.6</v>
      </c>
      <c r="K1254">
        <v>13</v>
      </c>
      <c r="L1254">
        <v>39</v>
      </c>
      <c r="M1254">
        <v>1600</v>
      </c>
      <c r="N1254" t="s">
        <v>148</v>
      </c>
      <c r="O1254">
        <v>2400</v>
      </c>
      <c r="Q1254">
        <f t="shared" si="38"/>
        <v>2021</v>
      </c>
      <c r="R1254">
        <f t="shared" si="39"/>
        <v>7</v>
      </c>
    </row>
    <row r="1255" spans="1:18">
      <c r="A1255">
        <v>7</v>
      </c>
      <c r="B1255" t="s">
        <v>254</v>
      </c>
      <c r="C1255" s="216">
        <v>44431</v>
      </c>
      <c r="D1255">
        <v>20.2</v>
      </c>
      <c r="E1255" s="116">
        <v>16.899999999999999</v>
      </c>
      <c r="F1255" s="101">
        <v>186</v>
      </c>
      <c r="G1255">
        <v>9</v>
      </c>
      <c r="H1255" s="116">
        <v>18</v>
      </c>
      <c r="I1255">
        <v>33.1</v>
      </c>
      <c r="J1255">
        <v>5.3</v>
      </c>
      <c r="K1255">
        <v>2.5</v>
      </c>
      <c r="L1255">
        <v>86</v>
      </c>
      <c r="M1255" t="s">
        <v>148</v>
      </c>
      <c r="N1255" t="s">
        <v>148</v>
      </c>
      <c r="O1255">
        <v>1100</v>
      </c>
      <c r="Q1255">
        <f t="shared" si="38"/>
        <v>2021</v>
      </c>
      <c r="R1255">
        <f t="shared" si="39"/>
        <v>8</v>
      </c>
    </row>
    <row r="1256" spans="1:18">
      <c r="A1256">
        <v>7</v>
      </c>
      <c r="B1256" t="s">
        <v>254</v>
      </c>
      <c r="C1256" s="216">
        <v>44459</v>
      </c>
      <c r="D1256">
        <v>16</v>
      </c>
      <c r="E1256" s="116">
        <v>8.9</v>
      </c>
      <c r="F1256" s="101">
        <v>89</v>
      </c>
      <c r="G1256">
        <v>8.5</v>
      </c>
      <c r="H1256" s="116">
        <v>9.9</v>
      </c>
      <c r="I1256">
        <v>36.299999999999997</v>
      </c>
      <c r="J1256">
        <v>3.1</v>
      </c>
      <c r="K1256">
        <v>49</v>
      </c>
      <c r="L1256">
        <v>120</v>
      </c>
      <c r="M1256">
        <v>11</v>
      </c>
      <c r="N1256" t="s">
        <v>148</v>
      </c>
      <c r="O1256">
        <v>950</v>
      </c>
      <c r="Q1256">
        <f t="shared" si="38"/>
        <v>2021</v>
      </c>
      <c r="R1256">
        <f t="shared" si="39"/>
        <v>9</v>
      </c>
    </row>
    <row r="1257" spans="1:18">
      <c r="A1257">
        <v>7</v>
      </c>
      <c r="B1257" t="s">
        <v>254</v>
      </c>
      <c r="C1257" s="216">
        <v>44489</v>
      </c>
      <c r="D1257">
        <v>11.9</v>
      </c>
      <c r="E1257" s="116">
        <v>9.5</v>
      </c>
      <c r="F1257" s="101">
        <v>90</v>
      </c>
      <c r="G1257">
        <v>8.1</v>
      </c>
      <c r="H1257" s="116">
        <v>3.8</v>
      </c>
      <c r="I1257">
        <v>38.1</v>
      </c>
      <c r="J1257">
        <v>1.9</v>
      </c>
      <c r="K1257">
        <v>49</v>
      </c>
      <c r="L1257">
        <v>92</v>
      </c>
      <c r="M1257">
        <v>340</v>
      </c>
      <c r="N1257">
        <v>68</v>
      </c>
      <c r="O1257">
        <v>1000</v>
      </c>
      <c r="Q1257">
        <f t="shared" si="38"/>
        <v>2021</v>
      </c>
      <c r="R1257">
        <f t="shared" si="39"/>
        <v>10</v>
      </c>
    </row>
    <row r="1258" spans="1:18">
      <c r="A1258">
        <v>7</v>
      </c>
      <c r="B1258" t="s">
        <v>254</v>
      </c>
      <c r="C1258" s="216">
        <v>44530</v>
      </c>
      <c r="D1258">
        <v>4.3</v>
      </c>
      <c r="E1258" s="116">
        <v>12.3</v>
      </c>
      <c r="F1258" s="101">
        <v>98</v>
      </c>
      <c r="G1258">
        <v>8.1999999999999993</v>
      </c>
      <c r="H1258" s="116">
        <v>1.7</v>
      </c>
      <c r="I1258">
        <v>40.9</v>
      </c>
      <c r="J1258">
        <v>2</v>
      </c>
      <c r="K1258">
        <v>34</v>
      </c>
      <c r="L1258">
        <v>77</v>
      </c>
      <c r="M1258">
        <v>1900</v>
      </c>
      <c r="N1258">
        <v>120</v>
      </c>
      <c r="O1258">
        <v>2400</v>
      </c>
      <c r="Q1258">
        <f t="shared" si="38"/>
        <v>2021</v>
      </c>
      <c r="R1258">
        <f t="shared" si="39"/>
        <v>11</v>
      </c>
    </row>
    <row r="1259" spans="1:18">
      <c r="A1259">
        <v>7</v>
      </c>
      <c r="B1259" t="s">
        <v>254</v>
      </c>
      <c r="C1259" s="216">
        <v>44550</v>
      </c>
      <c r="D1259">
        <v>3.1</v>
      </c>
      <c r="E1259" s="116">
        <v>13.3</v>
      </c>
      <c r="F1259" s="101">
        <v>98</v>
      </c>
      <c r="G1259">
        <v>8.1</v>
      </c>
      <c r="H1259" s="116">
        <v>1.9</v>
      </c>
      <c r="I1259">
        <v>40.5</v>
      </c>
      <c r="J1259">
        <v>1.6</v>
      </c>
      <c r="K1259">
        <v>48</v>
      </c>
      <c r="L1259">
        <v>67</v>
      </c>
      <c r="M1259">
        <v>2800</v>
      </c>
      <c r="N1259">
        <v>120</v>
      </c>
      <c r="O1259">
        <v>3100</v>
      </c>
      <c r="Q1259">
        <f t="shared" ref="Q1259:Q1322" si="40">YEAR(C1259)</f>
        <v>2021</v>
      </c>
      <c r="R1259">
        <f t="shared" ref="R1259:R1322" si="41">MONTH(C1259)</f>
        <v>12</v>
      </c>
    </row>
    <row r="1260" spans="1:18">
      <c r="A1260">
        <v>7</v>
      </c>
      <c r="B1260" t="s">
        <v>254</v>
      </c>
      <c r="C1260" s="216">
        <v>44580</v>
      </c>
      <c r="D1260">
        <v>2.5</v>
      </c>
      <c r="E1260" s="116">
        <v>13.5</v>
      </c>
      <c r="F1260" s="101">
        <v>98</v>
      </c>
      <c r="G1260">
        <v>8.1999999999999993</v>
      </c>
      <c r="H1260" s="116">
        <v>2.4</v>
      </c>
      <c r="I1260">
        <v>42.6</v>
      </c>
      <c r="J1260">
        <v>1.5</v>
      </c>
      <c r="K1260">
        <v>52</v>
      </c>
      <c r="L1260">
        <v>67</v>
      </c>
      <c r="M1260">
        <v>3300</v>
      </c>
      <c r="N1260">
        <v>99</v>
      </c>
      <c r="O1260">
        <v>4100</v>
      </c>
      <c r="Q1260">
        <f t="shared" si="40"/>
        <v>2022</v>
      </c>
      <c r="R1260">
        <f t="shared" si="41"/>
        <v>1</v>
      </c>
    </row>
    <row r="1261" spans="1:18">
      <c r="A1261">
        <v>7</v>
      </c>
      <c r="B1261" t="s">
        <v>254</v>
      </c>
      <c r="C1261" s="216">
        <v>44607</v>
      </c>
      <c r="D1261">
        <v>3.1</v>
      </c>
      <c r="E1261" s="116">
        <v>13.4</v>
      </c>
      <c r="F1261" s="101">
        <v>101</v>
      </c>
      <c r="G1261">
        <v>8.1999999999999993</v>
      </c>
      <c r="H1261" s="116">
        <v>2.6</v>
      </c>
      <c r="I1261">
        <v>42.6</v>
      </c>
      <c r="J1261">
        <v>2.1</v>
      </c>
      <c r="K1261">
        <v>46</v>
      </c>
      <c r="L1261">
        <v>63</v>
      </c>
      <c r="M1261">
        <v>3600</v>
      </c>
      <c r="N1261">
        <v>79</v>
      </c>
      <c r="O1261">
        <v>4100</v>
      </c>
      <c r="Q1261">
        <f t="shared" si="40"/>
        <v>2022</v>
      </c>
      <c r="R1261">
        <f t="shared" si="41"/>
        <v>2</v>
      </c>
    </row>
    <row r="1262" spans="1:18">
      <c r="A1262">
        <v>7</v>
      </c>
      <c r="B1262" t="s">
        <v>254</v>
      </c>
      <c r="C1262" s="216">
        <v>44637</v>
      </c>
      <c r="D1262">
        <v>4.4000000000000004</v>
      </c>
      <c r="E1262" s="116">
        <v>13</v>
      </c>
      <c r="F1262" s="101">
        <v>98</v>
      </c>
      <c r="G1262">
        <v>8.1999999999999993</v>
      </c>
      <c r="H1262" s="116">
        <v>4.8</v>
      </c>
      <c r="I1262">
        <v>40.700000000000003</v>
      </c>
      <c r="J1262">
        <v>2</v>
      </c>
      <c r="K1262">
        <v>28</v>
      </c>
      <c r="L1262">
        <v>57</v>
      </c>
      <c r="M1262">
        <v>3800</v>
      </c>
      <c r="N1262">
        <v>16</v>
      </c>
      <c r="O1262">
        <v>4200</v>
      </c>
      <c r="Q1262">
        <f t="shared" si="40"/>
        <v>2022</v>
      </c>
      <c r="R1262">
        <f t="shared" si="41"/>
        <v>3</v>
      </c>
    </row>
    <row r="1263" spans="1:18">
      <c r="A1263">
        <v>7</v>
      </c>
      <c r="B1263" t="s">
        <v>254</v>
      </c>
      <c r="C1263" s="216">
        <v>44670</v>
      </c>
      <c r="D1263">
        <v>9.9</v>
      </c>
      <c r="E1263" s="116">
        <v>13</v>
      </c>
      <c r="F1263" s="101">
        <v>115</v>
      </c>
      <c r="G1263">
        <v>8.6999999999999993</v>
      </c>
      <c r="H1263" s="116">
        <v>0.78</v>
      </c>
      <c r="I1263">
        <v>40.299999999999997</v>
      </c>
      <c r="J1263">
        <v>1.9</v>
      </c>
      <c r="K1263" t="s">
        <v>149</v>
      </c>
      <c r="L1263">
        <v>19</v>
      </c>
      <c r="M1263">
        <v>3000</v>
      </c>
      <c r="N1263">
        <v>25</v>
      </c>
      <c r="O1263">
        <v>3700</v>
      </c>
      <c r="Q1263">
        <f t="shared" si="40"/>
        <v>2022</v>
      </c>
      <c r="R1263">
        <f t="shared" si="41"/>
        <v>4</v>
      </c>
    </row>
    <row r="1264" spans="1:18">
      <c r="A1264">
        <v>7</v>
      </c>
      <c r="B1264" t="s">
        <v>254</v>
      </c>
      <c r="C1264" s="216">
        <v>44698</v>
      </c>
      <c r="D1264">
        <v>15.7</v>
      </c>
      <c r="E1264" s="116">
        <v>12.4</v>
      </c>
      <c r="F1264" s="101">
        <v>120</v>
      </c>
      <c r="G1264">
        <v>8.5</v>
      </c>
      <c r="H1264" s="116">
        <v>3.3</v>
      </c>
      <c r="I1264">
        <v>41.4</v>
      </c>
      <c r="J1264">
        <v>2.9</v>
      </c>
      <c r="K1264" t="s">
        <v>149</v>
      </c>
      <c r="L1264">
        <v>33</v>
      </c>
      <c r="M1264">
        <v>2400</v>
      </c>
      <c r="N1264">
        <v>10</v>
      </c>
      <c r="O1264">
        <v>3000</v>
      </c>
      <c r="Q1264">
        <f t="shared" si="40"/>
        <v>2022</v>
      </c>
      <c r="R1264">
        <f t="shared" si="41"/>
        <v>5</v>
      </c>
    </row>
    <row r="1265" spans="1:18">
      <c r="A1265">
        <v>7</v>
      </c>
      <c r="B1265" t="s">
        <v>254</v>
      </c>
      <c r="C1265" s="216">
        <v>44735</v>
      </c>
      <c r="D1265">
        <v>19.3</v>
      </c>
      <c r="E1265" s="116">
        <v>9.9</v>
      </c>
      <c r="F1265" s="101">
        <v>107</v>
      </c>
      <c r="G1265">
        <v>8.5</v>
      </c>
      <c r="H1265" s="116">
        <v>2.8</v>
      </c>
      <c r="I1265">
        <v>37.9</v>
      </c>
      <c r="J1265">
        <v>2.2000000000000002</v>
      </c>
      <c r="K1265" t="s">
        <v>149</v>
      </c>
      <c r="L1265">
        <v>20</v>
      </c>
      <c r="M1265">
        <v>1200</v>
      </c>
      <c r="N1265">
        <v>48</v>
      </c>
      <c r="O1265">
        <v>2000</v>
      </c>
      <c r="Q1265">
        <f t="shared" si="40"/>
        <v>2022</v>
      </c>
      <c r="R1265">
        <f t="shared" si="41"/>
        <v>6</v>
      </c>
    </row>
    <row r="1266" spans="1:18">
      <c r="A1266">
        <v>7</v>
      </c>
      <c r="B1266" t="s">
        <v>254</v>
      </c>
      <c r="C1266" s="216">
        <v>44761</v>
      </c>
      <c r="D1266">
        <v>20.6</v>
      </c>
      <c r="E1266" s="116">
        <v>13</v>
      </c>
      <c r="F1266" s="101">
        <v>144</v>
      </c>
      <c r="G1266">
        <v>8.9</v>
      </c>
      <c r="H1266" s="116">
        <v>6.4</v>
      </c>
      <c r="I1266">
        <v>35.5</v>
      </c>
      <c r="J1266">
        <v>3.7</v>
      </c>
      <c r="K1266" t="s">
        <v>149</v>
      </c>
      <c r="L1266">
        <v>38</v>
      </c>
      <c r="M1266">
        <v>350</v>
      </c>
      <c r="N1266">
        <v>14</v>
      </c>
      <c r="O1266">
        <v>1200</v>
      </c>
      <c r="Q1266">
        <f t="shared" si="40"/>
        <v>2022</v>
      </c>
      <c r="R1266">
        <f t="shared" si="41"/>
        <v>7</v>
      </c>
    </row>
    <row r="1267" spans="1:18">
      <c r="A1267">
        <v>7</v>
      </c>
      <c r="B1267" t="s">
        <v>254</v>
      </c>
      <c r="C1267" s="216">
        <v>44795</v>
      </c>
      <c r="D1267">
        <v>21.9</v>
      </c>
      <c r="E1267" s="116">
        <v>7.9</v>
      </c>
      <c r="F1267" s="101">
        <v>90</v>
      </c>
      <c r="G1267">
        <v>8.1999999999999993</v>
      </c>
      <c r="H1267" s="116">
        <v>5.8</v>
      </c>
      <c r="I1267">
        <v>33.9</v>
      </c>
      <c r="J1267">
        <v>3.2</v>
      </c>
      <c r="K1267">
        <v>34</v>
      </c>
      <c r="L1267">
        <v>99</v>
      </c>
      <c r="M1267" t="s">
        <v>148</v>
      </c>
      <c r="N1267" t="s">
        <v>148</v>
      </c>
      <c r="O1267">
        <v>790</v>
      </c>
      <c r="Q1267">
        <f t="shared" si="40"/>
        <v>2022</v>
      </c>
      <c r="R1267">
        <f t="shared" si="41"/>
        <v>8</v>
      </c>
    </row>
    <row r="1268" spans="1:18">
      <c r="A1268">
        <v>7</v>
      </c>
      <c r="B1268" t="s">
        <v>254</v>
      </c>
      <c r="C1268" s="216">
        <v>44826</v>
      </c>
      <c r="D1268">
        <v>15.3</v>
      </c>
      <c r="E1268" s="116">
        <v>10.5</v>
      </c>
      <c r="F1268" s="101">
        <v>105</v>
      </c>
      <c r="G1268">
        <v>8.6</v>
      </c>
      <c r="H1268" s="116">
        <v>8.8000000000000007</v>
      </c>
      <c r="I1268">
        <v>34.6</v>
      </c>
      <c r="J1268">
        <v>2.1</v>
      </c>
      <c r="K1268">
        <v>59</v>
      </c>
      <c r="L1268">
        <v>110</v>
      </c>
      <c r="M1268">
        <v>15</v>
      </c>
      <c r="N1268">
        <v>15</v>
      </c>
      <c r="O1268">
        <v>750</v>
      </c>
      <c r="Q1268">
        <f t="shared" si="40"/>
        <v>2022</v>
      </c>
      <c r="R1268">
        <f t="shared" si="41"/>
        <v>9</v>
      </c>
    </row>
    <row r="1269" spans="1:18">
      <c r="A1269">
        <v>7</v>
      </c>
      <c r="B1269" t="s">
        <v>254</v>
      </c>
      <c r="C1269" s="216">
        <v>44858</v>
      </c>
      <c r="D1269">
        <v>12.9</v>
      </c>
      <c r="E1269" s="116">
        <v>10.3</v>
      </c>
      <c r="F1269" s="101">
        <v>97</v>
      </c>
      <c r="G1269">
        <v>8.1999999999999993</v>
      </c>
      <c r="H1269" s="116">
        <v>9.6</v>
      </c>
      <c r="I1269">
        <v>36.4</v>
      </c>
      <c r="J1269">
        <v>1.8</v>
      </c>
      <c r="K1269">
        <v>46</v>
      </c>
      <c r="L1269">
        <v>120</v>
      </c>
      <c r="M1269">
        <v>130</v>
      </c>
      <c r="N1269">
        <v>15</v>
      </c>
      <c r="O1269">
        <v>780</v>
      </c>
      <c r="Q1269">
        <f t="shared" si="40"/>
        <v>2022</v>
      </c>
      <c r="R1269">
        <f t="shared" si="41"/>
        <v>10</v>
      </c>
    </row>
    <row r="1270" spans="1:18">
      <c r="A1270">
        <v>7</v>
      </c>
      <c r="B1270" t="s">
        <v>254</v>
      </c>
      <c r="C1270" s="216">
        <v>44881</v>
      </c>
      <c r="D1270">
        <v>7.8</v>
      </c>
      <c r="E1270" s="116">
        <v>11.6</v>
      </c>
      <c r="F1270" s="101">
        <v>98</v>
      </c>
      <c r="G1270">
        <v>8.1999999999999993</v>
      </c>
      <c r="H1270" s="116">
        <v>91</v>
      </c>
      <c r="I1270">
        <v>38.1</v>
      </c>
      <c r="J1270">
        <v>4.0999999999999996</v>
      </c>
      <c r="K1270">
        <v>24</v>
      </c>
      <c r="L1270">
        <v>300</v>
      </c>
      <c r="M1270">
        <v>420</v>
      </c>
      <c r="N1270">
        <v>34</v>
      </c>
      <c r="O1270">
        <v>1600</v>
      </c>
      <c r="Q1270">
        <f t="shared" si="40"/>
        <v>2022</v>
      </c>
      <c r="R1270">
        <f t="shared" si="41"/>
        <v>11</v>
      </c>
    </row>
    <row r="1271" spans="1:18">
      <c r="A1271">
        <v>7</v>
      </c>
      <c r="B1271" t="s">
        <v>254</v>
      </c>
      <c r="C1271" s="216">
        <v>44917</v>
      </c>
      <c r="D1271">
        <v>1.8</v>
      </c>
      <c r="E1271" s="116">
        <v>13.9</v>
      </c>
      <c r="F1271" s="101">
        <v>99</v>
      </c>
      <c r="G1271">
        <v>8.1</v>
      </c>
      <c r="H1271" s="116">
        <v>0.84</v>
      </c>
      <c r="I1271">
        <v>38</v>
      </c>
      <c r="J1271">
        <v>2.1</v>
      </c>
      <c r="K1271">
        <v>47</v>
      </c>
      <c r="L1271">
        <v>64</v>
      </c>
      <c r="M1271">
        <v>510</v>
      </c>
      <c r="N1271">
        <v>85</v>
      </c>
      <c r="O1271">
        <v>1000</v>
      </c>
      <c r="Q1271">
        <f t="shared" si="40"/>
        <v>2022</v>
      </c>
      <c r="R1271">
        <f t="shared" si="41"/>
        <v>12</v>
      </c>
    </row>
    <row r="1272" spans="1:18">
      <c r="A1272">
        <v>7</v>
      </c>
      <c r="B1272" t="s">
        <v>254</v>
      </c>
      <c r="C1272" s="216">
        <v>44944</v>
      </c>
      <c r="D1272">
        <v>3.7</v>
      </c>
      <c r="E1272" s="116">
        <v>12.7</v>
      </c>
      <c r="F1272" s="101">
        <v>97</v>
      </c>
      <c r="G1272">
        <v>8.1</v>
      </c>
      <c r="H1272" s="116">
        <v>3.4</v>
      </c>
      <c r="I1272">
        <v>40.6</v>
      </c>
      <c r="J1272">
        <v>1.6</v>
      </c>
      <c r="K1272">
        <v>36</v>
      </c>
      <c r="L1272">
        <v>60</v>
      </c>
      <c r="M1272">
        <v>3800</v>
      </c>
      <c r="N1272">
        <v>55</v>
      </c>
      <c r="O1272">
        <v>3900</v>
      </c>
      <c r="Q1272">
        <f t="shared" si="40"/>
        <v>2023</v>
      </c>
      <c r="R1272">
        <f t="shared" si="41"/>
        <v>1</v>
      </c>
    </row>
    <row r="1273" spans="1:18">
      <c r="A1273">
        <v>7</v>
      </c>
      <c r="B1273" t="s">
        <v>254</v>
      </c>
      <c r="C1273" s="216">
        <v>44970</v>
      </c>
      <c r="D1273">
        <v>3.6</v>
      </c>
      <c r="E1273" s="116">
        <v>14</v>
      </c>
      <c r="F1273" s="101">
        <v>102</v>
      </c>
      <c r="G1273">
        <v>8.1</v>
      </c>
      <c r="H1273" s="116">
        <v>1.6</v>
      </c>
      <c r="I1273">
        <v>41.7</v>
      </c>
      <c r="J1273">
        <v>1.8</v>
      </c>
      <c r="K1273">
        <v>32</v>
      </c>
      <c r="L1273">
        <v>52</v>
      </c>
      <c r="M1273">
        <v>4000</v>
      </c>
      <c r="N1273">
        <v>32</v>
      </c>
      <c r="O1273">
        <v>4600</v>
      </c>
      <c r="Q1273">
        <f t="shared" si="40"/>
        <v>2023</v>
      </c>
      <c r="R1273">
        <f t="shared" si="41"/>
        <v>2</v>
      </c>
    </row>
    <row r="1274" spans="1:18">
      <c r="A1274">
        <v>7</v>
      </c>
      <c r="B1274" t="s">
        <v>254</v>
      </c>
      <c r="C1274" s="216">
        <v>45006</v>
      </c>
      <c r="D1274">
        <v>4.2</v>
      </c>
      <c r="E1274" s="116">
        <v>15.8</v>
      </c>
      <c r="F1274" s="101">
        <v>121</v>
      </c>
      <c r="G1274">
        <v>8.6</v>
      </c>
      <c r="H1274" s="116">
        <v>2.4</v>
      </c>
      <c r="I1274">
        <v>41.9</v>
      </c>
      <c r="J1274">
        <v>3.2</v>
      </c>
      <c r="K1274" t="s">
        <v>149</v>
      </c>
      <c r="L1274">
        <v>28</v>
      </c>
      <c r="M1274">
        <v>3600</v>
      </c>
      <c r="N1274">
        <v>14</v>
      </c>
      <c r="O1274">
        <v>4600</v>
      </c>
      <c r="Q1274">
        <f t="shared" si="40"/>
        <v>2023</v>
      </c>
      <c r="R1274">
        <f t="shared" si="41"/>
        <v>3</v>
      </c>
    </row>
    <row r="1275" spans="1:18">
      <c r="A1275">
        <v>7</v>
      </c>
      <c r="B1275" t="s">
        <v>254</v>
      </c>
      <c r="C1275" s="216">
        <v>45034</v>
      </c>
      <c r="D1275">
        <v>10.6</v>
      </c>
      <c r="E1275" s="116">
        <v>13</v>
      </c>
      <c r="F1275" s="101">
        <v>114</v>
      </c>
      <c r="G1275">
        <v>8.4</v>
      </c>
      <c r="H1275" s="116">
        <v>1.4</v>
      </c>
      <c r="I1275">
        <v>42</v>
      </c>
      <c r="J1275">
        <v>2.5</v>
      </c>
      <c r="K1275" t="s">
        <v>149</v>
      </c>
      <c r="L1275">
        <v>20</v>
      </c>
      <c r="M1275">
        <v>3700</v>
      </c>
      <c r="N1275">
        <v>11</v>
      </c>
      <c r="O1275">
        <v>4700</v>
      </c>
      <c r="Q1275">
        <f t="shared" si="40"/>
        <v>2023</v>
      </c>
      <c r="R1275">
        <f t="shared" si="41"/>
        <v>4</v>
      </c>
    </row>
    <row r="1276" spans="1:18">
      <c r="A1276">
        <v>7</v>
      </c>
      <c r="B1276" t="s">
        <v>254</v>
      </c>
      <c r="C1276" s="216">
        <v>45061</v>
      </c>
      <c r="D1276">
        <v>16.100000000000001</v>
      </c>
      <c r="E1276" s="116">
        <v>11.4</v>
      </c>
      <c r="F1276" s="101">
        <v>116</v>
      </c>
      <c r="G1276">
        <v>8.4</v>
      </c>
      <c r="H1276" s="116">
        <v>5.0999999999999996</v>
      </c>
      <c r="I1276">
        <v>42.7</v>
      </c>
      <c r="J1276">
        <v>1.9</v>
      </c>
      <c r="K1276" t="s">
        <v>149</v>
      </c>
      <c r="L1276">
        <v>35</v>
      </c>
      <c r="M1276">
        <v>2800</v>
      </c>
      <c r="N1276">
        <v>30</v>
      </c>
      <c r="O1276">
        <v>4500</v>
      </c>
      <c r="Q1276">
        <f t="shared" si="40"/>
        <v>2023</v>
      </c>
      <c r="R1276">
        <f t="shared" si="41"/>
        <v>5</v>
      </c>
    </row>
    <row r="1277" spans="1:18">
      <c r="A1277">
        <v>7</v>
      </c>
      <c r="B1277" t="s">
        <v>254</v>
      </c>
      <c r="C1277" s="216">
        <v>45096</v>
      </c>
      <c r="D1277">
        <v>23.1</v>
      </c>
      <c r="E1277" s="116">
        <v>10.1</v>
      </c>
      <c r="F1277" s="101">
        <v>118</v>
      </c>
      <c r="G1277">
        <v>8.5</v>
      </c>
      <c r="H1277" s="116">
        <v>1.8</v>
      </c>
      <c r="I1277">
        <v>41.2</v>
      </c>
      <c r="J1277">
        <v>2</v>
      </c>
      <c r="K1277">
        <v>2.8</v>
      </c>
      <c r="L1277">
        <v>18</v>
      </c>
      <c r="M1277">
        <v>1700</v>
      </c>
      <c r="N1277">
        <v>43</v>
      </c>
      <c r="O1277">
        <v>2300</v>
      </c>
      <c r="Q1277">
        <f t="shared" si="40"/>
        <v>2023</v>
      </c>
      <c r="R1277">
        <f t="shared" si="41"/>
        <v>6</v>
      </c>
    </row>
    <row r="1278" spans="1:18">
      <c r="A1278">
        <v>7</v>
      </c>
      <c r="B1278" t="s">
        <v>254</v>
      </c>
      <c r="C1278" s="216">
        <v>45125</v>
      </c>
      <c r="D1278">
        <v>20.399999999999999</v>
      </c>
      <c r="E1278" s="116">
        <v>11.8</v>
      </c>
      <c r="F1278" s="101">
        <v>131</v>
      </c>
      <c r="G1278">
        <v>8.5</v>
      </c>
      <c r="H1278" s="116">
        <v>1.7</v>
      </c>
      <c r="I1278">
        <v>38.1</v>
      </c>
      <c r="J1278">
        <v>2</v>
      </c>
      <c r="K1278">
        <v>2.2999999999999998</v>
      </c>
      <c r="L1278">
        <v>24</v>
      </c>
      <c r="M1278">
        <v>770</v>
      </c>
      <c r="N1278">
        <v>24</v>
      </c>
      <c r="O1278">
        <v>1300</v>
      </c>
      <c r="Q1278">
        <f t="shared" si="40"/>
        <v>2023</v>
      </c>
      <c r="R1278">
        <f t="shared" si="41"/>
        <v>7</v>
      </c>
    </row>
    <row r="1279" spans="1:18">
      <c r="A1279">
        <v>7</v>
      </c>
      <c r="B1279" t="s">
        <v>254</v>
      </c>
      <c r="C1279" s="216">
        <v>45155</v>
      </c>
      <c r="D1279">
        <v>22</v>
      </c>
      <c r="E1279" s="116">
        <v>12.1</v>
      </c>
      <c r="F1279" s="101">
        <v>129</v>
      </c>
      <c r="G1279">
        <v>8.8000000000000007</v>
      </c>
      <c r="H1279" s="116">
        <v>9.8000000000000007</v>
      </c>
      <c r="I1279">
        <v>34</v>
      </c>
      <c r="J1279">
        <v>5.2</v>
      </c>
      <c r="K1279" t="s">
        <v>149</v>
      </c>
      <c r="L1279">
        <v>48</v>
      </c>
      <c r="M1279">
        <v>190</v>
      </c>
      <c r="N1279" t="s">
        <v>148</v>
      </c>
      <c r="O1279">
        <v>1200</v>
      </c>
      <c r="Q1279">
        <f t="shared" si="40"/>
        <v>2023</v>
      </c>
      <c r="R1279">
        <f t="shared" si="41"/>
        <v>8</v>
      </c>
    </row>
    <row r="1280" spans="1:18">
      <c r="A1280">
        <v>7</v>
      </c>
      <c r="B1280" t="s">
        <v>254</v>
      </c>
      <c r="C1280" s="216">
        <v>45187</v>
      </c>
      <c r="D1280">
        <v>19.8</v>
      </c>
      <c r="E1280" s="116">
        <v>11</v>
      </c>
      <c r="F1280" s="101">
        <v>122</v>
      </c>
      <c r="G1280">
        <v>8.8000000000000007</v>
      </c>
      <c r="H1280" s="116">
        <v>59</v>
      </c>
      <c r="I1280">
        <v>32.799999999999997</v>
      </c>
      <c r="J1280" t="s">
        <v>288</v>
      </c>
      <c r="K1280">
        <v>17</v>
      </c>
      <c r="L1280">
        <v>340</v>
      </c>
      <c r="M1280" t="s">
        <v>148</v>
      </c>
      <c r="N1280" t="s">
        <v>148</v>
      </c>
      <c r="O1280">
        <v>2300</v>
      </c>
      <c r="Q1280">
        <f t="shared" si="40"/>
        <v>2023</v>
      </c>
      <c r="R1280">
        <f t="shared" si="41"/>
        <v>9</v>
      </c>
    </row>
    <row r="1281" spans="1:18">
      <c r="A1281">
        <v>7</v>
      </c>
      <c r="B1281" t="s">
        <v>254</v>
      </c>
      <c r="C1281" s="216">
        <v>45210</v>
      </c>
      <c r="D1281">
        <v>14.2</v>
      </c>
      <c r="E1281" s="116">
        <v>10.5</v>
      </c>
      <c r="F1281" s="101">
        <v>103</v>
      </c>
      <c r="G1281">
        <v>8.5</v>
      </c>
      <c r="H1281" s="116">
        <v>10</v>
      </c>
      <c r="I1281">
        <v>35.299999999999997</v>
      </c>
      <c r="J1281">
        <v>3.4</v>
      </c>
      <c r="K1281">
        <v>24</v>
      </c>
      <c r="L1281">
        <v>90</v>
      </c>
      <c r="M1281" t="s">
        <v>148</v>
      </c>
      <c r="N1281" t="s">
        <v>148</v>
      </c>
      <c r="O1281">
        <v>970</v>
      </c>
      <c r="Q1281">
        <f t="shared" si="40"/>
        <v>2023</v>
      </c>
      <c r="R1281">
        <f t="shared" si="41"/>
        <v>10</v>
      </c>
    </row>
    <row r="1282" spans="1:18">
      <c r="A1282">
        <v>7</v>
      </c>
      <c r="B1282" t="s">
        <v>254</v>
      </c>
      <c r="C1282" s="216">
        <v>45244</v>
      </c>
      <c r="D1282">
        <v>7.7</v>
      </c>
      <c r="E1282" s="116">
        <v>11.7</v>
      </c>
      <c r="F1282" s="101">
        <v>99</v>
      </c>
      <c r="G1282">
        <v>8.1999999999999993</v>
      </c>
      <c r="H1282" s="116">
        <v>6.1</v>
      </c>
      <c r="I1282">
        <v>39.5</v>
      </c>
      <c r="J1282">
        <v>2.4</v>
      </c>
      <c r="K1282">
        <v>34</v>
      </c>
      <c r="L1282">
        <v>75</v>
      </c>
      <c r="M1282">
        <v>1500</v>
      </c>
      <c r="N1282">
        <v>100</v>
      </c>
      <c r="O1282">
        <v>2100</v>
      </c>
      <c r="Q1282">
        <f t="shared" si="40"/>
        <v>2023</v>
      </c>
      <c r="R1282">
        <f t="shared" si="41"/>
        <v>11</v>
      </c>
    </row>
    <row r="1283" spans="1:18">
      <c r="A1283">
        <v>9</v>
      </c>
      <c r="B1283" t="s">
        <v>255</v>
      </c>
      <c r="C1283" s="216">
        <v>44222</v>
      </c>
      <c r="D1283">
        <v>2.4</v>
      </c>
      <c r="E1283" s="116">
        <v>13.1</v>
      </c>
      <c r="F1283" s="101">
        <v>97</v>
      </c>
      <c r="G1283">
        <v>8.1</v>
      </c>
      <c r="H1283" s="116">
        <v>6.5</v>
      </c>
      <c r="I1283">
        <v>43.8</v>
      </c>
      <c r="J1283">
        <v>1.4</v>
      </c>
      <c r="K1283">
        <v>40</v>
      </c>
      <c r="L1283">
        <v>63</v>
      </c>
      <c r="M1283">
        <v>9400</v>
      </c>
      <c r="N1283">
        <v>27</v>
      </c>
      <c r="O1283">
        <v>10000</v>
      </c>
      <c r="Q1283">
        <f t="shared" si="40"/>
        <v>2021</v>
      </c>
      <c r="R1283">
        <f t="shared" si="41"/>
        <v>1</v>
      </c>
    </row>
    <row r="1284" spans="1:18">
      <c r="A1284">
        <v>9</v>
      </c>
      <c r="B1284" t="s">
        <v>255</v>
      </c>
      <c r="C1284" s="216">
        <v>44284</v>
      </c>
      <c r="D1284">
        <v>7.2</v>
      </c>
      <c r="E1284" s="116">
        <v>11.9</v>
      </c>
      <c r="F1284" s="101">
        <v>98</v>
      </c>
      <c r="G1284">
        <v>8.1</v>
      </c>
      <c r="H1284" s="116">
        <v>1.7</v>
      </c>
      <c r="I1284">
        <v>48.8</v>
      </c>
      <c r="J1284">
        <v>1.7</v>
      </c>
      <c r="K1284">
        <v>12</v>
      </c>
      <c r="L1284">
        <v>34</v>
      </c>
      <c r="M1284">
        <v>6300</v>
      </c>
      <c r="N1284">
        <v>15</v>
      </c>
      <c r="O1284">
        <v>7200</v>
      </c>
      <c r="Q1284">
        <f t="shared" si="40"/>
        <v>2021</v>
      </c>
      <c r="R1284">
        <f t="shared" si="41"/>
        <v>3</v>
      </c>
    </row>
    <row r="1285" spans="1:18">
      <c r="A1285">
        <v>9</v>
      </c>
      <c r="B1285" t="s">
        <v>255</v>
      </c>
      <c r="C1285" s="216">
        <v>44344</v>
      </c>
      <c r="D1285">
        <v>13.6</v>
      </c>
      <c r="E1285" s="116">
        <v>9.5</v>
      </c>
      <c r="F1285" s="101">
        <v>91</v>
      </c>
      <c r="G1285">
        <v>8</v>
      </c>
      <c r="H1285" s="116">
        <v>3.7</v>
      </c>
      <c r="I1285">
        <v>49.3</v>
      </c>
      <c r="J1285">
        <v>3.6</v>
      </c>
      <c r="K1285">
        <v>6.5</v>
      </c>
      <c r="L1285">
        <v>64</v>
      </c>
      <c r="M1285">
        <v>1700</v>
      </c>
      <c r="N1285">
        <v>48</v>
      </c>
      <c r="O1285">
        <v>2600</v>
      </c>
      <c r="Q1285">
        <f t="shared" si="40"/>
        <v>2021</v>
      </c>
      <c r="R1285">
        <f t="shared" si="41"/>
        <v>5</v>
      </c>
    </row>
    <row r="1286" spans="1:18">
      <c r="A1286">
        <v>9</v>
      </c>
      <c r="B1286" t="s">
        <v>255</v>
      </c>
      <c r="C1286" s="216">
        <v>44390</v>
      </c>
      <c r="D1286">
        <v>21.4</v>
      </c>
      <c r="E1286" s="116">
        <v>8.1</v>
      </c>
      <c r="F1286" s="101">
        <v>92</v>
      </c>
      <c r="G1286">
        <v>8</v>
      </c>
      <c r="H1286" s="116">
        <v>1.4</v>
      </c>
      <c r="I1286">
        <v>43.9</v>
      </c>
      <c r="J1286">
        <v>1.5</v>
      </c>
      <c r="K1286">
        <v>100</v>
      </c>
      <c r="L1286">
        <v>140</v>
      </c>
      <c r="M1286">
        <v>300</v>
      </c>
      <c r="N1286">
        <v>56</v>
      </c>
      <c r="O1286">
        <v>890</v>
      </c>
      <c r="Q1286">
        <f t="shared" si="40"/>
        <v>2021</v>
      </c>
      <c r="R1286">
        <f t="shared" si="41"/>
        <v>7</v>
      </c>
    </row>
    <row r="1287" spans="1:18">
      <c r="A1287">
        <v>9</v>
      </c>
      <c r="B1287" t="s">
        <v>255</v>
      </c>
      <c r="C1287" s="216">
        <v>44459</v>
      </c>
      <c r="D1287">
        <v>12.9</v>
      </c>
      <c r="E1287" s="116">
        <v>6.8</v>
      </c>
      <c r="F1287" s="101">
        <v>64</v>
      </c>
      <c r="G1287">
        <v>7.7</v>
      </c>
      <c r="H1287" s="116">
        <v>1.3</v>
      </c>
      <c r="I1287">
        <v>52.1</v>
      </c>
      <c r="J1287">
        <v>1.3</v>
      </c>
      <c r="K1287">
        <v>87</v>
      </c>
      <c r="L1287">
        <v>110</v>
      </c>
      <c r="M1287">
        <v>470</v>
      </c>
      <c r="N1287">
        <v>68</v>
      </c>
      <c r="O1287">
        <v>1000</v>
      </c>
      <c r="Q1287">
        <f t="shared" si="40"/>
        <v>2021</v>
      </c>
      <c r="R1287">
        <f t="shared" si="41"/>
        <v>9</v>
      </c>
    </row>
    <row r="1288" spans="1:18">
      <c r="A1288">
        <v>9</v>
      </c>
      <c r="B1288" t="s">
        <v>255</v>
      </c>
      <c r="C1288" s="216">
        <v>44530</v>
      </c>
      <c r="D1288">
        <v>3.3</v>
      </c>
      <c r="E1288" s="116">
        <v>12.9</v>
      </c>
      <c r="F1288" s="101">
        <v>100</v>
      </c>
      <c r="G1288">
        <v>8.1</v>
      </c>
      <c r="H1288" s="116">
        <v>5.5</v>
      </c>
      <c r="I1288">
        <v>55.1</v>
      </c>
      <c r="J1288">
        <v>1.8</v>
      </c>
      <c r="K1288">
        <v>11</v>
      </c>
      <c r="L1288">
        <v>52</v>
      </c>
      <c r="M1288">
        <v>7700</v>
      </c>
      <c r="N1288">
        <v>52</v>
      </c>
      <c r="O1288">
        <v>7200</v>
      </c>
      <c r="Q1288">
        <f t="shared" si="40"/>
        <v>2021</v>
      </c>
      <c r="R1288">
        <f t="shared" si="41"/>
        <v>11</v>
      </c>
    </row>
    <row r="1289" spans="1:18">
      <c r="A1289">
        <v>9</v>
      </c>
      <c r="B1289" t="s">
        <v>255</v>
      </c>
      <c r="C1289" s="216">
        <v>44580</v>
      </c>
      <c r="D1289">
        <v>2.7</v>
      </c>
      <c r="E1289" s="116">
        <v>12.1</v>
      </c>
      <c r="F1289" s="101">
        <v>89</v>
      </c>
      <c r="G1289">
        <v>8.1</v>
      </c>
      <c r="H1289" s="116">
        <v>3</v>
      </c>
      <c r="I1289">
        <v>50</v>
      </c>
      <c r="J1289">
        <v>1.5</v>
      </c>
      <c r="K1289">
        <v>30</v>
      </c>
      <c r="L1289">
        <v>48</v>
      </c>
      <c r="M1289">
        <v>6300</v>
      </c>
      <c r="N1289">
        <v>38</v>
      </c>
      <c r="O1289">
        <v>7000</v>
      </c>
      <c r="Q1289">
        <f t="shared" si="40"/>
        <v>2022</v>
      </c>
      <c r="R1289">
        <f t="shared" si="41"/>
        <v>1</v>
      </c>
    </row>
    <row r="1290" spans="1:18">
      <c r="A1290">
        <v>9</v>
      </c>
      <c r="B1290" t="s">
        <v>255</v>
      </c>
      <c r="C1290" s="216">
        <v>44637</v>
      </c>
      <c r="D1290">
        <v>4.9000000000000004</v>
      </c>
      <c r="E1290" s="116">
        <v>12.9</v>
      </c>
      <c r="F1290" s="101">
        <v>99</v>
      </c>
      <c r="G1290">
        <v>8.1</v>
      </c>
      <c r="H1290" s="116">
        <v>2.5</v>
      </c>
      <c r="I1290">
        <v>49.4</v>
      </c>
      <c r="J1290">
        <v>2.2000000000000002</v>
      </c>
      <c r="K1290">
        <v>15</v>
      </c>
      <c r="L1290">
        <v>40</v>
      </c>
      <c r="M1290">
        <v>4800</v>
      </c>
      <c r="N1290">
        <v>16</v>
      </c>
      <c r="O1290">
        <v>5300</v>
      </c>
      <c r="Q1290">
        <f t="shared" si="40"/>
        <v>2022</v>
      </c>
      <c r="R1290">
        <f t="shared" si="41"/>
        <v>3</v>
      </c>
    </row>
    <row r="1291" spans="1:18">
      <c r="A1291">
        <v>9</v>
      </c>
      <c r="B1291" t="s">
        <v>255</v>
      </c>
      <c r="C1291" s="216">
        <v>44698</v>
      </c>
      <c r="D1291">
        <v>13.4</v>
      </c>
      <c r="E1291" s="116">
        <v>8.1</v>
      </c>
      <c r="F1291" s="101">
        <v>77</v>
      </c>
      <c r="G1291">
        <v>7.9</v>
      </c>
      <c r="H1291" s="116">
        <v>2.8</v>
      </c>
      <c r="I1291">
        <v>52.9</v>
      </c>
      <c r="J1291">
        <v>3.2</v>
      </c>
      <c r="K1291">
        <v>7.1</v>
      </c>
      <c r="L1291">
        <v>56</v>
      </c>
      <c r="M1291">
        <v>1900</v>
      </c>
      <c r="N1291">
        <v>58</v>
      </c>
      <c r="O1291">
        <v>2500</v>
      </c>
      <c r="Q1291">
        <f t="shared" si="40"/>
        <v>2022</v>
      </c>
      <c r="R1291">
        <f t="shared" si="41"/>
        <v>5</v>
      </c>
    </row>
    <row r="1292" spans="1:18">
      <c r="A1292">
        <v>9</v>
      </c>
      <c r="B1292" t="s">
        <v>255</v>
      </c>
      <c r="C1292" s="216">
        <v>44761</v>
      </c>
      <c r="D1292">
        <v>17.3</v>
      </c>
      <c r="E1292" s="116">
        <v>7.2</v>
      </c>
      <c r="F1292" s="101">
        <v>74</v>
      </c>
      <c r="G1292">
        <v>7.8</v>
      </c>
      <c r="H1292" s="116">
        <v>2.9</v>
      </c>
      <c r="I1292">
        <v>41.4</v>
      </c>
      <c r="J1292">
        <v>2.1</v>
      </c>
      <c r="K1292">
        <v>220</v>
      </c>
      <c r="L1292">
        <v>243</v>
      </c>
      <c r="M1292">
        <v>620</v>
      </c>
      <c r="N1292">
        <v>75</v>
      </c>
      <c r="O1292">
        <v>1400</v>
      </c>
      <c r="Q1292">
        <f t="shared" si="40"/>
        <v>2022</v>
      </c>
      <c r="R1292">
        <f t="shared" si="41"/>
        <v>7</v>
      </c>
    </row>
    <row r="1293" spans="1:18">
      <c r="A1293">
        <v>9</v>
      </c>
      <c r="B1293" t="s">
        <v>255</v>
      </c>
      <c r="C1293" s="216">
        <v>44826</v>
      </c>
      <c r="D1293">
        <v>12.7</v>
      </c>
      <c r="E1293" s="116">
        <v>11.8</v>
      </c>
      <c r="F1293" s="101">
        <v>110</v>
      </c>
      <c r="G1293">
        <v>7.9</v>
      </c>
      <c r="H1293" s="116">
        <v>1.1000000000000001</v>
      </c>
      <c r="I1293">
        <v>52.3</v>
      </c>
      <c r="J1293">
        <v>1.5</v>
      </c>
      <c r="K1293">
        <v>6.5</v>
      </c>
      <c r="L1293">
        <v>23</v>
      </c>
      <c r="M1293">
        <v>33</v>
      </c>
      <c r="N1293">
        <v>21</v>
      </c>
      <c r="O1293">
        <v>530</v>
      </c>
      <c r="Q1293">
        <f t="shared" si="40"/>
        <v>2022</v>
      </c>
      <c r="R1293">
        <f t="shared" si="41"/>
        <v>9</v>
      </c>
    </row>
    <row r="1294" spans="1:18">
      <c r="A1294">
        <v>9</v>
      </c>
      <c r="B1294" t="s">
        <v>255</v>
      </c>
      <c r="C1294" s="216">
        <v>44881</v>
      </c>
      <c r="D1294">
        <v>8.3000000000000007</v>
      </c>
      <c r="E1294" s="116">
        <v>5.0999999999999996</v>
      </c>
      <c r="F1294" s="101">
        <v>44</v>
      </c>
      <c r="G1294">
        <v>7.7</v>
      </c>
      <c r="H1294" s="116">
        <v>1.4</v>
      </c>
      <c r="I1294">
        <v>58.2</v>
      </c>
      <c r="J1294">
        <v>1.6</v>
      </c>
      <c r="K1294">
        <v>30</v>
      </c>
      <c r="L1294">
        <v>55</v>
      </c>
      <c r="M1294">
        <v>330</v>
      </c>
      <c r="N1294">
        <v>110</v>
      </c>
      <c r="O1294">
        <v>870</v>
      </c>
      <c r="Q1294">
        <f t="shared" si="40"/>
        <v>2022</v>
      </c>
      <c r="R1294">
        <f t="shared" si="41"/>
        <v>11</v>
      </c>
    </row>
    <row r="1295" spans="1:18">
      <c r="A1295">
        <v>9</v>
      </c>
      <c r="B1295" t="s">
        <v>255</v>
      </c>
      <c r="C1295" s="216">
        <v>44944</v>
      </c>
      <c r="D1295">
        <v>4.0999999999999996</v>
      </c>
      <c r="E1295" s="116">
        <v>12.5</v>
      </c>
      <c r="F1295" s="101">
        <v>96</v>
      </c>
      <c r="G1295">
        <v>7.9</v>
      </c>
      <c r="H1295" s="116">
        <v>6.8</v>
      </c>
      <c r="I1295">
        <v>44.7</v>
      </c>
      <c r="J1295">
        <v>1.4</v>
      </c>
      <c r="K1295">
        <v>35</v>
      </c>
      <c r="L1295">
        <v>60</v>
      </c>
      <c r="M1295">
        <v>11000</v>
      </c>
      <c r="N1295">
        <v>26</v>
      </c>
      <c r="O1295">
        <v>11000</v>
      </c>
      <c r="Q1295">
        <f t="shared" si="40"/>
        <v>2023</v>
      </c>
      <c r="R1295">
        <f t="shared" si="41"/>
        <v>1</v>
      </c>
    </row>
    <row r="1296" spans="1:18">
      <c r="A1296">
        <v>9</v>
      </c>
      <c r="B1296" t="s">
        <v>255</v>
      </c>
      <c r="C1296" s="216">
        <v>45006</v>
      </c>
      <c r="D1296">
        <v>5.5</v>
      </c>
      <c r="E1296" s="116">
        <v>13.9</v>
      </c>
      <c r="F1296" s="101">
        <v>110</v>
      </c>
      <c r="G1296">
        <v>8.1999999999999993</v>
      </c>
      <c r="H1296" s="116">
        <v>3.5</v>
      </c>
      <c r="I1296">
        <v>46.1</v>
      </c>
      <c r="J1296">
        <v>2.5</v>
      </c>
      <c r="K1296">
        <v>14</v>
      </c>
      <c r="L1296">
        <v>34</v>
      </c>
      <c r="M1296">
        <v>8100</v>
      </c>
      <c r="N1296">
        <v>12</v>
      </c>
      <c r="O1296">
        <v>9100</v>
      </c>
      <c r="Q1296">
        <f t="shared" si="40"/>
        <v>2023</v>
      </c>
      <c r="R1296">
        <f t="shared" si="41"/>
        <v>3</v>
      </c>
    </row>
    <row r="1297" spans="1:18">
      <c r="A1297">
        <v>9</v>
      </c>
      <c r="B1297" t="s">
        <v>255</v>
      </c>
      <c r="C1297" s="216">
        <v>45061</v>
      </c>
      <c r="D1297">
        <v>16</v>
      </c>
      <c r="E1297" s="116">
        <v>8</v>
      </c>
      <c r="F1297" s="101">
        <v>81</v>
      </c>
      <c r="G1297">
        <v>7.8</v>
      </c>
      <c r="H1297" s="116">
        <v>3.6</v>
      </c>
      <c r="I1297">
        <v>52.5</v>
      </c>
      <c r="J1297">
        <v>2.5</v>
      </c>
      <c r="K1297">
        <v>5.7</v>
      </c>
      <c r="L1297">
        <v>61</v>
      </c>
      <c r="M1297">
        <v>1100</v>
      </c>
      <c r="N1297">
        <v>39</v>
      </c>
      <c r="O1297">
        <v>2200</v>
      </c>
      <c r="Q1297">
        <f t="shared" si="40"/>
        <v>2023</v>
      </c>
      <c r="R1297">
        <f t="shared" si="41"/>
        <v>5</v>
      </c>
    </row>
    <row r="1298" spans="1:18">
      <c r="A1298">
        <v>9</v>
      </c>
      <c r="B1298" t="s">
        <v>255</v>
      </c>
      <c r="C1298" s="216">
        <v>45125</v>
      </c>
      <c r="D1298">
        <v>18.399999999999999</v>
      </c>
      <c r="E1298" s="116">
        <v>6.4</v>
      </c>
      <c r="F1298" s="101">
        <v>67</v>
      </c>
      <c r="G1298">
        <v>7.7</v>
      </c>
      <c r="H1298" s="116">
        <v>2.7</v>
      </c>
      <c r="I1298">
        <v>45.1</v>
      </c>
      <c r="J1298">
        <v>2.2999999999999998</v>
      </c>
      <c r="K1298">
        <v>90</v>
      </c>
      <c r="L1298">
        <v>150</v>
      </c>
      <c r="M1298">
        <v>400</v>
      </c>
      <c r="N1298">
        <v>88</v>
      </c>
      <c r="O1298">
        <v>1200</v>
      </c>
      <c r="Q1298">
        <f t="shared" si="40"/>
        <v>2023</v>
      </c>
      <c r="R1298">
        <f t="shared" si="41"/>
        <v>7</v>
      </c>
    </row>
    <row r="1299" spans="1:18">
      <c r="A1299">
        <v>9</v>
      </c>
      <c r="B1299" t="s">
        <v>255</v>
      </c>
      <c r="C1299" s="216">
        <v>45187</v>
      </c>
      <c r="D1299">
        <v>18.3</v>
      </c>
      <c r="E1299" s="116">
        <v>7.9</v>
      </c>
      <c r="F1299" s="101">
        <v>85</v>
      </c>
      <c r="G1299">
        <v>8</v>
      </c>
      <c r="H1299" s="116">
        <v>3.6</v>
      </c>
      <c r="I1299">
        <v>53.5</v>
      </c>
      <c r="J1299">
        <v>1.6</v>
      </c>
      <c r="K1299">
        <v>36</v>
      </c>
      <c r="L1299">
        <v>87</v>
      </c>
      <c r="M1299">
        <v>2200</v>
      </c>
      <c r="N1299">
        <v>43</v>
      </c>
      <c r="O1299">
        <v>2700</v>
      </c>
      <c r="Q1299">
        <f t="shared" si="40"/>
        <v>2023</v>
      </c>
      <c r="R1299">
        <f t="shared" si="41"/>
        <v>9</v>
      </c>
    </row>
    <row r="1300" spans="1:18">
      <c r="A1300">
        <v>9</v>
      </c>
      <c r="B1300" t="s">
        <v>255</v>
      </c>
      <c r="C1300" s="216">
        <v>45244</v>
      </c>
      <c r="D1300">
        <v>7.3</v>
      </c>
      <c r="E1300" s="116">
        <v>11.6</v>
      </c>
      <c r="F1300" s="101">
        <v>98</v>
      </c>
      <c r="G1300">
        <v>8.1</v>
      </c>
      <c r="H1300" s="116">
        <v>2.6</v>
      </c>
      <c r="I1300">
        <v>54.6</v>
      </c>
      <c r="J1300">
        <v>1.6</v>
      </c>
      <c r="K1300">
        <v>35</v>
      </c>
      <c r="L1300">
        <v>55</v>
      </c>
      <c r="M1300">
        <v>9600</v>
      </c>
      <c r="N1300">
        <v>28</v>
      </c>
      <c r="O1300">
        <v>9800</v>
      </c>
      <c r="Q1300">
        <f t="shared" si="40"/>
        <v>2023</v>
      </c>
      <c r="R1300">
        <f t="shared" si="41"/>
        <v>11</v>
      </c>
    </row>
    <row r="1301" spans="1:18">
      <c r="A1301">
        <v>11</v>
      </c>
      <c r="B1301" t="s">
        <v>256</v>
      </c>
      <c r="C1301" s="216">
        <v>44222</v>
      </c>
      <c r="D1301">
        <v>2.4</v>
      </c>
      <c r="E1301" s="116">
        <v>13</v>
      </c>
      <c r="F1301" s="101">
        <v>95</v>
      </c>
      <c r="G1301">
        <v>8</v>
      </c>
      <c r="H1301" s="116">
        <v>6</v>
      </c>
      <c r="I1301">
        <v>44.9</v>
      </c>
      <c r="J1301">
        <v>1.1000000000000001</v>
      </c>
      <c r="K1301">
        <v>37</v>
      </c>
      <c r="L1301">
        <v>65</v>
      </c>
      <c r="M1301">
        <v>7400</v>
      </c>
      <c r="N1301">
        <v>55</v>
      </c>
      <c r="O1301">
        <v>8400</v>
      </c>
      <c r="Q1301">
        <f t="shared" si="40"/>
        <v>2021</v>
      </c>
      <c r="R1301">
        <f t="shared" si="41"/>
        <v>1</v>
      </c>
    </row>
    <row r="1302" spans="1:18">
      <c r="A1302">
        <v>11</v>
      </c>
      <c r="B1302" t="s">
        <v>256</v>
      </c>
      <c r="C1302" s="216">
        <v>44284</v>
      </c>
      <c r="D1302">
        <v>6.9</v>
      </c>
      <c r="E1302" s="116">
        <v>11.6</v>
      </c>
      <c r="F1302" s="101">
        <v>94</v>
      </c>
      <c r="G1302">
        <v>8.1</v>
      </c>
      <c r="H1302" s="116">
        <v>2</v>
      </c>
      <c r="I1302">
        <v>50.2</v>
      </c>
      <c r="J1302">
        <v>1.6</v>
      </c>
      <c r="K1302">
        <v>11</v>
      </c>
      <c r="L1302">
        <v>28</v>
      </c>
      <c r="M1302">
        <v>4400</v>
      </c>
      <c r="N1302">
        <v>27</v>
      </c>
      <c r="O1302">
        <v>5300</v>
      </c>
      <c r="Q1302">
        <f t="shared" si="40"/>
        <v>2021</v>
      </c>
      <c r="R1302">
        <f t="shared" si="41"/>
        <v>3</v>
      </c>
    </row>
    <row r="1303" spans="1:18">
      <c r="A1303">
        <v>11</v>
      </c>
      <c r="B1303" t="s">
        <v>256</v>
      </c>
      <c r="C1303" s="216">
        <v>44315</v>
      </c>
      <c r="D1303">
        <v>9.1</v>
      </c>
      <c r="E1303" s="116">
        <v>12.1</v>
      </c>
      <c r="F1303" s="101">
        <v>106</v>
      </c>
      <c r="G1303">
        <v>8.1999999999999993</v>
      </c>
      <c r="H1303" s="116">
        <v>1.6</v>
      </c>
      <c r="I1303">
        <v>50</v>
      </c>
      <c r="J1303">
        <v>2.2000000000000002</v>
      </c>
      <c r="K1303">
        <v>7.8</v>
      </c>
      <c r="L1303">
        <v>22</v>
      </c>
      <c r="M1303">
        <v>3000</v>
      </c>
      <c r="N1303">
        <v>24</v>
      </c>
      <c r="O1303">
        <v>3600</v>
      </c>
      <c r="Q1303">
        <f t="shared" si="40"/>
        <v>2021</v>
      </c>
      <c r="R1303">
        <f t="shared" si="41"/>
        <v>4</v>
      </c>
    </row>
    <row r="1304" spans="1:18">
      <c r="A1304">
        <v>11</v>
      </c>
      <c r="B1304" t="s">
        <v>256</v>
      </c>
      <c r="C1304" s="216">
        <v>44344</v>
      </c>
      <c r="D1304">
        <v>12.4</v>
      </c>
      <c r="E1304" s="116">
        <v>11.7</v>
      </c>
      <c r="F1304" s="101">
        <v>109</v>
      </c>
      <c r="G1304">
        <v>8.1999999999999993</v>
      </c>
      <c r="H1304" s="116">
        <v>2.4</v>
      </c>
      <c r="I1304">
        <v>47.8</v>
      </c>
      <c r="J1304">
        <v>2.1</v>
      </c>
      <c r="K1304">
        <v>6.7</v>
      </c>
      <c r="L1304">
        <v>41</v>
      </c>
      <c r="M1304">
        <v>2100</v>
      </c>
      <c r="N1304">
        <v>34</v>
      </c>
      <c r="O1304">
        <v>2900</v>
      </c>
      <c r="Q1304">
        <f t="shared" si="40"/>
        <v>2021</v>
      </c>
      <c r="R1304">
        <f t="shared" si="41"/>
        <v>5</v>
      </c>
    </row>
    <row r="1305" spans="1:18">
      <c r="A1305">
        <v>11</v>
      </c>
      <c r="B1305" t="s">
        <v>256</v>
      </c>
      <c r="C1305" s="216">
        <v>44365</v>
      </c>
      <c r="D1305">
        <v>21.1</v>
      </c>
      <c r="E1305" s="116">
        <v>10.1</v>
      </c>
      <c r="F1305" s="101">
        <v>114</v>
      </c>
      <c r="G1305">
        <v>8.3000000000000007</v>
      </c>
      <c r="H1305" s="116">
        <v>1.7</v>
      </c>
      <c r="I1305">
        <v>55.8</v>
      </c>
      <c r="J1305">
        <v>1.7</v>
      </c>
      <c r="K1305">
        <v>41</v>
      </c>
      <c r="L1305">
        <v>66</v>
      </c>
      <c r="M1305">
        <v>2200</v>
      </c>
      <c r="N1305">
        <v>33</v>
      </c>
      <c r="O1305">
        <v>2800</v>
      </c>
      <c r="Q1305">
        <f t="shared" si="40"/>
        <v>2021</v>
      </c>
      <c r="R1305">
        <f t="shared" si="41"/>
        <v>6</v>
      </c>
    </row>
    <row r="1306" spans="1:18">
      <c r="A1306">
        <v>11</v>
      </c>
      <c r="B1306" t="s">
        <v>256</v>
      </c>
      <c r="C1306" s="216">
        <v>44390</v>
      </c>
      <c r="D1306">
        <v>20.5</v>
      </c>
      <c r="E1306" s="116">
        <v>9</v>
      </c>
      <c r="F1306" s="101">
        <v>100</v>
      </c>
      <c r="G1306">
        <v>8.1999999999999993</v>
      </c>
      <c r="H1306" s="116">
        <v>1</v>
      </c>
      <c r="I1306">
        <v>54.7</v>
      </c>
      <c r="J1306">
        <v>1.1000000000000001</v>
      </c>
      <c r="K1306">
        <v>50</v>
      </c>
      <c r="L1306">
        <v>67</v>
      </c>
      <c r="M1306">
        <v>1900</v>
      </c>
      <c r="N1306">
        <v>28</v>
      </c>
      <c r="O1306">
        <v>2200</v>
      </c>
      <c r="Q1306">
        <f t="shared" si="40"/>
        <v>2021</v>
      </c>
      <c r="R1306">
        <f t="shared" si="41"/>
        <v>7</v>
      </c>
    </row>
    <row r="1307" spans="1:18">
      <c r="A1307">
        <v>11</v>
      </c>
      <c r="B1307" t="s">
        <v>256</v>
      </c>
      <c r="C1307" s="216">
        <v>44431</v>
      </c>
      <c r="D1307">
        <v>14.4</v>
      </c>
      <c r="E1307" s="116">
        <v>10.3</v>
      </c>
      <c r="F1307" s="101">
        <v>100</v>
      </c>
      <c r="G1307">
        <v>8.1</v>
      </c>
      <c r="H1307" s="116">
        <v>0.6</v>
      </c>
      <c r="I1307">
        <v>55.6</v>
      </c>
      <c r="J1307">
        <v>0.61</v>
      </c>
      <c r="K1307">
        <v>20</v>
      </c>
      <c r="L1307">
        <v>40</v>
      </c>
      <c r="M1307">
        <v>1800</v>
      </c>
      <c r="N1307">
        <v>16</v>
      </c>
      <c r="O1307">
        <v>2200</v>
      </c>
      <c r="Q1307">
        <f t="shared" si="40"/>
        <v>2021</v>
      </c>
      <c r="R1307">
        <f t="shared" si="41"/>
        <v>8</v>
      </c>
    </row>
    <row r="1308" spans="1:18">
      <c r="A1308">
        <v>11</v>
      </c>
      <c r="B1308" t="s">
        <v>256</v>
      </c>
      <c r="C1308" s="216">
        <v>44459</v>
      </c>
      <c r="D1308">
        <v>11.9</v>
      </c>
      <c r="E1308" s="116">
        <v>10.3</v>
      </c>
      <c r="F1308" s="101">
        <v>94</v>
      </c>
      <c r="G1308">
        <v>8.1</v>
      </c>
      <c r="H1308" s="116">
        <v>0.79</v>
      </c>
      <c r="I1308">
        <v>59.1</v>
      </c>
      <c r="J1308">
        <v>0.88</v>
      </c>
      <c r="K1308">
        <v>30</v>
      </c>
      <c r="L1308">
        <v>45</v>
      </c>
      <c r="M1308">
        <v>1700</v>
      </c>
      <c r="N1308">
        <v>18</v>
      </c>
      <c r="O1308">
        <v>2100</v>
      </c>
      <c r="Q1308">
        <f t="shared" si="40"/>
        <v>2021</v>
      </c>
      <c r="R1308">
        <f t="shared" si="41"/>
        <v>9</v>
      </c>
    </row>
    <row r="1309" spans="1:18">
      <c r="A1309">
        <v>11</v>
      </c>
      <c r="B1309" t="s">
        <v>256</v>
      </c>
      <c r="C1309" s="216">
        <v>44489</v>
      </c>
      <c r="D1309">
        <v>10.6</v>
      </c>
      <c r="E1309" s="116">
        <v>9</v>
      </c>
      <c r="F1309" s="101">
        <v>82</v>
      </c>
      <c r="G1309">
        <v>8</v>
      </c>
      <c r="H1309" s="116">
        <v>1.6</v>
      </c>
      <c r="I1309">
        <v>58.9</v>
      </c>
      <c r="J1309">
        <v>0.94</v>
      </c>
      <c r="K1309">
        <v>27</v>
      </c>
      <c r="L1309">
        <v>43</v>
      </c>
      <c r="M1309">
        <v>3600</v>
      </c>
      <c r="N1309">
        <v>230</v>
      </c>
      <c r="O1309">
        <v>4500</v>
      </c>
      <c r="Q1309">
        <f t="shared" si="40"/>
        <v>2021</v>
      </c>
      <c r="R1309">
        <f t="shared" si="41"/>
        <v>10</v>
      </c>
    </row>
    <row r="1310" spans="1:18">
      <c r="A1310">
        <v>11</v>
      </c>
      <c r="B1310" t="s">
        <v>256</v>
      </c>
      <c r="C1310" s="216">
        <v>44530</v>
      </c>
      <c r="D1310">
        <v>2.1</v>
      </c>
      <c r="E1310" s="116">
        <v>13.1</v>
      </c>
      <c r="F1310" s="101">
        <v>98</v>
      </c>
      <c r="G1310">
        <v>8</v>
      </c>
      <c r="H1310" s="116">
        <v>12</v>
      </c>
      <c r="I1310">
        <v>42.4</v>
      </c>
      <c r="J1310">
        <v>2.7</v>
      </c>
      <c r="K1310">
        <v>51</v>
      </c>
      <c r="L1310">
        <v>88</v>
      </c>
      <c r="M1310">
        <v>6700</v>
      </c>
      <c r="N1310">
        <v>33</v>
      </c>
      <c r="O1310">
        <v>6600</v>
      </c>
      <c r="Q1310">
        <f t="shared" si="40"/>
        <v>2021</v>
      </c>
      <c r="R1310">
        <f t="shared" si="41"/>
        <v>11</v>
      </c>
    </row>
    <row r="1311" spans="1:18">
      <c r="A1311">
        <v>11</v>
      </c>
      <c r="B1311" t="s">
        <v>256</v>
      </c>
      <c r="C1311" s="216">
        <v>44550</v>
      </c>
      <c r="D1311">
        <v>2.5</v>
      </c>
      <c r="E1311" s="116">
        <v>13.6</v>
      </c>
      <c r="F1311" s="101">
        <v>99</v>
      </c>
      <c r="G1311">
        <v>8</v>
      </c>
      <c r="H1311" s="116">
        <v>6.3</v>
      </c>
      <c r="I1311">
        <v>46.6</v>
      </c>
      <c r="J1311">
        <v>1.8</v>
      </c>
      <c r="K1311">
        <v>31</v>
      </c>
      <c r="L1311">
        <v>62</v>
      </c>
      <c r="M1311">
        <v>5500</v>
      </c>
      <c r="N1311">
        <v>60</v>
      </c>
      <c r="O1311">
        <v>5200</v>
      </c>
      <c r="Q1311">
        <f t="shared" si="40"/>
        <v>2021</v>
      </c>
      <c r="R1311">
        <f t="shared" si="41"/>
        <v>12</v>
      </c>
    </row>
    <row r="1312" spans="1:18">
      <c r="A1312">
        <v>11</v>
      </c>
      <c r="B1312" t="s">
        <v>256</v>
      </c>
      <c r="C1312" s="216">
        <v>44580</v>
      </c>
      <c r="D1312">
        <v>2.5</v>
      </c>
      <c r="E1312" s="116">
        <v>13.4</v>
      </c>
      <c r="F1312" s="101">
        <v>98</v>
      </c>
      <c r="G1312">
        <v>8.1</v>
      </c>
      <c r="H1312" s="116">
        <v>4.4000000000000004</v>
      </c>
      <c r="I1312">
        <v>51.4</v>
      </c>
      <c r="J1312">
        <v>1.4</v>
      </c>
      <c r="K1312">
        <v>34</v>
      </c>
      <c r="L1312">
        <v>52</v>
      </c>
      <c r="M1312">
        <v>4900</v>
      </c>
      <c r="N1312">
        <v>66</v>
      </c>
      <c r="O1312">
        <v>5600</v>
      </c>
      <c r="Q1312">
        <f t="shared" si="40"/>
        <v>2022</v>
      </c>
      <c r="R1312">
        <f t="shared" si="41"/>
        <v>1</v>
      </c>
    </row>
    <row r="1313" spans="1:18">
      <c r="A1313">
        <v>11</v>
      </c>
      <c r="B1313" t="s">
        <v>256</v>
      </c>
      <c r="C1313" s="216">
        <v>44607</v>
      </c>
      <c r="D1313">
        <v>4</v>
      </c>
      <c r="E1313" s="116">
        <v>12.7</v>
      </c>
      <c r="F1313" s="101">
        <v>98</v>
      </c>
      <c r="G1313">
        <v>8.1</v>
      </c>
      <c r="H1313" s="116">
        <v>5.3</v>
      </c>
      <c r="I1313">
        <v>49.2</v>
      </c>
      <c r="J1313">
        <v>2</v>
      </c>
      <c r="K1313">
        <v>30</v>
      </c>
      <c r="L1313">
        <v>49</v>
      </c>
      <c r="M1313">
        <v>5300</v>
      </c>
      <c r="N1313">
        <v>40</v>
      </c>
      <c r="O1313">
        <v>5600</v>
      </c>
      <c r="Q1313">
        <f t="shared" si="40"/>
        <v>2022</v>
      </c>
      <c r="R1313">
        <f t="shared" si="41"/>
        <v>2</v>
      </c>
    </row>
    <row r="1314" spans="1:18">
      <c r="A1314">
        <v>11</v>
      </c>
      <c r="B1314" t="s">
        <v>256</v>
      </c>
      <c r="C1314" s="216">
        <v>44637</v>
      </c>
      <c r="D1314">
        <v>5.6</v>
      </c>
      <c r="E1314" s="116">
        <v>12.5</v>
      </c>
      <c r="F1314" s="101">
        <v>98</v>
      </c>
      <c r="G1314">
        <v>8.1</v>
      </c>
      <c r="H1314" s="116">
        <v>3.2</v>
      </c>
      <c r="I1314">
        <v>51.8</v>
      </c>
      <c r="J1314">
        <v>1.9</v>
      </c>
      <c r="K1314">
        <v>21</v>
      </c>
      <c r="L1314">
        <v>42</v>
      </c>
      <c r="M1314">
        <v>4200</v>
      </c>
      <c r="N1314">
        <v>43</v>
      </c>
      <c r="O1314">
        <v>4600</v>
      </c>
      <c r="Q1314">
        <f t="shared" si="40"/>
        <v>2022</v>
      </c>
      <c r="R1314">
        <f t="shared" si="41"/>
        <v>3</v>
      </c>
    </row>
    <row r="1315" spans="1:18">
      <c r="A1315">
        <v>11</v>
      </c>
      <c r="B1315" t="s">
        <v>256</v>
      </c>
      <c r="C1315" s="216">
        <v>44670</v>
      </c>
      <c r="D1315">
        <v>10.3</v>
      </c>
      <c r="E1315" s="116">
        <v>12.1</v>
      </c>
      <c r="F1315" s="101">
        <v>108</v>
      </c>
      <c r="G1315">
        <v>8.1999999999999993</v>
      </c>
      <c r="H1315" s="116">
        <v>1.3</v>
      </c>
      <c r="I1315">
        <v>50.9</v>
      </c>
      <c r="J1315">
        <v>1.5</v>
      </c>
      <c r="K1315">
        <v>12</v>
      </c>
      <c r="L1315">
        <v>29</v>
      </c>
      <c r="M1315">
        <v>3500</v>
      </c>
      <c r="N1315">
        <v>25</v>
      </c>
      <c r="O1315">
        <v>4200</v>
      </c>
      <c r="Q1315">
        <f t="shared" si="40"/>
        <v>2022</v>
      </c>
      <c r="R1315">
        <f t="shared" si="41"/>
        <v>4</v>
      </c>
    </row>
    <row r="1316" spans="1:18">
      <c r="A1316">
        <v>11</v>
      </c>
      <c r="B1316" t="s">
        <v>256</v>
      </c>
      <c r="C1316" s="216">
        <v>44698</v>
      </c>
      <c r="D1316">
        <v>13.3</v>
      </c>
      <c r="E1316" s="116">
        <v>10.6</v>
      </c>
      <c r="F1316" s="101">
        <v>100</v>
      </c>
      <c r="G1316">
        <v>8.1</v>
      </c>
      <c r="H1316" s="116">
        <v>1.4</v>
      </c>
      <c r="I1316">
        <v>54.8</v>
      </c>
      <c r="J1316">
        <v>2.2999999999999998</v>
      </c>
      <c r="K1316">
        <v>3.1</v>
      </c>
      <c r="L1316">
        <v>24</v>
      </c>
      <c r="M1316">
        <v>2200</v>
      </c>
      <c r="N1316">
        <v>35</v>
      </c>
      <c r="O1316">
        <v>2600</v>
      </c>
      <c r="Q1316">
        <f t="shared" si="40"/>
        <v>2022</v>
      </c>
      <c r="R1316">
        <f t="shared" si="41"/>
        <v>5</v>
      </c>
    </row>
    <row r="1317" spans="1:18">
      <c r="A1317">
        <v>11</v>
      </c>
      <c r="B1317" t="s">
        <v>256</v>
      </c>
      <c r="C1317" s="216">
        <v>44735</v>
      </c>
      <c r="D1317">
        <v>16.2</v>
      </c>
      <c r="E1317" s="116">
        <v>10.199999999999999</v>
      </c>
      <c r="F1317" s="101">
        <v>103</v>
      </c>
      <c r="G1317">
        <v>8.1</v>
      </c>
      <c r="H1317" s="116">
        <v>2</v>
      </c>
      <c r="I1317">
        <v>47.4</v>
      </c>
      <c r="J1317">
        <v>1.6</v>
      </c>
      <c r="K1317">
        <v>43</v>
      </c>
      <c r="L1317">
        <v>70</v>
      </c>
      <c r="M1317">
        <v>2200</v>
      </c>
      <c r="N1317">
        <v>39</v>
      </c>
      <c r="O1317">
        <v>3100</v>
      </c>
      <c r="Q1317">
        <f t="shared" si="40"/>
        <v>2022</v>
      </c>
      <c r="R1317">
        <f t="shared" si="41"/>
        <v>6</v>
      </c>
    </row>
    <row r="1318" spans="1:18">
      <c r="A1318">
        <v>11</v>
      </c>
      <c r="B1318" t="s">
        <v>256</v>
      </c>
      <c r="C1318" s="216">
        <v>44761</v>
      </c>
      <c r="D1318">
        <v>16.899999999999999</v>
      </c>
      <c r="E1318" s="116">
        <v>10.1</v>
      </c>
      <c r="F1318" s="101">
        <v>103</v>
      </c>
      <c r="G1318">
        <v>8.1</v>
      </c>
      <c r="H1318" s="116">
        <v>1.2</v>
      </c>
      <c r="I1318">
        <v>56.7</v>
      </c>
      <c r="J1318">
        <v>1.1000000000000001</v>
      </c>
      <c r="K1318">
        <v>29</v>
      </c>
      <c r="L1318">
        <v>48</v>
      </c>
      <c r="M1318">
        <v>2000</v>
      </c>
      <c r="N1318">
        <v>27</v>
      </c>
      <c r="O1318">
        <v>2800</v>
      </c>
      <c r="Q1318">
        <f t="shared" si="40"/>
        <v>2022</v>
      </c>
      <c r="R1318">
        <f t="shared" si="41"/>
        <v>7</v>
      </c>
    </row>
    <row r="1319" spans="1:18">
      <c r="A1319">
        <v>11</v>
      </c>
      <c r="B1319" t="s">
        <v>256</v>
      </c>
      <c r="C1319" s="216">
        <v>44795</v>
      </c>
      <c r="D1319">
        <v>16.8</v>
      </c>
      <c r="E1319" s="116">
        <v>9.1999999999999993</v>
      </c>
      <c r="F1319" s="101">
        <v>94</v>
      </c>
      <c r="G1319">
        <v>8</v>
      </c>
      <c r="H1319" s="116">
        <v>0.72</v>
      </c>
      <c r="I1319">
        <v>65</v>
      </c>
      <c r="J1319">
        <v>1.1000000000000001</v>
      </c>
      <c r="K1319">
        <v>26</v>
      </c>
      <c r="L1319">
        <v>43</v>
      </c>
      <c r="M1319">
        <v>2300</v>
      </c>
      <c r="N1319">
        <v>28</v>
      </c>
      <c r="O1319">
        <v>2700</v>
      </c>
      <c r="Q1319">
        <f t="shared" si="40"/>
        <v>2022</v>
      </c>
      <c r="R1319">
        <f t="shared" si="41"/>
        <v>8</v>
      </c>
    </row>
    <row r="1320" spans="1:18">
      <c r="A1320">
        <v>11</v>
      </c>
      <c r="B1320" t="s">
        <v>256</v>
      </c>
      <c r="C1320" s="216">
        <v>44826</v>
      </c>
      <c r="D1320">
        <v>10.4</v>
      </c>
      <c r="E1320" s="116">
        <v>10.6</v>
      </c>
      <c r="F1320" s="101">
        <v>94</v>
      </c>
      <c r="G1320">
        <v>8</v>
      </c>
      <c r="H1320" s="116">
        <v>0.9</v>
      </c>
      <c r="I1320">
        <v>6.5</v>
      </c>
      <c r="J1320">
        <v>1.1000000000000001</v>
      </c>
      <c r="K1320">
        <v>18</v>
      </c>
      <c r="L1320">
        <v>34</v>
      </c>
      <c r="M1320">
        <v>2300</v>
      </c>
      <c r="N1320">
        <v>19</v>
      </c>
      <c r="O1320">
        <v>2900</v>
      </c>
      <c r="Q1320">
        <f t="shared" si="40"/>
        <v>2022</v>
      </c>
      <c r="R1320">
        <f t="shared" si="41"/>
        <v>9</v>
      </c>
    </row>
    <row r="1321" spans="1:18">
      <c r="A1321">
        <v>11</v>
      </c>
      <c r="B1321" t="s">
        <v>256</v>
      </c>
      <c r="C1321" s="216">
        <v>44858</v>
      </c>
      <c r="D1321">
        <v>11.8</v>
      </c>
      <c r="E1321" s="116">
        <v>9.1</v>
      </c>
      <c r="F1321" s="101">
        <v>84</v>
      </c>
      <c r="G1321">
        <v>7.9</v>
      </c>
      <c r="H1321" s="116">
        <v>1</v>
      </c>
      <c r="I1321">
        <v>65.7</v>
      </c>
      <c r="J1321">
        <v>0.91</v>
      </c>
      <c r="K1321">
        <v>2.9</v>
      </c>
      <c r="L1321">
        <v>34</v>
      </c>
      <c r="M1321">
        <v>1900</v>
      </c>
      <c r="N1321">
        <v>15</v>
      </c>
      <c r="O1321">
        <v>2500</v>
      </c>
      <c r="Q1321">
        <f t="shared" si="40"/>
        <v>2022</v>
      </c>
      <c r="R1321">
        <f t="shared" si="41"/>
        <v>10</v>
      </c>
    </row>
    <row r="1322" spans="1:18">
      <c r="A1322">
        <v>11</v>
      </c>
      <c r="B1322" t="s">
        <v>256</v>
      </c>
      <c r="C1322" s="216">
        <v>44881</v>
      </c>
      <c r="D1322">
        <v>8.6999999999999993</v>
      </c>
      <c r="E1322" s="116">
        <v>9.1999999999999993</v>
      </c>
      <c r="F1322" s="101">
        <v>79</v>
      </c>
      <c r="G1322">
        <v>8</v>
      </c>
      <c r="H1322" s="116">
        <v>0.5</v>
      </c>
      <c r="I1322">
        <v>65.400000000000006</v>
      </c>
      <c r="J1322">
        <v>1</v>
      </c>
      <c r="K1322">
        <v>34</v>
      </c>
      <c r="L1322">
        <v>51</v>
      </c>
      <c r="M1322">
        <v>1800</v>
      </c>
      <c r="N1322">
        <v>30</v>
      </c>
      <c r="O1322">
        <v>2400</v>
      </c>
      <c r="Q1322">
        <f t="shared" si="40"/>
        <v>2022</v>
      </c>
      <c r="R1322">
        <f t="shared" si="41"/>
        <v>11</v>
      </c>
    </row>
    <row r="1323" spans="1:18">
      <c r="A1323">
        <v>11</v>
      </c>
      <c r="B1323" t="s">
        <v>256</v>
      </c>
      <c r="C1323" s="216">
        <v>44917</v>
      </c>
      <c r="D1323">
        <v>1</v>
      </c>
      <c r="E1323" s="116">
        <v>14.4</v>
      </c>
      <c r="F1323" s="101">
        <v>101</v>
      </c>
      <c r="G1323">
        <v>8</v>
      </c>
      <c r="H1323" s="116">
        <v>6.8</v>
      </c>
      <c r="I1323">
        <v>52.1</v>
      </c>
      <c r="J1323">
        <v>4.5</v>
      </c>
      <c r="K1323">
        <v>69</v>
      </c>
      <c r="L1323">
        <v>120</v>
      </c>
      <c r="M1323">
        <v>4800</v>
      </c>
      <c r="N1323">
        <v>230</v>
      </c>
      <c r="O1323">
        <v>5500</v>
      </c>
      <c r="Q1323">
        <f t="shared" ref="Q1323:Q1386" si="42">YEAR(C1323)</f>
        <v>2022</v>
      </c>
      <c r="R1323">
        <f t="shared" ref="R1323:R1386" si="43">MONTH(C1323)</f>
        <v>12</v>
      </c>
    </row>
    <row r="1324" spans="1:18">
      <c r="A1324">
        <v>11</v>
      </c>
      <c r="B1324" t="s">
        <v>256</v>
      </c>
      <c r="C1324" s="216">
        <v>44944</v>
      </c>
      <c r="D1324">
        <v>3.2</v>
      </c>
      <c r="E1324" s="116">
        <v>12.7</v>
      </c>
      <c r="F1324" s="101">
        <v>96</v>
      </c>
      <c r="G1324">
        <v>7.9</v>
      </c>
      <c r="H1324" s="116">
        <v>9.3000000000000007</v>
      </c>
      <c r="I1324">
        <v>41.1</v>
      </c>
      <c r="J1324">
        <v>1.6</v>
      </c>
      <c r="K1324">
        <v>41</v>
      </c>
      <c r="L1324">
        <v>77</v>
      </c>
      <c r="M1324">
        <v>8400</v>
      </c>
      <c r="N1324">
        <v>53</v>
      </c>
      <c r="O1324">
        <v>7800</v>
      </c>
      <c r="Q1324">
        <f t="shared" si="42"/>
        <v>2023</v>
      </c>
      <c r="R1324">
        <f t="shared" si="43"/>
        <v>1</v>
      </c>
    </row>
    <row r="1325" spans="1:18">
      <c r="A1325">
        <v>11</v>
      </c>
      <c r="B1325" t="s">
        <v>256</v>
      </c>
      <c r="C1325" s="216">
        <v>44970</v>
      </c>
      <c r="D1325">
        <v>5.2</v>
      </c>
      <c r="E1325" s="116">
        <v>13.1</v>
      </c>
      <c r="F1325" s="101">
        <v>100</v>
      </c>
      <c r="G1325">
        <v>8.1</v>
      </c>
      <c r="H1325" s="116">
        <v>1.8</v>
      </c>
      <c r="I1325">
        <v>48.6</v>
      </c>
      <c r="J1325">
        <v>2</v>
      </c>
      <c r="K1325">
        <v>24</v>
      </c>
      <c r="L1325">
        <v>38</v>
      </c>
      <c r="M1325">
        <v>6300</v>
      </c>
      <c r="N1325">
        <v>25</v>
      </c>
      <c r="O1325">
        <v>6400</v>
      </c>
      <c r="Q1325">
        <f t="shared" si="42"/>
        <v>2023</v>
      </c>
      <c r="R1325">
        <f t="shared" si="43"/>
        <v>2</v>
      </c>
    </row>
    <row r="1326" spans="1:18">
      <c r="A1326">
        <v>11</v>
      </c>
      <c r="B1326" t="s">
        <v>256</v>
      </c>
      <c r="C1326" s="216">
        <v>45006</v>
      </c>
      <c r="D1326">
        <v>5.4</v>
      </c>
      <c r="E1326" s="116">
        <v>12.9</v>
      </c>
      <c r="F1326" s="101">
        <v>102</v>
      </c>
      <c r="G1326">
        <v>8.1</v>
      </c>
      <c r="H1326" s="116">
        <v>2.7</v>
      </c>
      <c r="I1326">
        <v>46</v>
      </c>
      <c r="J1326">
        <v>2.1</v>
      </c>
      <c r="K1326">
        <v>11</v>
      </c>
      <c r="L1326">
        <v>29</v>
      </c>
      <c r="M1326">
        <v>6600</v>
      </c>
      <c r="N1326">
        <v>12</v>
      </c>
      <c r="O1326">
        <v>6600</v>
      </c>
      <c r="Q1326">
        <f t="shared" si="42"/>
        <v>2023</v>
      </c>
      <c r="R1326">
        <f t="shared" si="43"/>
        <v>3</v>
      </c>
    </row>
    <row r="1327" spans="1:18">
      <c r="A1327">
        <v>11</v>
      </c>
      <c r="B1327" t="s">
        <v>256</v>
      </c>
      <c r="C1327" s="216">
        <v>45034</v>
      </c>
      <c r="D1327">
        <v>10.6</v>
      </c>
      <c r="E1327" s="116">
        <v>13.7</v>
      </c>
      <c r="F1327" s="101">
        <v>120</v>
      </c>
      <c r="G1327">
        <v>8.3000000000000007</v>
      </c>
      <c r="H1327" s="116">
        <v>1.2</v>
      </c>
      <c r="I1327">
        <v>49.9</v>
      </c>
      <c r="J1327">
        <v>2.5</v>
      </c>
      <c r="K1327">
        <v>6</v>
      </c>
      <c r="L1327">
        <v>21</v>
      </c>
      <c r="M1327">
        <v>3500</v>
      </c>
      <c r="N1327">
        <v>16</v>
      </c>
      <c r="O1327">
        <v>4300</v>
      </c>
      <c r="Q1327">
        <f t="shared" si="42"/>
        <v>2023</v>
      </c>
      <c r="R1327">
        <f t="shared" si="43"/>
        <v>4</v>
      </c>
    </row>
    <row r="1328" spans="1:18">
      <c r="A1328">
        <v>11</v>
      </c>
      <c r="B1328" t="s">
        <v>256</v>
      </c>
      <c r="C1328" s="216">
        <v>45061</v>
      </c>
      <c r="D1328">
        <v>15.8</v>
      </c>
      <c r="E1328" s="116">
        <v>11.7</v>
      </c>
      <c r="F1328" s="101">
        <v>118</v>
      </c>
      <c r="G1328">
        <v>8.3000000000000007</v>
      </c>
      <c r="H1328" s="116">
        <v>1.6</v>
      </c>
      <c r="I1328">
        <v>55.3</v>
      </c>
      <c r="J1328">
        <v>1.5</v>
      </c>
      <c r="K1328">
        <v>3.2</v>
      </c>
      <c r="L1328">
        <v>25</v>
      </c>
      <c r="M1328">
        <v>2100</v>
      </c>
      <c r="N1328">
        <v>19</v>
      </c>
      <c r="O1328">
        <v>3100</v>
      </c>
      <c r="Q1328">
        <f t="shared" si="42"/>
        <v>2023</v>
      </c>
      <c r="R1328">
        <f t="shared" si="43"/>
        <v>5</v>
      </c>
    </row>
    <row r="1329" spans="1:18">
      <c r="A1329">
        <v>11</v>
      </c>
      <c r="B1329" t="s">
        <v>256</v>
      </c>
      <c r="C1329" s="216">
        <v>45096</v>
      </c>
      <c r="D1329">
        <v>17.5</v>
      </c>
      <c r="E1329" s="116">
        <v>9.4</v>
      </c>
      <c r="F1329" s="101">
        <v>90</v>
      </c>
      <c r="G1329">
        <v>8</v>
      </c>
      <c r="H1329" s="116">
        <v>1</v>
      </c>
      <c r="I1329">
        <v>61</v>
      </c>
      <c r="J1329">
        <v>1.4</v>
      </c>
      <c r="K1329">
        <v>33</v>
      </c>
      <c r="L1329">
        <v>52</v>
      </c>
      <c r="M1329">
        <v>2500</v>
      </c>
      <c r="N1329">
        <v>48</v>
      </c>
      <c r="O1329">
        <v>2800</v>
      </c>
      <c r="Q1329">
        <f t="shared" si="42"/>
        <v>2023</v>
      </c>
      <c r="R1329">
        <f t="shared" si="43"/>
        <v>6</v>
      </c>
    </row>
    <row r="1330" spans="1:18">
      <c r="A1330">
        <v>11</v>
      </c>
      <c r="B1330" t="s">
        <v>256</v>
      </c>
      <c r="C1330" s="216">
        <v>45125</v>
      </c>
      <c r="D1330">
        <v>17.100000000000001</v>
      </c>
      <c r="E1330" s="116">
        <v>9.1999999999999993</v>
      </c>
      <c r="F1330" s="101">
        <v>95</v>
      </c>
      <c r="G1330">
        <v>8</v>
      </c>
      <c r="H1330" s="116">
        <v>1</v>
      </c>
      <c r="I1330">
        <v>59.7</v>
      </c>
      <c r="J1330">
        <v>1</v>
      </c>
      <c r="K1330">
        <v>33</v>
      </c>
      <c r="L1330">
        <v>55</v>
      </c>
      <c r="M1330">
        <v>2100</v>
      </c>
      <c r="N1330">
        <v>31</v>
      </c>
      <c r="O1330">
        <v>2600</v>
      </c>
      <c r="Q1330">
        <f t="shared" si="42"/>
        <v>2023</v>
      </c>
      <c r="R1330">
        <f t="shared" si="43"/>
        <v>7</v>
      </c>
    </row>
    <row r="1331" spans="1:18">
      <c r="A1331">
        <v>11</v>
      </c>
      <c r="B1331" t="s">
        <v>256</v>
      </c>
      <c r="C1331" s="216">
        <v>45155</v>
      </c>
      <c r="D1331">
        <v>18.2</v>
      </c>
      <c r="E1331" s="116">
        <v>8.3000000000000007</v>
      </c>
      <c r="F1331" s="101">
        <v>87</v>
      </c>
      <c r="G1331">
        <v>8</v>
      </c>
      <c r="H1331" s="116">
        <v>1.3</v>
      </c>
      <c r="I1331">
        <v>53.5</v>
      </c>
      <c r="J1331">
        <v>1.6</v>
      </c>
      <c r="K1331">
        <v>27</v>
      </c>
      <c r="L1331">
        <v>62</v>
      </c>
      <c r="M1331">
        <v>2400</v>
      </c>
      <c r="N1331">
        <v>30</v>
      </c>
      <c r="O1331">
        <v>3600</v>
      </c>
      <c r="Q1331">
        <f t="shared" si="42"/>
        <v>2023</v>
      </c>
      <c r="R1331">
        <f t="shared" si="43"/>
        <v>8</v>
      </c>
    </row>
    <row r="1332" spans="1:18">
      <c r="A1332">
        <v>11</v>
      </c>
      <c r="B1332" t="s">
        <v>256</v>
      </c>
      <c r="C1332" s="216">
        <v>45187</v>
      </c>
      <c r="D1332">
        <v>17</v>
      </c>
      <c r="E1332" s="116">
        <v>9.6</v>
      </c>
      <c r="F1332" s="101">
        <v>99</v>
      </c>
      <c r="G1332">
        <v>8.1</v>
      </c>
      <c r="H1332" s="116">
        <v>0.94</v>
      </c>
      <c r="I1332">
        <v>62.2</v>
      </c>
      <c r="J1332">
        <v>0.8</v>
      </c>
      <c r="K1332">
        <v>34</v>
      </c>
      <c r="L1332">
        <v>59</v>
      </c>
      <c r="M1332">
        <v>2200</v>
      </c>
      <c r="N1332">
        <v>18</v>
      </c>
      <c r="O1332">
        <v>2600</v>
      </c>
      <c r="Q1332">
        <f t="shared" si="42"/>
        <v>2023</v>
      </c>
      <c r="R1332">
        <f t="shared" si="43"/>
        <v>9</v>
      </c>
    </row>
    <row r="1333" spans="1:18">
      <c r="A1333">
        <v>11</v>
      </c>
      <c r="B1333" t="s">
        <v>256</v>
      </c>
      <c r="C1333" s="216">
        <v>45210</v>
      </c>
      <c r="D1333">
        <v>11.5</v>
      </c>
      <c r="E1333" s="116">
        <v>9.6</v>
      </c>
      <c r="F1333" s="101">
        <v>89</v>
      </c>
      <c r="G1333">
        <v>8</v>
      </c>
      <c r="H1333" s="116">
        <v>0.76</v>
      </c>
      <c r="I1333">
        <v>58</v>
      </c>
      <c r="J1333">
        <v>0.68</v>
      </c>
      <c r="K1333">
        <v>50</v>
      </c>
      <c r="L1333">
        <v>62</v>
      </c>
      <c r="M1333">
        <v>2600</v>
      </c>
      <c r="N1333">
        <v>16</v>
      </c>
      <c r="O1333">
        <v>3000</v>
      </c>
      <c r="Q1333">
        <f t="shared" si="42"/>
        <v>2023</v>
      </c>
      <c r="R1333">
        <f t="shared" si="43"/>
        <v>10</v>
      </c>
    </row>
    <row r="1334" spans="1:18">
      <c r="A1334">
        <v>11</v>
      </c>
      <c r="B1334" t="s">
        <v>256</v>
      </c>
      <c r="C1334" s="216">
        <v>45244</v>
      </c>
      <c r="D1334">
        <v>7</v>
      </c>
      <c r="E1334" s="116">
        <v>11.9</v>
      </c>
      <c r="F1334" s="101">
        <v>92</v>
      </c>
      <c r="G1334">
        <v>8</v>
      </c>
      <c r="H1334" s="116">
        <v>3.4</v>
      </c>
      <c r="I1334">
        <v>51.6</v>
      </c>
      <c r="J1334">
        <v>1.4</v>
      </c>
      <c r="K1334">
        <v>32</v>
      </c>
      <c r="L1334">
        <v>55</v>
      </c>
      <c r="M1334">
        <v>6800</v>
      </c>
      <c r="N1334">
        <v>22</v>
      </c>
      <c r="O1334">
        <v>7200</v>
      </c>
      <c r="Q1334">
        <f t="shared" si="42"/>
        <v>2023</v>
      </c>
      <c r="R1334">
        <f t="shared" si="43"/>
        <v>11</v>
      </c>
    </row>
    <row r="1335" spans="1:18">
      <c r="A1335">
        <v>13</v>
      </c>
      <c r="B1335" t="s">
        <v>257</v>
      </c>
      <c r="C1335" s="216">
        <v>44222</v>
      </c>
      <c r="D1335">
        <v>2.5</v>
      </c>
      <c r="E1335" s="116">
        <v>13.1</v>
      </c>
      <c r="F1335" s="101">
        <v>97</v>
      </c>
      <c r="G1335">
        <v>8</v>
      </c>
      <c r="H1335" s="116">
        <v>3.5</v>
      </c>
      <c r="I1335">
        <v>42.5</v>
      </c>
      <c r="J1335">
        <v>1</v>
      </c>
      <c r="K1335">
        <v>32</v>
      </c>
      <c r="L1335">
        <v>52</v>
      </c>
      <c r="M1335">
        <v>7500</v>
      </c>
      <c r="N1335">
        <v>48</v>
      </c>
      <c r="O1335">
        <v>7600</v>
      </c>
      <c r="Q1335">
        <f t="shared" si="42"/>
        <v>2021</v>
      </c>
      <c r="R1335">
        <f t="shared" si="43"/>
        <v>1</v>
      </c>
    </row>
    <row r="1336" spans="1:18">
      <c r="A1336">
        <v>13</v>
      </c>
      <c r="B1336" t="s">
        <v>257</v>
      </c>
      <c r="C1336" s="216">
        <v>44284</v>
      </c>
      <c r="D1336">
        <v>6.4</v>
      </c>
      <c r="E1336" s="116">
        <v>12.2</v>
      </c>
      <c r="F1336" s="101">
        <v>99</v>
      </c>
      <c r="G1336">
        <v>8.1</v>
      </c>
      <c r="H1336" s="116">
        <v>2.4</v>
      </c>
      <c r="I1336">
        <v>42.3</v>
      </c>
      <c r="J1336">
        <v>2.1</v>
      </c>
      <c r="K1336">
        <v>16</v>
      </c>
      <c r="L1336">
        <v>42</v>
      </c>
      <c r="M1336">
        <v>4300</v>
      </c>
      <c r="N1336">
        <v>34</v>
      </c>
      <c r="O1336">
        <v>5100</v>
      </c>
      <c r="Q1336">
        <f t="shared" si="42"/>
        <v>2021</v>
      </c>
      <c r="R1336">
        <f t="shared" si="43"/>
        <v>3</v>
      </c>
    </row>
    <row r="1337" spans="1:18">
      <c r="A1337">
        <v>13</v>
      </c>
      <c r="B1337" t="s">
        <v>257</v>
      </c>
      <c r="C1337" s="216">
        <v>44344</v>
      </c>
      <c r="D1337">
        <v>11.9</v>
      </c>
      <c r="E1337" s="116">
        <v>12</v>
      </c>
      <c r="F1337" s="101">
        <v>110</v>
      </c>
      <c r="G1337">
        <v>8.3000000000000007</v>
      </c>
      <c r="H1337" s="116">
        <v>2.2000000000000002</v>
      </c>
      <c r="I1337">
        <v>41.6</v>
      </c>
      <c r="J1337">
        <v>2.2999999999999998</v>
      </c>
      <c r="K1337">
        <v>15</v>
      </c>
      <c r="L1337">
        <v>54</v>
      </c>
      <c r="M1337">
        <v>2100</v>
      </c>
      <c r="N1337">
        <v>16</v>
      </c>
      <c r="O1337">
        <v>2800</v>
      </c>
      <c r="Q1337">
        <f t="shared" si="42"/>
        <v>2021</v>
      </c>
      <c r="R1337">
        <f t="shared" si="43"/>
        <v>5</v>
      </c>
    </row>
    <row r="1338" spans="1:18">
      <c r="A1338">
        <v>13</v>
      </c>
      <c r="B1338" t="s">
        <v>257</v>
      </c>
      <c r="C1338" s="216">
        <v>44390</v>
      </c>
      <c r="D1338">
        <v>20.5</v>
      </c>
      <c r="E1338" s="116">
        <v>8.4</v>
      </c>
      <c r="F1338" s="101">
        <v>94</v>
      </c>
      <c r="G1338">
        <v>8.1</v>
      </c>
      <c r="H1338" s="116">
        <v>1.3</v>
      </c>
      <c r="I1338">
        <v>51.2</v>
      </c>
      <c r="J1338">
        <v>0.88</v>
      </c>
      <c r="K1338">
        <v>99</v>
      </c>
      <c r="L1338">
        <v>120</v>
      </c>
      <c r="M1338">
        <v>1200</v>
      </c>
      <c r="N1338">
        <v>26</v>
      </c>
      <c r="O1338">
        <v>1800</v>
      </c>
      <c r="Q1338">
        <f t="shared" si="42"/>
        <v>2021</v>
      </c>
      <c r="R1338">
        <f t="shared" si="43"/>
        <v>7</v>
      </c>
    </row>
    <row r="1339" spans="1:18">
      <c r="A1339">
        <v>13</v>
      </c>
      <c r="B1339" t="s">
        <v>257</v>
      </c>
      <c r="C1339" s="216">
        <v>44460</v>
      </c>
      <c r="D1339">
        <v>11.1</v>
      </c>
      <c r="E1339" s="116">
        <v>10.3</v>
      </c>
      <c r="F1339" s="101">
        <v>94</v>
      </c>
      <c r="G1339">
        <v>8.1</v>
      </c>
      <c r="H1339" s="116">
        <v>0.71</v>
      </c>
      <c r="I1339">
        <v>51.2</v>
      </c>
      <c r="J1339">
        <v>0.83</v>
      </c>
      <c r="K1339">
        <v>53</v>
      </c>
      <c r="L1339">
        <v>77</v>
      </c>
      <c r="M1339">
        <v>1900</v>
      </c>
      <c r="N1339">
        <v>28</v>
      </c>
      <c r="O1339">
        <v>2200</v>
      </c>
      <c r="Q1339">
        <f t="shared" si="42"/>
        <v>2021</v>
      </c>
      <c r="R1339">
        <f t="shared" si="43"/>
        <v>9</v>
      </c>
    </row>
    <row r="1340" spans="1:18">
      <c r="A1340">
        <v>13</v>
      </c>
      <c r="B1340" t="s">
        <v>257</v>
      </c>
      <c r="C1340" s="216">
        <v>44530</v>
      </c>
      <c r="D1340">
        <v>1.9</v>
      </c>
      <c r="E1340" s="116">
        <v>13.1</v>
      </c>
      <c r="F1340" s="101">
        <v>98</v>
      </c>
      <c r="G1340">
        <v>7.9</v>
      </c>
      <c r="H1340" s="116">
        <v>6.8</v>
      </c>
      <c r="I1340">
        <v>38.700000000000003</v>
      </c>
      <c r="J1340">
        <v>1.4</v>
      </c>
      <c r="K1340">
        <v>40</v>
      </c>
      <c r="L1340">
        <v>68</v>
      </c>
      <c r="M1340">
        <v>6100</v>
      </c>
      <c r="N1340">
        <v>29</v>
      </c>
      <c r="O1340">
        <v>6400</v>
      </c>
      <c r="Q1340">
        <f t="shared" si="42"/>
        <v>2021</v>
      </c>
      <c r="R1340">
        <f t="shared" si="43"/>
        <v>11</v>
      </c>
    </row>
    <row r="1341" spans="1:18">
      <c r="A1341">
        <v>13</v>
      </c>
      <c r="B1341" t="s">
        <v>257</v>
      </c>
      <c r="C1341" s="216">
        <v>44580</v>
      </c>
      <c r="D1341">
        <v>3</v>
      </c>
      <c r="E1341" s="116">
        <v>13.5</v>
      </c>
      <c r="F1341" s="101">
        <v>100</v>
      </c>
      <c r="G1341">
        <v>8.1</v>
      </c>
      <c r="H1341" s="116">
        <v>3</v>
      </c>
      <c r="I1341">
        <v>47.2</v>
      </c>
      <c r="J1341">
        <v>1.4</v>
      </c>
      <c r="K1341">
        <v>32</v>
      </c>
      <c r="L1341">
        <v>52</v>
      </c>
      <c r="M1341">
        <v>5300</v>
      </c>
      <c r="N1341">
        <v>59</v>
      </c>
      <c r="O1341">
        <v>6100</v>
      </c>
      <c r="Q1341">
        <f t="shared" si="42"/>
        <v>2022</v>
      </c>
      <c r="R1341">
        <f t="shared" si="43"/>
        <v>1</v>
      </c>
    </row>
    <row r="1342" spans="1:18">
      <c r="A1342">
        <v>13</v>
      </c>
      <c r="B1342" t="s">
        <v>257</v>
      </c>
      <c r="C1342" s="216">
        <v>44637</v>
      </c>
      <c r="D1342">
        <v>4.7</v>
      </c>
      <c r="E1342" s="116">
        <v>13.1</v>
      </c>
      <c r="F1342" s="101">
        <v>101</v>
      </c>
      <c r="G1342">
        <v>8.3000000000000007</v>
      </c>
      <c r="H1342" s="116">
        <v>2.8</v>
      </c>
      <c r="I1342">
        <v>45.3</v>
      </c>
      <c r="J1342">
        <v>1.9</v>
      </c>
      <c r="K1342">
        <v>21</v>
      </c>
      <c r="L1342">
        <v>36</v>
      </c>
      <c r="M1342">
        <v>4300</v>
      </c>
      <c r="N1342">
        <v>24</v>
      </c>
      <c r="O1342">
        <v>4800</v>
      </c>
      <c r="Q1342">
        <f t="shared" si="42"/>
        <v>2022</v>
      </c>
      <c r="R1342">
        <f t="shared" si="43"/>
        <v>3</v>
      </c>
    </row>
    <row r="1343" spans="1:18">
      <c r="A1343">
        <v>13</v>
      </c>
      <c r="B1343" t="s">
        <v>257</v>
      </c>
      <c r="C1343" s="216">
        <v>44698</v>
      </c>
      <c r="D1343">
        <v>12.6</v>
      </c>
      <c r="E1343" s="116">
        <v>10.3</v>
      </c>
      <c r="F1343" s="101">
        <v>97</v>
      </c>
      <c r="G1343">
        <v>8.1</v>
      </c>
      <c r="H1343" s="116">
        <v>1.6</v>
      </c>
      <c r="I1343">
        <v>47.8</v>
      </c>
      <c r="J1343">
        <v>2.2999999999999998</v>
      </c>
      <c r="K1343">
        <v>9.1999999999999993</v>
      </c>
      <c r="L1343">
        <v>34</v>
      </c>
      <c r="M1343">
        <v>2300</v>
      </c>
      <c r="N1343">
        <v>32</v>
      </c>
      <c r="O1343">
        <v>2800</v>
      </c>
      <c r="Q1343">
        <f t="shared" si="42"/>
        <v>2022</v>
      </c>
      <c r="R1343">
        <f t="shared" si="43"/>
        <v>5</v>
      </c>
    </row>
    <row r="1344" spans="1:18">
      <c r="A1344">
        <v>13</v>
      </c>
      <c r="B1344" t="s">
        <v>257</v>
      </c>
      <c r="C1344" s="216">
        <v>44761</v>
      </c>
      <c r="D1344">
        <v>17.899999999999999</v>
      </c>
      <c r="E1344" s="116">
        <v>9.4</v>
      </c>
      <c r="F1344" s="101">
        <v>98</v>
      </c>
      <c r="G1344">
        <v>8</v>
      </c>
      <c r="H1344" s="116">
        <v>2.1</v>
      </c>
      <c r="I1344">
        <v>49.1</v>
      </c>
      <c r="J1344">
        <v>1.5</v>
      </c>
      <c r="K1344">
        <v>73</v>
      </c>
      <c r="L1344">
        <v>100</v>
      </c>
      <c r="M1344">
        <v>1100</v>
      </c>
      <c r="N1344">
        <v>44</v>
      </c>
      <c r="O1344">
        <v>1900</v>
      </c>
      <c r="Q1344">
        <f t="shared" si="42"/>
        <v>2022</v>
      </c>
      <c r="R1344">
        <f t="shared" si="43"/>
        <v>7</v>
      </c>
    </row>
    <row r="1345" spans="1:18">
      <c r="A1345">
        <v>13</v>
      </c>
      <c r="B1345" t="s">
        <v>257</v>
      </c>
      <c r="C1345" s="216">
        <v>44826</v>
      </c>
      <c r="D1345">
        <v>8.6999999999999993</v>
      </c>
      <c r="E1345" s="116">
        <v>7.8</v>
      </c>
      <c r="F1345" s="101">
        <v>67</v>
      </c>
      <c r="G1345">
        <v>7.8</v>
      </c>
      <c r="H1345" s="116">
        <v>1</v>
      </c>
      <c r="I1345">
        <v>51.9</v>
      </c>
      <c r="J1345">
        <v>1.4</v>
      </c>
      <c r="K1345">
        <v>86</v>
      </c>
      <c r="L1345">
        <v>100</v>
      </c>
      <c r="M1345">
        <v>550</v>
      </c>
      <c r="N1345">
        <v>130</v>
      </c>
      <c r="O1345">
        <v>1100</v>
      </c>
      <c r="Q1345">
        <f t="shared" si="42"/>
        <v>2022</v>
      </c>
      <c r="R1345">
        <f t="shared" si="43"/>
        <v>9</v>
      </c>
    </row>
    <row r="1346" spans="1:18">
      <c r="A1346">
        <v>13</v>
      </c>
      <c r="B1346" t="s">
        <v>257</v>
      </c>
      <c r="C1346" s="216">
        <v>44881</v>
      </c>
      <c r="D1346">
        <v>8.1</v>
      </c>
      <c r="E1346" s="116">
        <v>9.1</v>
      </c>
      <c r="F1346" s="101">
        <v>78</v>
      </c>
      <c r="G1346">
        <v>8</v>
      </c>
      <c r="H1346" s="116">
        <v>0.51</v>
      </c>
      <c r="I1346">
        <v>58.6</v>
      </c>
      <c r="J1346">
        <v>1.2</v>
      </c>
      <c r="K1346">
        <v>65</v>
      </c>
      <c r="L1346">
        <v>85</v>
      </c>
      <c r="M1346">
        <v>1000</v>
      </c>
      <c r="N1346">
        <v>23</v>
      </c>
      <c r="O1346">
        <v>1700</v>
      </c>
      <c r="Q1346">
        <f t="shared" si="42"/>
        <v>2022</v>
      </c>
      <c r="R1346">
        <f t="shared" si="43"/>
        <v>11</v>
      </c>
    </row>
    <row r="1347" spans="1:18">
      <c r="A1347">
        <v>13</v>
      </c>
      <c r="B1347" t="s">
        <v>257</v>
      </c>
      <c r="C1347" s="216">
        <v>44944</v>
      </c>
      <c r="D1347">
        <v>3.1</v>
      </c>
      <c r="E1347" s="116">
        <v>12.9</v>
      </c>
      <c r="F1347" s="101">
        <v>88</v>
      </c>
      <c r="G1347">
        <v>7.8</v>
      </c>
      <c r="H1347" s="116">
        <v>2.5</v>
      </c>
      <c r="I1347">
        <v>39.299999999999997</v>
      </c>
      <c r="J1347">
        <v>1.7</v>
      </c>
      <c r="K1347">
        <v>36</v>
      </c>
      <c r="L1347">
        <v>66</v>
      </c>
      <c r="M1347">
        <v>7800</v>
      </c>
      <c r="N1347">
        <v>75</v>
      </c>
      <c r="O1347">
        <v>8100</v>
      </c>
      <c r="Q1347">
        <f t="shared" si="42"/>
        <v>2023</v>
      </c>
      <c r="R1347">
        <f t="shared" si="43"/>
        <v>1</v>
      </c>
    </row>
    <row r="1348" spans="1:18">
      <c r="A1348">
        <v>13</v>
      </c>
      <c r="B1348" t="s">
        <v>257</v>
      </c>
      <c r="C1348" s="216">
        <v>45006</v>
      </c>
      <c r="D1348">
        <v>4.8</v>
      </c>
      <c r="E1348" s="116">
        <v>13.5</v>
      </c>
      <c r="F1348" s="101">
        <v>105</v>
      </c>
      <c r="G1348">
        <v>8.1</v>
      </c>
      <c r="H1348" s="116">
        <v>2.1</v>
      </c>
      <c r="I1348">
        <v>41.5</v>
      </c>
      <c r="J1348">
        <v>2</v>
      </c>
      <c r="K1348">
        <v>17</v>
      </c>
      <c r="L1348">
        <v>34</v>
      </c>
      <c r="M1348">
        <v>6000</v>
      </c>
      <c r="N1348">
        <v>11</v>
      </c>
      <c r="O1348">
        <v>7100</v>
      </c>
      <c r="Q1348">
        <f t="shared" si="42"/>
        <v>2023</v>
      </c>
      <c r="R1348">
        <f t="shared" si="43"/>
        <v>3</v>
      </c>
    </row>
    <row r="1349" spans="1:18">
      <c r="A1349">
        <v>13</v>
      </c>
      <c r="B1349" t="s">
        <v>257</v>
      </c>
      <c r="C1349" s="216">
        <v>45061</v>
      </c>
      <c r="D1349">
        <v>17.100000000000001</v>
      </c>
      <c r="E1349" s="116">
        <v>12.4</v>
      </c>
      <c r="F1349" s="101">
        <v>129</v>
      </c>
      <c r="G1349">
        <v>8.4</v>
      </c>
      <c r="H1349" s="116">
        <v>2.2000000000000002</v>
      </c>
      <c r="I1349">
        <v>48.8</v>
      </c>
      <c r="J1349">
        <v>1.9</v>
      </c>
      <c r="K1349">
        <v>15</v>
      </c>
      <c r="L1349">
        <v>47</v>
      </c>
      <c r="M1349">
        <v>2800</v>
      </c>
      <c r="N1349">
        <v>31</v>
      </c>
      <c r="O1349">
        <v>3700</v>
      </c>
      <c r="Q1349">
        <f t="shared" si="42"/>
        <v>2023</v>
      </c>
      <c r="R1349">
        <f t="shared" si="43"/>
        <v>5</v>
      </c>
    </row>
    <row r="1350" spans="1:18">
      <c r="A1350">
        <v>13</v>
      </c>
      <c r="B1350" t="s">
        <v>257</v>
      </c>
      <c r="C1350" s="216">
        <v>45125</v>
      </c>
      <c r="D1350">
        <v>16.100000000000001</v>
      </c>
      <c r="E1350" s="116">
        <v>7.3</v>
      </c>
      <c r="F1350" s="101">
        <v>75</v>
      </c>
      <c r="G1350">
        <v>7.8</v>
      </c>
      <c r="H1350" s="116">
        <v>1.5</v>
      </c>
      <c r="I1350">
        <v>48.9</v>
      </c>
      <c r="J1350">
        <v>1.1000000000000001</v>
      </c>
      <c r="K1350">
        <v>79</v>
      </c>
      <c r="L1350">
        <v>120</v>
      </c>
      <c r="M1350">
        <v>570</v>
      </c>
      <c r="N1350">
        <v>44</v>
      </c>
      <c r="O1350">
        <v>1300</v>
      </c>
      <c r="Q1350">
        <f t="shared" si="42"/>
        <v>2023</v>
      </c>
      <c r="R1350">
        <f t="shared" si="43"/>
        <v>7</v>
      </c>
    </row>
    <row r="1351" spans="1:18">
      <c r="A1351">
        <v>13</v>
      </c>
      <c r="B1351" t="s">
        <v>257</v>
      </c>
      <c r="C1351" s="216">
        <v>45187</v>
      </c>
      <c r="D1351">
        <v>17.399999999999999</v>
      </c>
      <c r="E1351" s="116">
        <v>9.4</v>
      </c>
      <c r="F1351" s="101">
        <v>99</v>
      </c>
      <c r="G1351">
        <v>8.1999999999999993</v>
      </c>
      <c r="H1351" s="116">
        <v>1</v>
      </c>
      <c r="I1351">
        <v>60.2</v>
      </c>
      <c r="J1351">
        <v>0.82</v>
      </c>
      <c r="K1351">
        <v>52</v>
      </c>
      <c r="L1351">
        <v>78</v>
      </c>
      <c r="M1351">
        <v>2800</v>
      </c>
      <c r="N1351">
        <v>19</v>
      </c>
      <c r="O1351">
        <v>3400</v>
      </c>
      <c r="Q1351">
        <f t="shared" si="42"/>
        <v>2023</v>
      </c>
      <c r="R1351">
        <f t="shared" si="43"/>
        <v>9</v>
      </c>
    </row>
    <row r="1352" spans="1:18">
      <c r="A1352">
        <v>13</v>
      </c>
      <c r="B1352" t="s">
        <v>257</v>
      </c>
      <c r="C1352" s="216">
        <v>45244</v>
      </c>
      <c r="D1352">
        <v>7.3</v>
      </c>
      <c r="E1352" s="116">
        <v>11.2</v>
      </c>
      <c r="F1352" s="101">
        <v>95</v>
      </c>
      <c r="G1352">
        <v>8</v>
      </c>
      <c r="H1352" s="116">
        <v>3.6</v>
      </c>
      <c r="I1352">
        <v>49.4</v>
      </c>
      <c r="J1352">
        <v>1.3</v>
      </c>
      <c r="K1352">
        <v>24</v>
      </c>
      <c r="L1352">
        <v>59</v>
      </c>
      <c r="M1352">
        <v>6500</v>
      </c>
      <c r="N1352">
        <v>48</v>
      </c>
      <c r="O1352">
        <v>6800</v>
      </c>
      <c r="Q1352">
        <f t="shared" si="42"/>
        <v>2023</v>
      </c>
      <c r="R1352">
        <f t="shared" si="43"/>
        <v>11</v>
      </c>
    </row>
    <row r="1353" spans="1:18">
      <c r="A1353">
        <v>15</v>
      </c>
      <c r="B1353" t="s">
        <v>258</v>
      </c>
      <c r="C1353" s="216">
        <v>44222</v>
      </c>
      <c r="D1353">
        <v>2</v>
      </c>
      <c r="E1353" s="116">
        <v>12</v>
      </c>
      <c r="F1353" s="101">
        <v>84</v>
      </c>
      <c r="G1353">
        <v>7.9</v>
      </c>
      <c r="H1353" s="116">
        <v>4.5999999999999996</v>
      </c>
      <c r="I1353">
        <v>43.8</v>
      </c>
      <c r="J1353">
        <v>1</v>
      </c>
      <c r="K1353">
        <v>30</v>
      </c>
      <c r="L1353">
        <v>50</v>
      </c>
      <c r="M1353">
        <v>8600</v>
      </c>
      <c r="N1353">
        <v>99</v>
      </c>
      <c r="O1353">
        <v>9700</v>
      </c>
      <c r="Q1353">
        <f t="shared" si="42"/>
        <v>2021</v>
      </c>
      <c r="R1353">
        <f t="shared" si="43"/>
        <v>1</v>
      </c>
    </row>
    <row r="1354" spans="1:18">
      <c r="A1354">
        <v>15</v>
      </c>
      <c r="B1354" t="s">
        <v>258</v>
      </c>
      <c r="C1354" s="216">
        <v>44284</v>
      </c>
      <c r="D1354">
        <v>6.7</v>
      </c>
      <c r="E1354" s="116">
        <v>12.1</v>
      </c>
      <c r="F1354" s="101">
        <v>99</v>
      </c>
      <c r="G1354">
        <v>8</v>
      </c>
      <c r="H1354" s="116">
        <v>1.8</v>
      </c>
      <c r="I1354">
        <v>55.2</v>
      </c>
      <c r="J1354">
        <v>2.2999999999999998</v>
      </c>
      <c r="K1354">
        <v>6.3</v>
      </c>
      <c r="L1354">
        <v>27</v>
      </c>
      <c r="M1354">
        <v>4700</v>
      </c>
      <c r="N1354">
        <v>110</v>
      </c>
      <c r="O1354">
        <v>5700</v>
      </c>
      <c r="Q1354">
        <f t="shared" si="42"/>
        <v>2021</v>
      </c>
      <c r="R1354">
        <f t="shared" si="43"/>
        <v>3</v>
      </c>
    </row>
    <row r="1355" spans="1:18">
      <c r="A1355">
        <v>15</v>
      </c>
      <c r="B1355" t="s">
        <v>258</v>
      </c>
      <c r="C1355" s="216">
        <v>44344</v>
      </c>
      <c r="D1355">
        <v>12.1</v>
      </c>
      <c r="E1355" s="116">
        <v>12.1</v>
      </c>
      <c r="F1355" s="101">
        <v>112</v>
      </c>
      <c r="G1355">
        <v>8.1999999999999993</v>
      </c>
      <c r="H1355" s="116">
        <v>2.7</v>
      </c>
      <c r="I1355">
        <v>56.8</v>
      </c>
      <c r="J1355">
        <v>1.8</v>
      </c>
      <c r="K1355">
        <v>16</v>
      </c>
      <c r="L1355">
        <v>36</v>
      </c>
      <c r="M1355">
        <v>2700</v>
      </c>
      <c r="N1355">
        <v>57</v>
      </c>
      <c r="O1355">
        <v>3200</v>
      </c>
      <c r="Q1355">
        <f t="shared" si="42"/>
        <v>2021</v>
      </c>
      <c r="R1355">
        <f t="shared" si="43"/>
        <v>5</v>
      </c>
    </row>
    <row r="1356" spans="1:18">
      <c r="A1356">
        <v>15</v>
      </c>
      <c r="B1356" t="s">
        <v>258</v>
      </c>
      <c r="C1356" s="216">
        <v>44390</v>
      </c>
      <c r="D1356">
        <v>20.9</v>
      </c>
      <c r="E1356" s="116">
        <v>7.7</v>
      </c>
      <c r="F1356" s="101">
        <v>87</v>
      </c>
      <c r="G1356">
        <v>8</v>
      </c>
      <c r="H1356" s="116">
        <v>2.2000000000000002</v>
      </c>
      <c r="I1356">
        <v>56.9</v>
      </c>
      <c r="J1356">
        <v>1.1000000000000001</v>
      </c>
      <c r="K1356">
        <v>30</v>
      </c>
      <c r="L1356">
        <v>70</v>
      </c>
      <c r="M1356">
        <v>1400</v>
      </c>
      <c r="N1356">
        <v>36</v>
      </c>
      <c r="O1356">
        <v>1600</v>
      </c>
      <c r="Q1356">
        <f t="shared" si="42"/>
        <v>2021</v>
      </c>
      <c r="R1356">
        <f t="shared" si="43"/>
        <v>7</v>
      </c>
    </row>
    <row r="1357" spans="1:18">
      <c r="A1357">
        <v>15</v>
      </c>
      <c r="B1357" t="s">
        <v>258</v>
      </c>
      <c r="C1357" s="216">
        <v>44460</v>
      </c>
      <c r="D1357">
        <v>11.8</v>
      </c>
      <c r="E1357" s="116">
        <v>10.3</v>
      </c>
      <c r="F1357" s="101">
        <v>95</v>
      </c>
      <c r="G1357">
        <v>8.1</v>
      </c>
      <c r="H1357" s="116">
        <v>0.92</v>
      </c>
      <c r="I1357">
        <v>66.599999999999994</v>
      </c>
      <c r="J1357">
        <v>0.93</v>
      </c>
      <c r="K1357">
        <v>37</v>
      </c>
      <c r="L1357">
        <v>53</v>
      </c>
      <c r="M1357">
        <v>2300</v>
      </c>
      <c r="N1357">
        <v>17</v>
      </c>
      <c r="O1357">
        <v>2500</v>
      </c>
      <c r="Q1357">
        <f t="shared" si="42"/>
        <v>2021</v>
      </c>
      <c r="R1357">
        <f t="shared" si="43"/>
        <v>9</v>
      </c>
    </row>
    <row r="1358" spans="1:18">
      <c r="A1358">
        <v>15</v>
      </c>
      <c r="B1358" t="s">
        <v>258</v>
      </c>
      <c r="C1358" s="216">
        <v>44530</v>
      </c>
      <c r="D1358">
        <v>3.2</v>
      </c>
      <c r="E1358" s="116">
        <v>12</v>
      </c>
      <c r="F1358" s="101">
        <v>93</v>
      </c>
      <c r="G1358">
        <v>7.8</v>
      </c>
      <c r="H1358" s="116">
        <v>22</v>
      </c>
      <c r="I1358">
        <v>53.5</v>
      </c>
      <c r="J1358">
        <v>2.1</v>
      </c>
      <c r="K1358">
        <v>24</v>
      </c>
      <c r="L1358">
        <v>97</v>
      </c>
      <c r="M1358">
        <v>11000</v>
      </c>
      <c r="N1358">
        <v>43</v>
      </c>
      <c r="O1358">
        <v>10000</v>
      </c>
      <c r="Q1358">
        <f t="shared" si="42"/>
        <v>2021</v>
      </c>
      <c r="R1358">
        <f t="shared" si="43"/>
        <v>11</v>
      </c>
    </row>
    <row r="1359" spans="1:18">
      <c r="A1359">
        <v>15</v>
      </c>
      <c r="B1359" t="s">
        <v>258</v>
      </c>
      <c r="C1359" s="216">
        <v>44580</v>
      </c>
      <c r="D1359">
        <v>3.4</v>
      </c>
      <c r="E1359" s="116">
        <v>12.5</v>
      </c>
      <c r="F1359" s="101">
        <v>90</v>
      </c>
      <c r="G1359">
        <v>7.9</v>
      </c>
      <c r="H1359" s="116">
        <v>4.2</v>
      </c>
      <c r="I1359">
        <v>60.2</v>
      </c>
      <c r="J1359">
        <v>1.9</v>
      </c>
      <c r="K1359">
        <v>21</v>
      </c>
      <c r="L1359">
        <v>38</v>
      </c>
      <c r="M1359">
        <v>6500</v>
      </c>
      <c r="N1359">
        <v>130</v>
      </c>
      <c r="O1359">
        <v>6800</v>
      </c>
      <c r="Q1359">
        <f t="shared" si="42"/>
        <v>2022</v>
      </c>
      <c r="R1359">
        <f t="shared" si="43"/>
        <v>1</v>
      </c>
    </row>
    <row r="1360" spans="1:18">
      <c r="A1360">
        <v>15</v>
      </c>
      <c r="B1360" t="s">
        <v>258</v>
      </c>
      <c r="C1360" s="216">
        <v>44637</v>
      </c>
      <c r="D1360">
        <v>5.3</v>
      </c>
      <c r="E1360" s="116">
        <v>12.6</v>
      </c>
      <c r="F1360" s="101">
        <v>98</v>
      </c>
      <c r="G1360">
        <v>8.1</v>
      </c>
      <c r="H1360" s="116">
        <v>4.4000000000000004</v>
      </c>
      <c r="I1360">
        <v>57.7</v>
      </c>
      <c r="J1360">
        <v>2.2000000000000002</v>
      </c>
      <c r="K1360">
        <v>14</v>
      </c>
      <c r="L1360">
        <v>33</v>
      </c>
      <c r="M1360">
        <v>4800</v>
      </c>
      <c r="N1360">
        <v>240</v>
      </c>
      <c r="O1360">
        <v>5400</v>
      </c>
      <c r="Q1360">
        <f t="shared" si="42"/>
        <v>2022</v>
      </c>
      <c r="R1360">
        <f t="shared" si="43"/>
        <v>3</v>
      </c>
    </row>
    <row r="1361" spans="1:18">
      <c r="A1361">
        <v>15</v>
      </c>
      <c r="B1361" t="s">
        <v>258</v>
      </c>
      <c r="C1361" s="216">
        <v>44698</v>
      </c>
      <c r="D1361">
        <v>12.3</v>
      </c>
      <c r="E1361" s="116">
        <v>11.5</v>
      </c>
      <c r="F1361" s="101">
        <v>107</v>
      </c>
      <c r="G1361">
        <v>8.1999999999999993</v>
      </c>
      <c r="H1361" s="116">
        <v>3.4</v>
      </c>
      <c r="I1361">
        <v>59.8</v>
      </c>
      <c r="J1361">
        <v>1.6</v>
      </c>
      <c r="K1361">
        <v>13</v>
      </c>
      <c r="L1361">
        <v>30</v>
      </c>
      <c r="M1361">
        <v>3000</v>
      </c>
      <c r="N1361">
        <v>34</v>
      </c>
      <c r="O1361">
        <v>3500</v>
      </c>
      <c r="Q1361">
        <f t="shared" si="42"/>
        <v>2022</v>
      </c>
      <c r="R1361">
        <f t="shared" si="43"/>
        <v>5</v>
      </c>
    </row>
    <row r="1362" spans="1:18">
      <c r="A1362">
        <v>15</v>
      </c>
      <c r="B1362" t="s">
        <v>258</v>
      </c>
      <c r="C1362" s="216">
        <v>44761</v>
      </c>
      <c r="D1362">
        <v>17.899999999999999</v>
      </c>
      <c r="E1362" s="116">
        <v>9.9</v>
      </c>
      <c r="F1362" s="101">
        <v>104</v>
      </c>
      <c r="G1362">
        <v>8.1</v>
      </c>
      <c r="H1362" s="116">
        <v>2.2999999999999998</v>
      </c>
      <c r="I1362">
        <v>56.5</v>
      </c>
      <c r="J1362">
        <v>1.2</v>
      </c>
      <c r="K1362">
        <v>33</v>
      </c>
      <c r="L1362">
        <v>62</v>
      </c>
      <c r="M1362">
        <v>2200</v>
      </c>
      <c r="N1362">
        <v>39</v>
      </c>
      <c r="O1362">
        <v>3200</v>
      </c>
      <c r="Q1362">
        <f t="shared" si="42"/>
        <v>2022</v>
      </c>
      <c r="R1362">
        <f t="shared" si="43"/>
        <v>7</v>
      </c>
    </row>
    <row r="1363" spans="1:18">
      <c r="A1363">
        <v>15</v>
      </c>
      <c r="B1363" t="s">
        <v>258</v>
      </c>
      <c r="C1363" s="216">
        <v>44826</v>
      </c>
      <c r="D1363">
        <v>9.3000000000000007</v>
      </c>
      <c r="E1363" s="116">
        <v>10.5</v>
      </c>
      <c r="F1363" s="101">
        <v>90</v>
      </c>
      <c r="G1363">
        <v>8</v>
      </c>
      <c r="H1363" s="116">
        <v>1.6</v>
      </c>
      <c r="I1363">
        <v>65</v>
      </c>
      <c r="J1363">
        <v>1.1000000000000001</v>
      </c>
      <c r="K1363">
        <v>19</v>
      </c>
      <c r="L1363">
        <v>34</v>
      </c>
      <c r="M1363">
        <v>1600</v>
      </c>
      <c r="N1363">
        <v>19</v>
      </c>
      <c r="O1363">
        <v>2200</v>
      </c>
      <c r="Q1363">
        <f t="shared" si="42"/>
        <v>2022</v>
      </c>
      <c r="R1363">
        <f t="shared" si="43"/>
        <v>9</v>
      </c>
    </row>
    <row r="1364" spans="1:18">
      <c r="A1364">
        <v>15</v>
      </c>
      <c r="B1364" t="s">
        <v>258</v>
      </c>
      <c r="C1364" s="216">
        <v>44881</v>
      </c>
      <c r="D1364">
        <v>7.7</v>
      </c>
      <c r="E1364" s="116">
        <v>10</v>
      </c>
      <c r="F1364" s="101">
        <v>84</v>
      </c>
      <c r="G1364">
        <v>8</v>
      </c>
      <c r="H1364" s="116">
        <v>2.2999999999999998</v>
      </c>
      <c r="I1364">
        <v>68.599999999999994</v>
      </c>
      <c r="J1364">
        <v>1.4</v>
      </c>
      <c r="K1364">
        <v>30</v>
      </c>
      <c r="L1364">
        <v>53</v>
      </c>
      <c r="M1364">
        <v>1500</v>
      </c>
      <c r="N1364">
        <v>53</v>
      </c>
      <c r="O1364">
        <v>2300</v>
      </c>
      <c r="Q1364">
        <f t="shared" si="42"/>
        <v>2022</v>
      </c>
      <c r="R1364">
        <f t="shared" si="43"/>
        <v>11</v>
      </c>
    </row>
    <row r="1365" spans="1:18">
      <c r="A1365">
        <v>15</v>
      </c>
      <c r="B1365" t="s">
        <v>258</v>
      </c>
      <c r="C1365" s="216">
        <v>44944</v>
      </c>
      <c r="D1365">
        <v>3.2</v>
      </c>
      <c r="E1365" s="116">
        <v>11.6</v>
      </c>
      <c r="F1365" s="101">
        <v>88</v>
      </c>
      <c r="G1365">
        <v>7.7</v>
      </c>
      <c r="H1365" s="116">
        <v>9.8000000000000007</v>
      </c>
      <c r="I1365">
        <v>46.4</v>
      </c>
      <c r="J1365">
        <v>1.5</v>
      </c>
      <c r="K1365">
        <v>31</v>
      </c>
      <c r="L1365">
        <v>73</v>
      </c>
      <c r="M1365">
        <v>8400</v>
      </c>
      <c r="N1365">
        <v>80</v>
      </c>
      <c r="O1365">
        <v>8500</v>
      </c>
      <c r="Q1365">
        <f t="shared" si="42"/>
        <v>2023</v>
      </c>
      <c r="R1365">
        <f t="shared" si="43"/>
        <v>1</v>
      </c>
    </row>
    <row r="1366" spans="1:18">
      <c r="A1366">
        <v>15</v>
      </c>
      <c r="B1366" t="s">
        <v>258</v>
      </c>
      <c r="C1366" s="216">
        <v>45006</v>
      </c>
      <c r="D1366">
        <v>5.2</v>
      </c>
      <c r="E1366" s="116">
        <v>13.7</v>
      </c>
      <c r="F1366" s="101">
        <v>108</v>
      </c>
      <c r="G1366">
        <v>8</v>
      </c>
      <c r="H1366" s="116">
        <v>2.2000000000000002</v>
      </c>
      <c r="I1366">
        <v>54.9</v>
      </c>
      <c r="J1366">
        <v>2.4</v>
      </c>
      <c r="K1366">
        <v>11</v>
      </c>
      <c r="L1366">
        <v>22</v>
      </c>
      <c r="M1366">
        <v>6500</v>
      </c>
      <c r="N1366">
        <v>77</v>
      </c>
      <c r="O1366">
        <v>7400</v>
      </c>
      <c r="Q1366">
        <f t="shared" si="42"/>
        <v>2023</v>
      </c>
      <c r="R1366">
        <f t="shared" si="43"/>
        <v>3</v>
      </c>
    </row>
    <row r="1367" spans="1:18">
      <c r="A1367">
        <v>15</v>
      </c>
      <c r="B1367" t="s">
        <v>258</v>
      </c>
      <c r="C1367" s="216">
        <v>45061</v>
      </c>
      <c r="D1367">
        <v>16.7</v>
      </c>
      <c r="E1367" s="116">
        <v>11.4</v>
      </c>
      <c r="F1367" s="101">
        <v>118</v>
      </c>
      <c r="G1367">
        <v>8.3000000000000007</v>
      </c>
      <c r="H1367" s="116">
        <v>2.7</v>
      </c>
      <c r="I1367">
        <v>58.7</v>
      </c>
      <c r="J1367">
        <v>1.5</v>
      </c>
      <c r="K1367">
        <v>6.8</v>
      </c>
      <c r="L1367">
        <v>28</v>
      </c>
      <c r="M1367">
        <v>3200</v>
      </c>
      <c r="N1367">
        <v>53</v>
      </c>
      <c r="O1367">
        <v>3800</v>
      </c>
      <c r="Q1367">
        <f t="shared" si="42"/>
        <v>2023</v>
      </c>
      <c r="R1367">
        <f t="shared" si="43"/>
        <v>5</v>
      </c>
    </row>
    <row r="1368" spans="1:18">
      <c r="A1368">
        <v>15</v>
      </c>
      <c r="B1368" t="s">
        <v>258</v>
      </c>
      <c r="C1368" s="216">
        <v>45125</v>
      </c>
      <c r="D1368">
        <v>15.8</v>
      </c>
      <c r="E1368" s="116">
        <v>8.5</v>
      </c>
      <c r="F1368" s="101">
        <v>86</v>
      </c>
      <c r="G1368">
        <v>7.9</v>
      </c>
      <c r="H1368" s="116">
        <v>2.4</v>
      </c>
      <c r="I1368">
        <v>59.7</v>
      </c>
      <c r="J1368">
        <v>1</v>
      </c>
      <c r="K1368">
        <v>33</v>
      </c>
      <c r="L1368">
        <v>60</v>
      </c>
      <c r="M1368">
        <v>1000</v>
      </c>
      <c r="N1368">
        <v>26</v>
      </c>
      <c r="O1368">
        <v>1600</v>
      </c>
      <c r="Q1368">
        <f t="shared" si="42"/>
        <v>2023</v>
      </c>
      <c r="R1368">
        <f t="shared" si="43"/>
        <v>7</v>
      </c>
    </row>
    <row r="1369" spans="1:18">
      <c r="A1369">
        <v>15</v>
      </c>
      <c r="B1369" t="s">
        <v>258</v>
      </c>
      <c r="C1369" s="216">
        <v>45187</v>
      </c>
      <c r="D1369">
        <v>17.100000000000001</v>
      </c>
      <c r="E1369" s="116">
        <v>9.9</v>
      </c>
      <c r="F1369" s="101">
        <v>98</v>
      </c>
      <c r="G1369">
        <v>8.1</v>
      </c>
      <c r="H1369" s="116">
        <v>2.5</v>
      </c>
      <c r="I1369">
        <v>64.400000000000006</v>
      </c>
      <c r="J1369">
        <v>0.87</v>
      </c>
      <c r="K1369">
        <v>26</v>
      </c>
      <c r="L1369">
        <v>54</v>
      </c>
      <c r="M1369">
        <v>1800</v>
      </c>
      <c r="N1369">
        <v>19</v>
      </c>
      <c r="O1369">
        <v>2300</v>
      </c>
      <c r="Q1369">
        <f t="shared" si="42"/>
        <v>2023</v>
      </c>
      <c r="R1369">
        <f t="shared" si="43"/>
        <v>9</v>
      </c>
    </row>
    <row r="1370" spans="1:18">
      <c r="A1370">
        <v>15</v>
      </c>
      <c r="B1370" t="s">
        <v>258</v>
      </c>
      <c r="C1370" s="216">
        <v>45244</v>
      </c>
      <c r="D1370">
        <v>7.2</v>
      </c>
      <c r="E1370" s="116">
        <v>9.6999999999999993</v>
      </c>
      <c r="F1370" s="101">
        <v>83</v>
      </c>
      <c r="G1370">
        <v>7.8</v>
      </c>
      <c r="H1370" s="116">
        <v>3.3</v>
      </c>
      <c r="I1370">
        <v>60.8</v>
      </c>
      <c r="J1370">
        <v>1.3</v>
      </c>
      <c r="K1370">
        <v>23</v>
      </c>
      <c r="L1370">
        <v>51</v>
      </c>
      <c r="M1370">
        <v>9400</v>
      </c>
      <c r="N1370">
        <v>33</v>
      </c>
      <c r="O1370">
        <v>8600</v>
      </c>
      <c r="Q1370">
        <f t="shared" si="42"/>
        <v>2023</v>
      </c>
      <c r="R1370">
        <f t="shared" si="43"/>
        <v>11</v>
      </c>
    </row>
    <row r="1371" spans="1:18">
      <c r="A1371">
        <v>17</v>
      </c>
      <c r="B1371" t="s">
        <v>259</v>
      </c>
      <c r="C1371" s="216">
        <v>44222</v>
      </c>
      <c r="D1371">
        <v>2.2000000000000002</v>
      </c>
      <c r="E1371" s="116">
        <v>12.9</v>
      </c>
      <c r="F1371" s="101">
        <v>95</v>
      </c>
      <c r="G1371">
        <v>7.9</v>
      </c>
      <c r="H1371" s="116">
        <v>3.1</v>
      </c>
      <c r="I1371">
        <v>37</v>
      </c>
      <c r="J1371">
        <v>1.2</v>
      </c>
      <c r="K1371">
        <v>18</v>
      </c>
      <c r="L1371">
        <v>38</v>
      </c>
      <c r="M1371">
        <v>6500</v>
      </c>
      <c r="N1371">
        <v>30</v>
      </c>
      <c r="O1371">
        <v>7300</v>
      </c>
      <c r="Q1371">
        <f t="shared" si="42"/>
        <v>2021</v>
      </c>
      <c r="R1371">
        <f t="shared" si="43"/>
        <v>1</v>
      </c>
    </row>
    <row r="1372" spans="1:18">
      <c r="A1372">
        <v>17</v>
      </c>
      <c r="B1372" t="s">
        <v>259</v>
      </c>
      <c r="C1372" s="216">
        <v>44284</v>
      </c>
      <c r="D1372">
        <v>7</v>
      </c>
      <c r="E1372" s="116">
        <v>11.7</v>
      </c>
      <c r="F1372" s="101">
        <v>96</v>
      </c>
      <c r="G1372">
        <v>7.9</v>
      </c>
      <c r="H1372" s="116">
        <v>4.5999999999999996</v>
      </c>
      <c r="I1372">
        <v>36.200000000000003</v>
      </c>
      <c r="J1372">
        <v>1.9</v>
      </c>
      <c r="K1372">
        <v>12</v>
      </c>
      <c r="L1372">
        <v>38</v>
      </c>
      <c r="M1372">
        <v>2600</v>
      </c>
      <c r="N1372">
        <v>24</v>
      </c>
      <c r="O1372">
        <v>3600</v>
      </c>
      <c r="Q1372">
        <f t="shared" si="42"/>
        <v>2021</v>
      </c>
      <c r="R1372">
        <f t="shared" si="43"/>
        <v>3</v>
      </c>
    </row>
    <row r="1373" spans="1:18">
      <c r="A1373">
        <v>17</v>
      </c>
      <c r="B1373" t="s">
        <v>259</v>
      </c>
      <c r="C1373" s="216">
        <v>44344</v>
      </c>
      <c r="D1373">
        <v>12</v>
      </c>
      <c r="E1373" s="116">
        <v>11.3</v>
      </c>
      <c r="F1373" s="101">
        <v>105</v>
      </c>
      <c r="G1373">
        <v>8.1</v>
      </c>
      <c r="H1373" s="116">
        <v>3.7</v>
      </c>
      <c r="I1373">
        <v>37.1</v>
      </c>
      <c r="J1373">
        <v>1.7</v>
      </c>
      <c r="K1373">
        <v>17</v>
      </c>
      <c r="L1373">
        <v>44</v>
      </c>
      <c r="M1373">
        <v>1100</v>
      </c>
      <c r="N1373">
        <v>19</v>
      </c>
      <c r="O1373">
        <v>1600</v>
      </c>
      <c r="Q1373">
        <f t="shared" si="42"/>
        <v>2021</v>
      </c>
      <c r="R1373">
        <f t="shared" si="43"/>
        <v>5</v>
      </c>
    </row>
    <row r="1374" spans="1:18">
      <c r="A1374">
        <v>17</v>
      </c>
      <c r="B1374" t="s">
        <v>259</v>
      </c>
      <c r="C1374" s="216">
        <v>44390</v>
      </c>
      <c r="D1374">
        <v>21.3</v>
      </c>
      <c r="E1374" s="116">
        <v>7.9</v>
      </c>
      <c r="F1374" s="101">
        <v>90</v>
      </c>
      <c r="G1374">
        <v>8</v>
      </c>
      <c r="H1374" s="116">
        <v>13</v>
      </c>
      <c r="I1374">
        <v>42.6</v>
      </c>
      <c r="J1374">
        <v>3</v>
      </c>
      <c r="K1374">
        <v>43</v>
      </c>
      <c r="L1374">
        <v>100</v>
      </c>
      <c r="M1374">
        <v>860</v>
      </c>
      <c r="N1374">
        <v>35</v>
      </c>
      <c r="O1374">
        <v>1200</v>
      </c>
      <c r="Q1374">
        <f t="shared" si="42"/>
        <v>2021</v>
      </c>
      <c r="R1374">
        <f t="shared" si="43"/>
        <v>7</v>
      </c>
    </row>
    <row r="1375" spans="1:18">
      <c r="A1375">
        <v>17</v>
      </c>
      <c r="B1375" t="s">
        <v>259</v>
      </c>
      <c r="C1375" s="216">
        <v>44460</v>
      </c>
      <c r="D1375">
        <v>11.4</v>
      </c>
      <c r="E1375" s="116">
        <v>10.1</v>
      </c>
      <c r="F1375" s="101">
        <v>92</v>
      </c>
      <c r="G1375">
        <v>8</v>
      </c>
      <c r="H1375" s="116">
        <v>1</v>
      </c>
      <c r="I1375">
        <v>46.4</v>
      </c>
      <c r="J1375">
        <v>1</v>
      </c>
      <c r="K1375">
        <v>24</v>
      </c>
      <c r="L1375">
        <v>41</v>
      </c>
      <c r="M1375">
        <v>700</v>
      </c>
      <c r="N1375">
        <v>19</v>
      </c>
      <c r="O1375">
        <v>950</v>
      </c>
      <c r="Q1375">
        <f t="shared" si="42"/>
        <v>2021</v>
      </c>
      <c r="R1375">
        <f t="shared" si="43"/>
        <v>9</v>
      </c>
    </row>
    <row r="1376" spans="1:18">
      <c r="A1376">
        <v>17</v>
      </c>
      <c r="B1376" t="s">
        <v>259</v>
      </c>
      <c r="C1376" s="216">
        <v>44530</v>
      </c>
      <c r="D1376">
        <v>1.2</v>
      </c>
      <c r="E1376" s="116">
        <v>13.1</v>
      </c>
      <c r="F1376" s="101">
        <v>96</v>
      </c>
      <c r="G1376">
        <v>7.8</v>
      </c>
      <c r="H1376" s="116">
        <v>7.7</v>
      </c>
      <c r="I1376">
        <v>33.5</v>
      </c>
      <c r="J1376">
        <v>2</v>
      </c>
      <c r="K1376">
        <v>7.2</v>
      </c>
      <c r="L1376">
        <v>60</v>
      </c>
      <c r="M1376">
        <v>5400</v>
      </c>
      <c r="N1376">
        <v>33</v>
      </c>
      <c r="O1376">
        <v>4700</v>
      </c>
      <c r="Q1376">
        <f t="shared" si="42"/>
        <v>2021</v>
      </c>
      <c r="R1376">
        <f t="shared" si="43"/>
        <v>11</v>
      </c>
    </row>
    <row r="1377" spans="1:18">
      <c r="A1377">
        <v>17</v>
      </c>
      <c r="B1377" t="s">
        <v>259</v>
      </c>
      <c r="C1377" s="216">
        <v>44580</v>
      </c>
      <c r="D1377">
        <v>2.4</v>
      </c>
      <c r="E1377" s="116">
        <v>13.2</v>
      </c>
      <c r="F1377" s="101">
        <v>98</v>
      </c>
      <c r="G1377">
        <v>7.9</v>
      </c>
      <c r="H1377" s="116">
        <v>3.2</v>
      </c>
      <c r="I1377">
        <v>38.1</v>
      </c>
      <c r="J1377">
        <v>1.5</v>
      </c>
      <c r="K1377">
        <v>18</v>
      </c>
      <c r="L1377">
        <v>41</v>
      </c>
      <c r="M1377">
        <v>3100</v>
      </c>
      <c r="N1377">
        <v>58</v>
      </c>
      <c r="O1377">
        <v>3700</v>
      </c>
      <c r="Q1377">
        <f t="shared" si="42"/>
        <v>2022</v>
      </c>
      <c r="R1377">
        <f t="shared" si="43"/>
        <v>1</v>
      </c>
    </row>
    <row r="1378" spans="1:18">
      <c r="A1378">
        <v>17</v>
      </c>
      <c r="B1378" t="s">
        <v>259</v>
      </c>
      <c r="C1378" s="216">
        <v>44637</v>
      </c>
      <c r="D1378">
        <v>5</v>
      </c>
      <c r="E1378" s="116">
        <v>12.5</v>
      </c>
      <c r="F1378" s="101">
        <v>97</v>
      </c>
      <c r="G1378">
        <v>8</v>
      </c>
      <c r="H1378" s="116">
        <v>4.5</v>
      </c>
      <c r="I1378">
        <v>37.4</v>
      </c>
      <c r="J1378">
        <v>1.8</v>
      </c>
      <c r="K1378">
        <v>15</v>
      </c>
      <c r="L1378">
        <v>34</v>
      </c>
      <c r="M1378">
        <v>2100</v>
      </c>
      <c r="N1378">
        <v>25</v>
      </c>
      <c r="O1378">
        <v>3000</v>
      </c>
      <c r="Q1378">
        <f t="shared" si="42"/>
        <v>2022</v>
      </c>
      <c r="R1378">
        <f t="shared" si="43"/>
        <v>3</v>
      </c>
    </row>
    <row r="1379" spans="1:18">
      <c r="A1379">
        <v>17</v>
      </c>
      <c r="B1379" t="s">
        <v>259</v>
      </c>
      <c r="C1379" s="216">
        <v>44698</v>
      </c>
      <c r="D1379">
        <v>12.1</v>
      </c>
      <c r="E1379" s="116">
        <v>10.8</v>
      </c>
      <c r="F1379" s="101">
        <v>100</v>
      </c>
      <c r="G1379">
        <v>8.1</v>
      </c>
      <c r="H1379" s="116">
        <v>6.1</v>
      </c>
      <c r="I1379">
        <v>41.5</v>
      </c>
      <c r="J1379">
        <v>2.2000000000000002</v>
      </c>
      <c r="K1379">
        <v>18</v>
      </c>
      <c r="L1379">
        <v>52</v>
      </c>
      <c r="M1379">
        <v>1100</v>
      </c>
      <c r="N1379">
        <v>26</v>
      </c>
      <c r="O1379">
        <v>1400</v>
      </c>
      <c r="Q1379">
        <f t="shared" si="42"/>
        <v>2022</v>
      </c>
      <c r="R1379">
        <f t="shared" si="43"/>
        <v>5</v>
      </c>
    </row>
    <row r="1380" spans="1:18">
      <c r="A1380">
        <v>17</v>
      </c>
      <c r="B1380" t="s">
        <v>259</v>
      </c>
      <c r="C1380" s="216">
        <v>44761</v>
      </c>
      <c r="D1380">
        <v>19.8</v>
      </c>
      <c r="E1380" s="116">
        <v>9</v>
      </c>
      <c r="F1380" s="101">
        <v>98</v>
      </c>
      <c r="G1380">
        <v>7.9</v>
      </c>
      <c r="H1380" s="116">
        <v>12</v>
      </c>
      <c r="I1380">
        <v>40.1</v>
      </c>
      <c r="J1380">
        <v>2</v>
      </c>
      <c r="K1380">
        <v>36</v>
      </c>
      <c r="L1380">
        <v>100</v>
      </c>
      <c r="M1380">
        <v>930</v>
      </c>
      <c r="N1380">
        <v>58</v>
      </c>
      <c r="O1380">
        <v>1600</v>
      </c>
      <c r="Q1380">
        <f t="shared" si="42"/>
        <v>2022</v>
      </c>
      <c r="R1380">
        <f t="shared" si="43"/>
        <v>7</v>
      </c>
    </row>
    <row r="1381" spans="1:18">
      <c r="A1381">
        <v>17</v>
      </c>
      <c r="B1381" t="s">
        <v>259</v>
      </c>
      <c r="C1381" s="216">
        <v>44826</v>
      </c>
      <c r="D1381">
        <v>10.8</v>
      </c>
      <c r="E1381" s="116">
        <v>11</v>
      </c>
      <c r="F1381" s="101">
        <v>89</v>
      </c>
      <c r="G1381">
        <v>8</v>
      </c>
      <c r="H1381" s="116">
        <v>5.6</v>
      </c>
      <c r="I1381">
        <v>46</v>
      </c>
      <c r="J1381">
        <v>1.5</v>
      </c>
      <c r="K1381">
        <v>24</v>
      </c>
      <c r="L1381">
        <v>64</v>
      </c>
      <c r="M1381">
        <v>1000</v>
      </c>
      <c r="N1381">
        <v>30</v>
      </c>
      <c r="O1381">
        <v>1500</v>
      </c>
      <c r="Q1381">
        <f t="shared" si="42"/>
        <v>2022</v>
      </c>
      <c r="R1381">
        <f t="shared" si="43"/>
        <v>9</v>
      </c>
    </row>
    <row r="1382" spans="1:18">
      <c r="A1382">
        <v>17</v>
      </c>
      <c r="B1382" t="s">
        <v>259</v>
      </c>
      <c r="C1382" s="216">
        <v>44881</v>
      </c>
      <c r="D1382">
        <v>8</v>
      </c>
      <c r="E1382" s="116">
        <v>9.8000000000000007</v>
      </c>
      <c r="F1382" s="101">
        <v>83</v>
      </c>
      <c r="G1382">
        <v>8</v>
      </c>
      <c r="H1382" s="116">
        <v>2.7</v>
      </c>
      <c r="I1382">
        <v>48.4</v>
      </c>
      <c r="J1382">
        <v>1.5</v>
      </c>
      <c r="K1382">
        <v>22</v>
      </c>
      <c r="L1382">
        <v>51</v>
      </c>
      <c r="M1382">
        <v>640</v>
      </c>
      <c r="N1382">
        <v>38</v>
      </c>
      <c r="O1382">
        <v>1000</v>
      </c>
      <c r="Q1382">
        <f t="shared" si="42"/>
        <v>2022</v>
      </c>
      <c r="R1382">
        <f t="shared" si="43"/>
        <v>11</v>
      </c>
    </row>
    <row r="1383" spans="1:18">
      <c r="A1383">
        <v>17</v>
      </c>
      <c r="B1383" t="s">
        <v>259</v>
      </c>
      <c r="C1383" s="216">
        <v>44944</v>
      </c>
      <c r="D1383">
        <v>3</v>
      </c>
      <c r="E1383" s="116">
        <v>12.5</v>
      </c>
      <c r="F1383" s="101">
        <v>94</v>
      </c>
      <c r="G1383">
        <v>7.7</v>
      </c>
      <c r="H1383" s="116">
        <v>3.9</v>
      </c>
      <c r="I1383">
        <v>34.1</v>
      </c>
      <c r="J1383">
        <v>1.4</v>
      </c>
      <c r="K1383">
        <v>18</v>
      </c>
      <c r="L1383">
        <v>43</v>
      </c>
      <c r="M1383">
        <v>5600</v>
      </c>
      <c r="N1383">
        <v>35</v>
      </c>
      <c r="O1383">
        <v>5900</v>
      </c>
      <c r="Q1383">
        <f t="shared" si="42"/>
        <v>2023</v>
      </c>
      <c r="R1383">
        <f t="shared" si="43"/>
        <v>1</v>
      </c>
    </row>
    <row r="1384" spans="1:18">
      <c r="A1384">
        <v>17</v>
      </c>
      <c r="B1384" t="s">
        <v>259</v>
      </c>
      <c r="C1384" s="216">
        <v>45006</v>
      </c>
      <c r="D1384">
        <v>5.0999999999999996</v>
      </c>
      <c r="E1384" s="116">
        <v>12.9</v>
      </c>
      <c r="F1384" s="101">
        <v>101</v>
      </c>
      <c r="G1384">
        <v>7.9</v>
      </c>
      <c r="H1384" s="116">
        <v>1.8</v>
      </c>
      <c r="I1384">
        <v>35.4</v>
      </c>
      <c r="J1384">
        <v>2.1</v>
      </c>
      <c r="K1384">
        <v>8.3000000000000007</v>
      </c>
      <c r="L1384">
        <v>25</v>
      </c>
      <c r="M1384">
        <v>3500</v>
      </c>
      <c r="N1384">
        <v>15</v>
      </c>
      <c r="O1384">
        <v>4300</v>
      </c>
      <c r="Q1384">
        <f t="shared" si="42"/>
        <v>2023</v>
      </c>
      <c r="R1384">
        <f t="shared" si="43"/>
        <v>3</v>
      </c>
    </row>
    <row r="1385" spans="1:18">
      <c r="A1385">
        <v>17</v>
      </c>
      <c r="B1385" t="s">
        <v>259</v>
      </c>
      <c r="C1385" s="216">
        <v>45061</v>
      </c>
      <c r="D1385">
        <v>16.2</v>
      </c>
      <c r="E1385" s="116">
        <v>10.7</v>
      </c>
      <c r="F1385" s="101">
        <v>110</v>
      </c>
      <c r="G1385">
        <v>8.1999999999999993</v>
      </c>
      <c r="H1385" s="116">
        <v>6.6</v>
      </c>
      <c r="I1385">
        <v>42.8</v>
      </c>
      <c r="J1385">
        <v>1</v>
      </c>
      <c r="K1385">
        <v>11</v>
      </c>
      <c r="L1385">
        <v>41</v>
      </c>
      <c r="M1385">
        <v>1300</v>
      </c>
      <c r="N1385">
        <v>23</v>
      </c>
      <c r="O1385">
        <v>1600</v>
      </c>
      <c r="Q1385">
        <f t="shared" si="42"/>
        <v>2023</v>
      </c>
      <c r="R1385">
        <f t="shared" si="43"/>
        <v>5</v>
      </c>
    </row>
    <row r="1386" spans="1:18">
      <c r="A1386">
        <v>17</v>
      </c>
      <c r="B1386" t="s">
        <v>259</v>
      </c>
      <c r="C1386" s="216">
        <v>45125</v>
      </c>
      <c r="D1386">
        <v>16.3</v>
      </c>
      <c r="E1386" s="116">
        <v>9.6999999999999993</v>
      </c>
      <c r="F1386" s="101">
        <v>100</v>
      </c>
      <c r="G1386">
        <v>8</v>
      </c>
      <c r="H1386" s="116">
        <v>3.6</v>
      </c>
      <c r="I1386">
        <v>41.3</v>
      </c>
      <c r="J1386">
        <v>2.2000000000000002</v>
      </c>
      <c r="K1386">
        <v>24</v>
      </c>
      <c r="L1386">
        <v>80</v>
      </c>
      <c r="M1386">
        <v>650</v>
      </c>
      <c r="N1386">
        <v>57</v>
      </c>
      <c r="O1386">
        <v>1600</v>
      </c>
      <c r="Q1386">
        <f t="shared" si="42"/>
        <v>2023</v>
      </c>
      <c r="R1386">
        <f t="shared" si="43"/>
        <v>7</v>
      </c>
    </row>
    <row r="1387" spans="1:18">
      <c r="A1387">
        <v>17</v>
      </c>
      <c r="B1387" t="s">
        <v>259</v>
      </c>
      <c r="C1387" s="216">
        <v>45187</v>
      </c>
      <c r="D1387">
        <v>17.600000000000001</v>
      </c>
      <c r="E1387" s="116">
        <v>10.4</v>
      </c>
      <c r="F1387" s="101">
        <v>110</v>
      </c>
      <c r="G1387">
        <v>8.1999999999999993</v>
      </c>
      <c r="H1387" s="116">
        <v>1.8</v>
      </c>
      <c r="I1387">
        <v>45.9</v>
      </c>
      <c r="J1387">
        <v>1.1000000000000001</v>
      </c>
      <c r="K1387">
        <v>28</v>
      </c>
      <c r="L1387">
        <v>59</v>
      </c>
      <c r="M1387">
        <v>970</v>
      </c>
      <c r="N1387">
        <v>33</v>
      </c>
      <c r="O1387">
        <v>1300</v>
      </c>
      <c r="Q1387">
        <f t="shared" ref="Q1387:Q1450" si="44">YEAR(C1387)</f>
        <v>2023</v>
      </c>
      <c r="R1387">
        <f t="shared" ref="R1387:R1450" si="45">MONTH(C1387)</f>
        <v>9</v>
      </c>
    </row>
    <row r="1388" spans="1:18">
      <c r="A1388">
        <v>17</v>
      </c>
      <c r="B1388" t="s">
        <v>259</v>
      </c>
      <c r="C1388" s="216">
        <v>45244</v>
      </c>
      <c r="D1388">
        <v>6.6</v>
      </c>
      <c r="E1388" s="116">
        <v>10.8</v>
      </c>
      <c r="F1388" s="101">
        <v>91</v>
      </c>
      <c r="G1388">
        <v>7.8</v>
      </c>
      <c r="H1388" s="116">
        <v>1.8</v>
      </c>
      <c r="I1388">
        <v>41.5</v>
      </c>
      <c r="J1388">
        <v>1.5</v>
      </c>
      <c r="K1388">
        <v>13</v>
      </c>
      <c r="L1388">
        <v>32</v>
      </c>
      <c r="M1388">
        <v>4100</v>
      </c>
      <c r="N1388">
        <v>18</v>
      </c>
      <c r="O1388">
        <v>4500</v>
      </c>
      <c r="Q1388">
        <f t="shared" si="44"/>
        <v>2023</v>
      </c>
      <c r="R1388">
        <f t="shared" si="45"/>
        <v>11</v>
      </c>
    </row>
    <row r="1389" spans="1:18">
      <c r="A1389">
        <v>18</v>
      </c>
      <c r="B1389" t="s">
        <v>266</v>
      </c>
      <c r="C1389" s="216">
        <v>44223</v>
      </c>
      <c r="D1389">
        <v>1.8</v>
      </c>
      <c r="E1389" s="116">
        <v>13.9</v>
      </c>
      <c r="F1389" s="101">
        <v>101</v>
      </c>
      <c r="G1389">
        <v>8.3000000000000007</v>
      </c>
      <c r="H1389" s="116">
        <v>2.4</v>
      </c>
      <c r="I1389">
        <v>18.8</v>
      </c>
      <c r="J1389">
        <v>1.4</v>
      </c>
      <c r="K1389">
        <v>19</v>
      </c>
      <c r="L1389">
        <v>34</v>
      </c>
      <c r="M1389">
        <v>8800</v>
      </c>
      <c r="N1389">
        <v>13</v>
      </c>
      <c r="O1389">
        <v>9500</v>
      </c>
      <c r="Q1389">
        <f t="shared" si="44"/>
        <v>2021</v>
      </c>
      <c r="R1389">
        <f t="shared" si="45"/>
        <v>1</v>
      </c>
    </row>
    <row r="1390" spans="1:18">
      <c r="A1390">
        <v>18</v>
      </c>
      <c r="B1390" t="s">
        <v>266</v>
      </c>
      <c r="C1390" s="216">
        <v>44284</v>
      </c>
      <c r="D1390">
        <v>6.8</v>
      </c>
      <c r="E1390" s="116">
        <v>12.3</v>
      </c>
      <c r="F1390" s="101">
        <v>100</v>
      </c>
      <c r="G1390">
        <v>8.4</v>
      </c>
      <c r="H1390" s="116">
        <v>1.4</v>
      </c>
      <c r="I1390">
        <v>50</v>
      </c>
      <c r="J1390">
        <v>2.4</v>
      </c>
      <c r="K1390" t="s">
        <v>149</v>
      </c>
      <c r="L1390">
        <v>28</v>
      </c>
      <c r="M1390">
        <v>4900</v>
      </c>
      <c r="N1390" t="s">
        <v>148</v>
      </c>
      <c r="O1390">
        <v>5700</v>
      </c>
      <c r="Q1390">
        <f t="shared" si="44"/>
        <v>2021</v>
      </c>
      <c r="R1390">
        <f t="shared" si="45"/>
        <v>3</v>
      </c>
    </row>
    <row r="1391" spans="1:18">
      <c r="A1391">
        <v>18</v>
      </c>
      <c r="B1391" t="s">
        <v>266</v>
      </c>
      <c r="C1391" s="216">
        <v>44344</v>
      </c>
      <c r="D1391">
        <v>11.1</v>
      </c>
      <c r="E1391" s="116">
        <v>11.1</v>
      </c>
      <c r="F1391" s="101">
        <v>100</v>
      </c>
      <c r="G1391">
        <v>8.5</v>
      </c>
      <c r="H1391" s="116">
        <v>2.9</v>
      </c>
      <c r="I1391">
        <v>48</v>
      </c>
      <c r="J1391">
        <v>1.6</v>
      </c>
      <c r="K1391">
        <v>14</v>
      </c>
      <c r="L1391">
        <v>41</v>
      </c>
      <c r="M1391">
        <v>1600</v>
      </c>
      <c r="N1391">
        <v>13</v>
      </c>
      <c r="O1391">
        <v>2300</v>
      </c>
      <c r="Q1391">
        <f t="shared" si="44"/>
        <v>2021</v>
      </c>
      <c r="R1391">
        <f t="shared" si="45"/>
        <v>5</v>
      </c>
    </row>
    <row r="1392" spans="1:18">
      <c r="A1392">
        <v>18</v>
      </c>
      <c r="B1392" t="s">
        <v>266</v>
      </c>
      <c r="C1392" s="216">
        <v>44390</v>
      </c>
      <c r="D1392">
        <v>18.899999999999999</v>
      </c>
      <c r="E1392" s="116">
        <v>8.6999999999999993</v>
      </c>
      <c r="F1392" s="101">
        <v>93</v>
      </c>
      <c r="G1392">
        <v>8.3000000000000007</v>
      </c>
      <c r="H1392" s="116">
        <v>5.9</v>
      </c>
      <c r="I1392">
        <v>53.8</v>
      </c>
      <c r="J1392">
        <v>1</v>
      </c>
      <c r="K1392">
        <v>110</v>
      </c>
      <c r="L1392">
        <v>150</v>
      </c>
      <c r="M1392">
        <v>810</v>
      </c>
      <c r="N1392" t="s">
        <v>148</v>
      </c>
      <c r="O1392">
        <v>1200</v>
      </c>
      <c r="Q1392">
        <f t="shared" si="44"/>
        <v>2021</v>
      </c>
      <c r="R1392">
        <f t="shared" si="45"/>
        <v>7</v>
      </c>
    </row>
    <row r="1393" spans="1:18">
      <c r="A1393">
        <v>18</v>
      </c>
      <c r="B1393" t="s">
        <v>266</v>
      </c>
      <c r="C1393" s="216">
        <v>44459</v>
      </c>
      <c r="D1393">
        <v>11.4</v>
      </c>
      <c r="E1393" s="116">
        <v>10.5</v>
      </c>
      <c r="F1393" s="101">
        <v>95</v>
      </c>
      <c r="G1393">
        <v>8.3000000000000007</v>
      </c>
      <c r="H1393" s="116">
        <v>1.1000000000000001</v>
      </c>
      <c r="I1393">
        <v>58.4</v>
      </c>
      <c r="J1393">
        <v>0.95</v>
      </c>
      <c r="K1393">
        <v>69</v>
      </c>
      <c r="L1393">
        <v>79</v>
      </c>
      <c r="M1393">
        <v>440</v>
      </c>
      <c r="N1393">
        <v>10</v>
      </c>
      <c r="O1393">
        <v>720</v>
      </c>
      <c r="Q1393">
        <f t="shared" si="44"/>
        <v>2021</v>
      </c>
      <c r="R1393">
        <f t="shared" si="45"/>
        <v>9</v>
      </c>
    </row>
    <row r="1394" spans="1:18">
      <c r="A1394">
        <v>18</v>
      </c>
      <c r="B1394" t="s">
        <v>266</v>
      </c>
      <c r="C1394" s="216">
        <v>44530</v>
      </c>
      <c r="D1394">
        <v>2.2000000000000002</v>
      </c>
      <c r="E1394" s="116">
        <v>13.5</v>
      </c>
      <c r="F1394" s="101">
        <v>101</v>
      </c>
      <c r="G1394">
        <v>8.3000000000000007</v>
      </c>
      <c r="H1394" s="116">
        <v>3.6</v>
      </c>
      <c r="I1394">
        <v>53.5</v>
      </c>
      <c r="J1394">
        <v>1.6</v>
      </c>
      <c r="K1394" t="s">
        <v>149</v>
      </c>
      <c r="L1394">
        <v>35</v>
      </c>
      <c r="M1394">
        <v>10000</v>
      </c>
      <c r="N1394">
        <v>11</v>
      </c>
      <c r="O1394">
        <v>9300</v>
      </c>
      <c r="Q1394">
        <f t="shared" si="44"/>
        <v>2021</v>
      </c>
      <c r="R1394">
        <f t="shared" si="45"/>
        <v>11</v>
      </c>
    </row>
    <row r="1395" spans="1:18">
      <c r="A1395">
        <v>18</v>
      </c>
      <c r="B1395" t="s">
        <v>266</v>
      </c>
      <c r="C1395" s="216">
        <v>44550</v>
      </c>
      <c r="D1395">
        <v>1.9</v>
      </c>
      <c r="E1395" s="116">
        <v>13.6</v>
      </c>
      <c r="F1395" s="101">
        <v>99</v>
      </c>
      <c r="G1395">
        <v>8.3000000000000007</v>
      </c>
      <c r="H1395" s="116">
        <v>1.8</v>
      </c>
      <c r="I1395">
        <v>49.7</v>
      </c>
      <c r="J1395">
        <v>1.1000000000000001</v>
      </c>
      <c r="K1395">
        <v>17</v>
      </c>
      <c r="L1395">
        <v>30</v>
      </c>
      <c r="M1395">
        <v>7700</v>
      </c>
      <c r="N1395">
        <v>22</v>
      </c>
      <c r="O1395">
        <v>7100</v>
      </c>
      <c r="Q1395">
        <f t="shared" si="44"/>
        <v>2021</v>
      </c>
      <c r="R1395">
        <f t="shared" si="45"/>
        <v>12</v>
      </c>
    </row>
    <row r="1396" spans="1:18">
      <c r="A1396">
        <v>18</v>
      </c>
      <c r="B1396" t="s">
        <v>266</v>
      </c>
      <c r="C1396" s="216">
        <v>44580</v>
      </c>
      <c r="D1396">
        <v>2.4</v>
      </c>
      <c r="E1396" s="116">
        <v>14.1</v>
      </c>
      <c r="F1396" s="101">
        <v>102</v>
      </c>
      <c r="G1396">
        <v>8.3000000000000007</v>
      </c>
      <c r="H1396" s="116">
        <v>1.7</v>
      </c>
      <c r="I1396">
        <v>51.9</v>
      </c>
      <c r="J1396">
        <v>0.9</v>
      </c>
      <c r="K1396">
        <v>21</v>
      </c>
      <c r="L1396">
        <v>32</v>
      </c>
      <c r="M1396">
        <v>6600</v>
      </c>
      <c r="N1396">
        <v>38</v>
      </c>
      <c r="O1396">
        <v>7400</v>
      </c>
      <c r="Q1396">
        <f t="shared" si="44"/>
        <v>2022</v>
      </c>
      <c r="R1396">
        <f t="shared" si="45"/>
        <v>1</v>
      </c>
    </row>
    <row r="1397" spans="1:18">
      <c r="A1397">
        <v>18</v>
      </c>
      <c r="B1397" t="s">
        <v>266</v>
      </c>
      <c r="C1397" s="216">
        <v>44637</v>
      </c>
      <c r="D1397">
        <v>4.4000000000000004</v>
      </c>
      <c r="E1397" s="116">
        <v>13.8</v>
      </c>
      <c r="F1397" s="101">
        <v>104</v>
      </c>
      <c r="G1397">
        <v>8.4</v>
      </c>
      <c r="H1397" s="116">
        <v>1.1000000000000001</v>
      </c>
      <c r="I1397">
        <v>51.5</v>
      </c>
      <c r="J1397">
        <v>1.4</v>
      </c>
      <c r="K1397">
        <v>12</v>
      </c>
      <c r="L1397">
        <v>21</v>
      </c>
      <c r="M1397">
        <v>4200</v>
      </c>
      <c r="N1397" t="s">
        <v>148</v>
      </c>
      <c r="O1397">
        <v>4800</v>
      </c>
      <c r="Q1397">
        <f t="shared" si="44"/>
        <v>2022</v>
      </c>
      <c r="R1397">
        <f t="shared" si="45"/>
        <v>3</v>
      </c>
    </row>
    <row r="1398" spans="1:18">
      <c r="A1398">
        <v>18</v>
      </c>
      <c r="B1398" t="s">
        <v>266</v>
      </c>
      <c r="C1398" s="216">
        <v>44698</v>
      </c>
      <c r="D1398">
        <v>12.8</v>
      </c>
      <c r="E1398" s="116">
        <v>11.8</v>
      </c>
      <c r="F1398" s="101">
        <v>105</v>
      </c>
      <c r="G1398">
        <v>8.4</v>
      </c>
      <c r="H1398" s="116">
        <v>0.7</v>
      </c>
      <c r="I1398">
        <v>52.8</v>
      </c>
      <c r="J1398">
        <v>1.7</v>
      </c>
      <c r="K1398">
        <v>11</v>
      </c>
      <c r="L1398">
        <v>22</v>
      </c>
      <c r="M1398">
        <v>1400</v>
      </c>
      <c r="N1398">
        <v>17</v>
      </c>
      <c r="O1398">
        <v>1900</v>
      </c>
      <c r="Q1398">
        <f t="shared" si="44"/>
        <v>2022</v>
      </c>
      <c r="R1398">
        <f t="shared" si="45"/>
        <v>5</v>
      </c>
    </row>
    <row r="1399" spans="1:18">
      <c r="A1399">
        <v>18</v>
      </c>
      <c r="B1399" t="s">
        <v>266</v>
      </c>
      <c r="C1399" s="216">
        <v>44761</v>
      </c>
      <c r="D1399">
        <v>16.100000000000001</v>
      </c>
      <c r="E1399" s="116">
        <v>9.8000000000000007</v>
      </c>
      <c r="F1399" s="101">
        <v>90</v>
      </c>
      <c r="G1399">
        <v>8.3000000000000007</v>
      </c>
      <c r="H1399" s="116">
        <v>2.2999999999999998</v>
      </c>
      <c r="I1399">
        <v>50</v>
      </c>
      <c r="J1399">
        <v>0.78</v>
      </c>
      <c r="K1399">
        <v>110</v>
      </c>
      <c r="L1399">
        <v>120</v>
      </c>
      <c r="M1399">
        <v>610</v>
      </c>
      <c r="N1399">
        <v>16</v>
      </c>
      <c r="O1399">
        <v>1100</v>
      </c>
      <c r="Q1399">
        <f t="shared" si="44"/>
        <v>2022</v>
      </c>
      <c r="R1399">
        <f t="shared" si="45"/>
        <v>7</v>
      </c>
    </row>
    <row r="1400" spans="1:18">
      <c r="A1400">
        <v>18</v>
      </c>
      <c r="B1400" t="s">
        <v>266</v>
      </c>
      <c r="C1400" s="216">
        <v>44881</v>
      </c>
      <c r="D1400">
        <v>7.9</v>
      </c>
      <c r="E1400" s="116">
        <v>9.9</v>
      </c>
      <c r="F1400" s="101">
        <v>83</v>
      </c>
      <c r="G1400">
        <v>8.1</v>
      </c>
      <c r="H1400" s="116">
        <v>0.28000000000000003</v>
      </c>
      <c r="I1400">
        <v>62.4</v>
      </c>
      <c r="J1400">
        <v>1.6</v>
      </c>
      <c r="K1400">
        <v>19</v>
      </c>
      <c r="L1400">
        <v>32</v>
      </c>
      <c r="M1400" t="s">
        <v>148</v>
      </c>
      <c r="N1400" t="s">
        <v>148</v>
      </c>
      <c r="O1400">
        <v>470</v>
      </c>
      <c r="Q1400">
        <f t="shared" si="44"/>
        <v>2022</v>
      </c>
      <c r="R1400">
        <f t="shared" si="45"/>
        <v>11</v>
      </c>
    </row>
    <row r="1401" spans="1:18">
      <c r="A1401">
        <v>18</v>
      </c>
      <c r="B1401" t="s">
        <v>266</v>
      </c>
      <c r="C1401" s="216">
        <v>44944</v>
      </c>
      <c r="D1401">
        <v>3</v>
      </c>
      <c r="E1401" s="116">
        <v>13.4</v>
      </c>
      <c r="F1401" s="101">
        <v>102</v>
      </c>
      <c r="G1401">
        <v>8.1</v>
      </c>
      <c r="H1401" s="116">
        <v>3.8</v>
      </c>
      <c r="I1401">
        <v>48.8</v>
      </c>
      <c r="J1401">
        <v>1.6</v>
      </c>
      <c r="K1401">
        <v>29</v>
      </c>
      <c r="L1401">
        <v>50</v>
      </c>
      <c r="M1401">
        <v>9300</v>
      </c>
      <c r="N1401">
        <v>23</v>
      </c>
      <c r="O1401">
        <v>9200</v>
      </c>
      <c r="Q1401">
        <f t="shared" si="44"/>
        <v>2023</v>
      </c>
      <c r="R1401">
        <f t="shared" si="45"/>
        <v>1</v>
      </c>
    </row>
    <row r="1402" spans="1:18">
      <c r="A1402">
        <v>18</v>
      </c>
      <c r="B1402" t="s">
        <v>266</v>
      </c>
      <c r="C1402" s="216">
        <v>45006</v>
      </c>
      <c r="D1402">
        <v>5</v>
      </c>
      <c r="E1402" s="116">
        <v>13.5</v>
      </c>
      <c r="F1402" s="101">
        <v>105</v>
      </c>
      <c r="G1402">
        <v>8.4</v>
      </c>
      <c r="H1402" s="116">
        <v>2.8</v>
      </c>
      <c r="I1402">
        <v>45.8</v>
      </c>
      <c r="J1402">
        <v>2.1</v>
      </c>
      <c r="K1402">
        <v>6</v>
      </c>
      <c r="L1402">
        <v>19</v>
      </c>
      <c r="M1402">
        <v>7100</v>
      </c>
      <c r="N1402" t="s">
        <v>148</v>
      </c>
      <c r="O1402">
        <v>7500</v>
      </c>
      <c r="Q1402">
        <f t="shared" si="44"/>
        <v>2023</v>
      </c>
      <c r="R1402">
        <f t="shared" si="45"/>
        <v>3</v>
      </c>
    </row>
    <row r="1403" spans="1:18">
      <c r="A1403">
        <v>18</v>
      </c>
      <c r="B1403" t="s">
        <v>266</v>
      </c>
      <c r="C1403" s="216">
        <v>45061</v>
      </c>
      <c r="D1403">
        <v>13.3</v>
      </c>
      <c r="E1403" s="116">
        <v>12.2</v>
      </c>
      <c r="F1403" s="101">
        <v>117</v>
      </c>
      <c r="G1403">
        <v>8.5</v>
      </c>
      <c r="H1403" s="116">
        <v>0.51</v>
      </c>
      <c r="I1403">
        <v>55.9</v>
      </c>
      <c r="J1403">
        <v>1</v>
      </c>
      <c r="K1403">
        <v>2.4</v>
      </c>
      <c r="L1403">
        <v>14</v>
      </c>
      <c r="M1403">
        <v>2200</v>
      </c>
      <c r="N1403">
        <v>11</v>
      </c>
      <c r="O1403">
        <v>3500</v>
      </c>
      <c r="Q1403">
        <f t="shared" si="44"/>
        <v>2023</v>
      </c>
      <c r="R1403">
        <f t="shared" si="45"/>
        <v>5</v>
      </c>
    </row>
    <row r="1404" spans="1:18">
      <c r="A1404">
        <v>18</v>
      </c>
      <c r="B1404" t="s">
        <v>266</v>
      </c>
      <c r="C1404" s="216">
        <v>45125</v>
      </c>
      <c r="D1404">
        <v>15.2</v>
      </c>
      <c r="E1404" s="116">
        <v>9.5</v>
      </c>
      <c r="F1404" s="101">
        <v>95</v>
      </c>
      <c r="G1404">
        <v>8.1999999999999993</v>
      </c>
      <c r="H1404" s="116">
        <v>0.7</v>
      </c>
      <c r="I1404">
        <v>52.3</v>
      </c>
      <c r="J1404">
        <v>0.93</v>
      </c>
      <c r="K1404">
        <v>100</v>
      </c>
      <c r="L1404">
        <v>120</v>
      </c>
      <c r="M1404">
        <v>380</v>
      </c>
      <c r="N1404">
        <v>15</v>
      </c>
      <c r="O1404">
        <v>910</v>
      </c>
      <c r="Q1404">
        <f t="shared" si="44"/>
        <v>2023</v>
      </c>
      <c r="R1404">
        <f t="shared" si="45"/>
        <v>7</v>
      </c>
    </row>
    <row r="1405" spans="1:18">
      <c r="A1405">
        <v>18</v>
      </c>
      <c r="B1405" t="s">
        <v>266</v>
      </c>
      <c r="C1405" s="216">
        <v>45187</v>
      </c>
      <c r="D1405">
        <v>16.899999999999999</v>
      </c>
      <c r="E1405" s="116">
        <v>9.4</v>
      </c>
      <c r="F1405" s="101">
        <v>98</v>
      </c>
      <c r="G1405">
        <v>8.5</v>
      </c>
      <c r="H1405" s="116">
        <v>5.2</v>
      </c>
      <c r="I1405">
        <v>57.2</v>
      </c>
      <c r="J1405">
        <v>0.9</v>
      </c>
      <c r="K1405">
        <v>35</v>
      </c>
      <c r="L1405">
        <v>77</v>
      </c>
      <c r="M1405">
        <v>1800</v>
      </c>
      <c r="N1405">
        <v>12</v>
      </c>
      <c r="O1405">
        <v>2500</v>
      </c>
      <c r="Q1405">
        <f t="shared" si="44"/>
        <v>2023</v>
      </c>
      <c r="R1405">
        <f t="shared" si="45"/>
        <v>9</v>
      </c>
    </row>
    <row r="1406" spans="1:18">
      <c r="A1406">
        <v>18</v>
      </c>
      <c r="B1406" t="s">
        <v>266</v>
      </c>
      <c r="C1406" s="216">
        <v>45244</v>
      </c>
      <c r="D1406">
        <v>6.8</v>
      </c>
      <c r="E1406" s="116">
        <v>11.9</v>
      </c>
      <c r="F1406" s="101">
        <v>100</v>
      </c>
      <c r="G1406">
        <v>8.3000000000000007</v>
      </c>
      <c r="H1406" s="116">
        <v>2.8</v>
      </c>
      <c r="I1406">
        <v>54.9</v>
      </c>
      <c r="J1406">
        <v>1.5</v>
      </c>
      <c r="K1406">
        <v>21</v>
      </c>
      <c r="L1406">
        <v>32</v>
      </c>
      <c r="M1406">
        <v>8100</v>
      </c>
      <c r="N1406" t="s">
        <v>148</v>
      </c>
      <c r="O1406">
        <v>8600</v>
      </c>
      <c r="Q1406">
        <f t="shared" si="44"/>
        <v>2023</v>
      </c>
      <c r="R1406">
        <f t="shared" si="45"/>
        <v>11</v>
      </c>
    </row>
    <row r="1407" spans="1:18">
      <c r="A1407">
        <v>20</v>
      </c>
      <c r="B1407" t="s">
        <v>267</v>
      </c>
      <c r="C1407" s="216">
        <v>44222</v>
      </c>
      <c r="D1407">
        <v>2.8</v>
      </c>
      <c r="E1407" s="116">
        <v>12.9</v>
      </c>
      <c r="F1407" s="101">
        <v>96</v>
      </c>
      <c r="G1407">
        <v>7</v>
      </c>
      <c r="H1407" s="116">
        <v>5.4</v>
      </c>
      <c r="I1407">
        <v>48.6</v>
      </c>
      <c r="J1407">
        <v>1.3</v>
      </c>
      <c r="K1407">
        <v>40</v>
      </c>
      <c r="L1407">
        <v>72</v>
      </c>
      <c r="M1407">
        <v>9500</v>
      </c>
      <c r="N1407">
        <v>130</v>
      </c>
      <c r="O1407">
        <v>10000</v>
      </c>
      <c r="Q1407">
        <f t="shared" si="44"/>
        <v>2021</v>
      </c>
      <c r="R1407">
        <f t="shared" si="45"/>
        <v>1</v>
      </c>
    </row>
    <row r="1408" spans="1:18">
      <c r="A1408">
        <v>20</v>
      </c>
      <c r="B1408" t="s">
        <v>267</v>
      </c>
      <c r="C1408" s="216">
        <v>44251</v>
      </c>
      <c r="D1408">
        <v>4.3</v>
      </c>
      <c r="E1408" s="116">
        <v>12.8</v>
      </c>
      <c r="F1408" s="101">
        <v>97</v>
      </c>
      <c r="G1408">
        <v>7.9</v>
      </c>
      <c r="H1408" s="116">
        <v>7.2</v>
      </c>
      <c r="I1408">
        <v>45.4</v>
      </c>
      <c r="J1408">
        <v>1.9</v>
      </c>
      <c r="K1408">
        <v>35</v>
      </c>
      <c r="L1408">
        <v>84</v>
      </c>
      <c r="M1408">
        <v>7900</v>
      </c>
      <c r="N1408">
        <v>110</v>
      </c>
      <c r="O1408">
        <v>8800</v>
      </c>
      <c r="Q1408">
        <f t="shared" si="44"/>
        <v>2021</v>
      </c>
      <c r="R1408">
        <f t="shared" si="45"/>
        <v>2</v>
      </c>
    </row>
    <row r="1409" spans="1:18">
      <c r="A1409">
        <v>20</v>
      </c>
      <c r="B1409" t="s">
        <v>267</v>
      </c>
      <c r="C1409" s="216">
        <v>44284</v>
      </c>
      <c r="D1409">
        <v>7.4</v>
      </c>
      <c r="E1409" s="116">
        <v>12.1</v>
      </c>
      <c r="F1409" s="101">
        <v>100</v>
      </c>
      <c r="G1409">
        <v>8.1</v>
      </c>
      <c r="H1409" s="116">
        <v>1.7</v>
      </c>
      <c r="I1409">
        <v>51.9</v>
      </c>
      <c r="J1409">
        <v>2.6</v>
      </c>
      <c r="K1409">
        <v>10</v>
      </c>
      <c r="L1409">
        <v>38</v>
      </c>
      <c r="M1409">
        <v>5300</v>
      </c>
      <c r="N1409">
        <v>220</v>
      </c>
      <c r="O1409">
        <v>6400</v>
      </c>
      <c r="Q1409">
        <f t="shared" si="44"/>
        <v>2021</v>
      </c>
      <c r="R1409">
        <f t="shared" si="45"/>
        <v>3</v>
      </c>
    </row>
    <row r="1410" spans="1:18">
      <c r="A1410">
        <v>20</v>
      </c>
      <c r="B1410" t="s">
        <v>267</v>
      </c>
      <c r="C1410" s="216">
        <v>44315</v>
      </c>
      <c r="D1410">
        <v>9.8000000000000007</v>
      </c>
      <c r="E1410" s="116">
        <v>15.4</v>
      </c>
      <c r="F1410" s="101">
        <v>137</v>
      </c>
      <c r="G1410">
        <v>8.5</v>
      </c>
      <c r="H1410" s="116">
        <v>0.98</v>
      </c>
      <c r="I1410">
        <v>57</v>
      </c>
      <c r="J1410">
        <v>2.9</v>
      </c>
      <c r="K1410">
        <v>34</v>
      </c>
      <c r="L1410">
        <v>62</v>
      </c>
      <c r="M1410">
        <v>3300</v>
      </c>
      <c r="N1410">
        <v>42</v>
      </c>
      <c r="O1410">
        <v>4100</v>
      </c>
      <c r="Q1410">
        <f t="shared" si="44"/>
        <v>2021</v>
      </c>
      <c r="R1410">
        <f t="shared" si="45"/>
        <v>4</v>
      </c>
    </row>
    <row r="1411" spans="1:18">
      <c r="A1411">
        <v>20</v>
      </c>
      <c r="B1411" t="s">
        <v>267</v>
      </c>
      <c r="C1411" s="216">
        <v>44344</v>
      </c>
      <c r="D1411">
        <v>12.7</v>
      </c>
      <c r="E1411" s="116">
        <v>10.9</v>
      </c>
      <c r="F1411" s="101">
        <v>101</v>
      </c>
      <c r="G1411">
        <v>8.1</v>
      </c>
      <c r="H1411" s="116">
        <v>2.9</v>
      </c>
      <c r="I1411">
        <v>60.5</v>
      </c>
      <c r="J1411">
        <v>2.2000000000000002</v>
      </c>
      <c r="K1411">
        <v>33</v>
      </c>
      <c r="L1411">
        <v>80</v>
      </c>
      <c r="M1411">
        <v>2600</v>
      </c>
      <c r="N1411">
        <v>59</v>
      </c>
      <c r="O1411">
        <v>3500</v>
      </c>
      <c r="Q1411">
        <f t="shared" si="44"/>
        <v>2021</v>
      </c>
      <c r="R1411">
        <f t="shared" si="45"/>
        <v>5</v>
      </c>
    </row>
    <row r="1412" spans="1:18">
      <c r="A1412">
        <v>20</v>
      </c>
      <c r="B1412" t="s">
        <v>267</v>
      </c>
      <c r="C1412" s="216">
        <v>44365</v>
      </c>
      <c r="D1412">
        <v>22.1</v>
      </c>
      <c r="E1412" s="116">
        <v>9.5</v>
      </c>
      <c r="F1412" s="101">
        <v>109</v>
      </c>
      <c r="G1412">
        <v>8.1999999999999993</v>
      </c>
      <c r="H1412" s="116">
        <v>1.8</v>
      </c>
      <c r="I1412">
        <v>63.7</v>
      </c>
      <c r="J1412">
        <v>1.7</v>
      </c>
      <c r="K1412">
        <v>60</v>
      </c>
      <c r="L1412">
        <v>100</v>
      </c>
      <c r="M1412">
        <v>1300</v>
      </c>
      <c r="N1412">
        <v>56</v>
      </c>
      <c r="O1412">
        <v>2100</v>
      </c>
      <c r="Q1412">
        <f t="shared" si="44"/>
        <v>2021</v>
      </c>
      <c r="R1412">
        <f t="shared" si="45"/>
        <v>6</v>
      </c>
    </row>
    <row r="1413" spans="1:18">
      <c r="A1413">
        <v>20</v>
      </c>
      <c r="B1413" t="s">
        <v>267</v>
      </c>
      <c r="C1413" s="216">
        <v>44390</v>
      </c>
      <c r="D1413">
        <v>21.1</v>
      </c>
      <c r="E1413" s="116">
        <v>8.5</v>
      </c>
      <c r="F1413" s="101">
        <v>96.9</v>
      </c>
      <c r="G1413">
        <v>8.1</v>
      </c>
      <c r="H1413" s="116">
        <v>2.4</v>
      </c>
      <c r="I1413">
        <v>61.9</v>
      </c>
      <c r="J1413">
        <v>1.3</v>
      </c>
      <c r="K1413">
        <v>89</v>
      </c>
      <c r="L1413">
        <v>130</v>
      </c>
      <c r="M1413">
        <v>1400</v>
      </c>
      <c r="N1413">
        <v>52</v>
      </c>
      <c r="O1413">
        <v>2000</v>
      </c>
      <c r="Q1413">
        <f t="shared" si="44"/>
        <v>2021</v>
      </c>
      <c r="R1413">
        <f t="shared" si="45"/>
        <v>7</v>
      </c>
    </row>
    <row r="1414" spans="1:18">
      <c r="A1414">
        <v>20</v>
      </c>
      <c r="B1414" t="s">
        <v>267</v>
      </c>
      <c r="C1414" s="216">
        <v>44431</v>
      </c>
      <c r="D1414">
        <v>17.100000000000001</v>
      </c>
      <c r="E1414" s="116">
        <v>8.6999999999999993</v>
      </c>
      <c r="F1414" s="101">
        <v>89</v>
      </c>
      <c r="G1414">
        <v>7.9</v>
      </c>
      <c r="H1414" s="116">
        <v>1.1000000000000001</v>
      </c>
      <c r="I1414">
        <v>63</v>
      </c>
      <c r="J1414">
        <v>1.7</v>
      </c>
      <c r="K1414">
        <v>19</v>
      </c>
      <c r="L1414">
        <v>60</v>
      </c>
      <c r="M1414">
        <v>3400</v>
      </c>
      <c r="N1414">
        <v>210</v>
      </c>
      <c r="O1414">
        <v>3900</v>
      </c>
      <c r="Q1414">
        <f t="shared" si="44"/>
        <v>2021</v>
      </c>
      <c r="R1414">
        <f t="shared" si="45"/>
        <v>8</v>
      </c>
    </row>
    <row r="1415" spans="1:18">
      <c r="A1415">
        <v>20</v>
      </c>
      <c r="B1415" t="s">
        <v>267</v>
      </c>
      <c r="C1415" s="216">
        <v>44459</v>
      </c>
      <c r="D1415">
        <v>13.2</v>
      </c>
      <c r="E1415" s="116">
        <v>9.6</v>
      </c>
      <c r="F1415" s="101">
        <v>91</v>
      </c>
      <c r="G1415">
        <v>8</v>
      </c>
      <c r="H1415" s="116">
        <v>1.3</v>
      </c>
      <c r="I1415">
        <v>63.8</v>
      </c>
      <c r="J1415">
        <v>1.3</v>
      </c>
      <c r="K1415">
        <v>74</v>
      </c>
      <c r="L1415">
        <v>110</v>
      </c>
      <c r="M1415">
        <v>3500</v>
      </c>
      <c r="N1415">
        <v>93</v>
      </c>
      <c r="O1415">
        <v>4300</v>
      </c>
      <c r="Q1415">
        <f t="shared" si="44"/>
        <v>2021</v>
      </c>
      <c r="R1415">
        <f t="shared" si="45"/>
        <v>9</v>
      </c>
    </row>
    <row r="1416" spans="1:18">
      <c r="A1416">
        <v>20</v>
      </c>
      <c r="B1416" t="s">
        <v>267</v>
      </c>
      <c r="C1416" s="216">
        <v>44489</v>
      </c>
      <c r="D1416">
        <v>12.1</v>
      </c>
      <c r="E1416" s="116">
        <v>9</v>
      </c>
      <c r="F1416" s="101">
        <v>85</v>
      </c>
      <c r="G1416">
        <v>7.8</v>
      </c>
      <c r="H1416" s="116">
        <v>11</v>
      </c>
      <c r="I1416">
        <v>55</v>
      </c>
      <c r="J1416">
        <v>1.6</v>
      </c>
      <c r="K1416">
        <v>58</v>
      </c>
      <c r="L1416">
        <v>110</v>
      </c>
      <c r="M1416">
        <v>6200</v>
      </c>
      <c r="N1416">
        <v>30</v>
      </c>
      <c r="O1416">
        <v>7500</v>
      </c>
      <c r="Q1416">
        <f t="shared" si="44"/>
        <v>2021</v>
      </c>
      <c r="R1416">
        <f t="shared" si="45"/>
        <v>10</v>
      </c>
    </row>
    <row r="1417" spans="1:18">
      <c r="A1417">
        <v>20</v>
      </c>
      <c r="B1417" t="s">
        <v>267</v>
      </c>
      <c r="C1417" s="216">
        <v>44530</v>
      </c>
      <c r="D1417">
        <v>3.1</v>
      </c>
      <c r="E1417" s="116">
        <v>12.9</v>
      </c>
      <c r="F1417" s="101">
        <v>98</v>
      </c>
      <c r="G1417">
        <v>7.9</v>
      </c>
      <c r="H1417" s="116">
        <v>8.9</v>
      </c>
      <c r="I1417">
        <v>55.1</v>
      </c>
      <c r="J1417">
        <v>2.4</v>
      </c>
      <c r="K1417">
        <v>45</v>
      </c>
      <c r="L1417">
        <v>84</v>
      </c>
      <c r="M1417">
        <v>9100</v>
      </c>
      <c r="N1417">
        <v>98</v>
      </c>
      <c r="O1417">
        <v>8800</v>
      </c>
      <c r="Q1417">
        <f t="shared" si="44"/>
        <v>2021</v>
      </c>
      <c r="R1417">
        <f t="shared" si="45"/>
        <v>11</v>
      </c>
    </row>
    <row r="1418" spans="1:18">
      <c r="A1418">
        <v>20</v>
      </c>
      <c r="B1418" t="s">
        <v>267</v>
      </c>
      <c r="C1418" s="216">
        <v>44550</v>
      </c>
      <c r="D1418">
        <v>3.3</v>
      </c>
      <c r="E1418" s="116">
        <v>13.3</v>
      </c>
      <c r="F1418" s="101">
        <v>98</v>
      </c>
      <c r="G1418">
        <v>7.9</v>
      </c>
      <c r="H1418" s="116">
        <v>8.6</v>
      </c>
      <c r="I1418">
        <v>47.2</v>
      </c>
      <c r="J1418">
        <v>2.1</v>
      </c>
      <c r="K1418">
        <v>33</v>
      </c>
      <c r="L1418">
        <v>78</v>
      </c>
      <c r="M1418">
        <v>7300</v>
      </c>
      <c r="N1418">
        <v>140</v>
      </c>
      <c r="O1418">
        <v>7000</v>
      </c>
      <c r="Q1418">
        <f t="shared" si="44"/>
        <v>2021</v>
      </c>
      <c r="R1418">
        <f t="shared" si="45"/>
        <v>12</v>
      </c>
    </row>
    <row r="1419" spans="1:18">
      <c r="A1419">
        <v>20</v>
      </c>
      <c r="B1419" t="s">
        <v>267</v>
      </c>
      <c r="C1419" s="216">
        <v>44580</v>
      </c>
      <c r="D1419">
        <v>3.4</v>
      </c>
      <c r="E1419" s="116">
        <v>13.3</v>
      </c>
      <c r="F1419" s="101">
        <v>100</v>
      </c>
      <c r="G1419">
        <v>8</v>
      </c>
      <c r="H1419" s="116">
        <v>6.6</v>
      </c>
      <c r="I1419">
        <v>55.3</v>
      </c>
      <c r="J1419">
        <v>2</v>
      </c>
      <c r="K1419">
        <v>41</v>
      </c>
      <c r="L1419">
        <v>82</v>
      </c>
      <c r="M1419">
        <v>6800</v>
      </c>
      <c r="N1419">
        <v>120</v>
      </c>
      <c r="O1419">
        <v>7500</v>
      </c>
      <c r="Q1419">
        <f t="shared" si="44"/>
        <v>2022</v>
      </c>
      <c r="R1419">
        <f t="shared" si="45"/>
        <v>1</v>
      </c>
    </row>
    <row r="1420" spans="1:18">
      <c r="A1420">
        <v>20</v>
      </c>
      <c r="B1420" t="s">
        <v>267</v>
      </c>
      <c r="C1420" s="216">
        <v>44607</v>
      </c>
      <c r="D1420">
        <v>4.5999999999999996</v>
      </c>
      <c r="E1420" s="116">
        <v>12.4</v>
      </c>
      <c r="F1420" s="101">
        <v>97</v>
      </c>
      <c r="G1420">
        <v>8</v>
      </c>
      <c r="H1420" s="116">
        <v>3.3</v>
      </c>
      <c r="I1420">
        <v>52.8</v>
      </c>
      <c r="J1420">
        <v>2.5</v>
      </c>
      <c r="K1420">
        <v>35</v>
      </c>
      <c r="L1420">
        <v>73</v>
      </c>
      <c r="M1420">
        <v>6600</v>
      </c>
      <c r="N1420">
        <v>79</v>
      </c>
      <c r="O1420">
        <v>6900</v>
      </c>
      <c r="Q1420">
        <f t="shared" si="44"/>
        <v>2022</v>
      </c>
      <c r="R1420">
        <f t="shared" si="45"/>
        <v>2</v>
      </c>
    </row>
    <row r="1421" spans="1:18">
      <c r="A1421">
        <v>20</v>
      </c>
      <c r="B1421" t="s">
        <v>267</v>
      </c>
      <c r="C1421" s="216">
        <v>44637</v>
      </c>
      <c r="D1421">
        <v>5.6</v>
      </c>
      <c r="E1421" s="116">
        <v>12.2</v>
      </c>
      <c r="F1421" s="101">
        <v>95</v>
      </c>
      <c r="G1421">
        <v>8</v>
      </c>
      <c r="H1421" s="116">
        <v>3.9</v>
      </c>
      <c r="I1421">
        <v>56.6</v>
      </c>
      <c r="J1421">
        <v>6.3</v>
      </c>
      <c r="K1421">
        <v>36</v>
      </c>
      <c r="L1421">
        <v>94</v>
      </c>
      <c r="M1421">
        <v>4700</v>
      </c>
      <c r="N1421">
        <v>1100</v>
      </c>
      <c r="O1421">
        <v>5900</v>
      </c>
      <c r="Q1421">
        <f t="shared" si="44"/>
        <v>2022</v>
      </c>
      <c r="R1421">
        <f t="shared" si="45"/>
        <v>3</v>
      </c>
    </row>
    <row r="1422" spans="1:18">
      <c r="A1422">
        <v>20</v>
      </c>
      <c r="B1422" t="s">
        <v>267</v>
      </c>
      <c r="C1422" s="216">
        <v>44670</v>
      </c>
      <c r="D1422">
        <v>12.1</v>
      </c>
      <c r="E1422" s="116">
        <v>14.1</v>
      </c>
      <c r="F1422" s="101">
        <v>132</v>
      </c>
      <c r="G1422">
        <v>8.5</v>
      </c>
      <c r="H1422" s="116">
        <v>1.3</v>
      </c>
      <c r="I1422">
        <v>56.9</v>
      </c>
      <c r="J1422">
        <v>2.2999999999999998</v>
      </c>
      <c r="K1422">
        <v>31</v>
      </c>
      <c r="L1422">
        <v>64</v>
      </c>
      <c r="M1422">
        <v>4500</v>
      </c>
      <c r="N1422">
        <v>86</v>
      </c>
      <c r="O1422">
        <v>5200</v>
      </c>
      <c r="Q1422">
        <f t="shared" si="44"/>
        <v>2022</v>
      </c>
      <c r="R1422">
        <f t="shared" si="45"/>
        <v>4</v>
      </c>
    </row>
    <row r="1423" spans="1:18">
      <c r="A1423">
        <v>20</v>
      </c>
      <c r="B1423" t="s">
        <v>267</v>
      </c>
      <c r="C1423" s="216">
        <v>44698</v>
      </c>
      <c r="D1423">
        <v>14.3</v>
      </c>
      <c r="E1423" s="116">
        <v>13</v>
      </c>
      <c r="F1423" s="101">
        <v>130</v>
      </c>
      <c r="G1423">
        <v>8.1999999999999993</v>
      </c>
      <c r="H1423" s="116">
        <v>1.4</v>
      </c>
      <c r="I1423">
        <v>77.7</v>
      </c>
      <c r="J1423">
        <v>3.1</v>
      </c>
      <c r="K1423">
        <v>14</v>
      </c>
      <c r="L1423">
        <v>54</v>
      </c>
      <c r="M1423">
        <v>1800</v>
      </c>
      <c r="N1423">
        <v>46</v>
      </c>
      <c r="O1423">
        <v>2400</v>
      </c>
      <c r="Q1423">
        <f t="shared" si="44"/>
        <v>2022</v>
      </c>
      <c r="R1423">
        <f t="shared" si="45"/>
        <v>5</v>
      </c>
    </row>
    <row r="1424" spans="1:18">
      <c r="A1424">
        <v>20</v>
      </c>
      <c r="B1424" t="s">
        <v>267</v>
      </c>
      <c r="C1424" s="216">
        <v>44735</v>
      </c>
      <c r="D1424">
        <v>15.1</v>
      </c>
      <c r="E1424" s="116">
        <v>9.3000000000000007</v>
      </c>
      <c r="F1424" s="101">
        <v>92</v>
      </c>
      <c r="G1424">
        <v>7.9</v>
      </c>
      <c r="H1424" s="116">
        <v>3.9</v>
      </c>
      <c r="I1424">
        <v>45.6</v>
      </c>
      <c r="J1424">
        <v>2.1</v>
      </c>
      <c r="K1424">
        <v>72</v>
      </c>
      <c r="L1424">
        <v>110</v>
      </c>
      <c r="M1424">
        <v>2300</v>
      </c>
      <c r="N1424">
        <v>67</v>
      </c>
      <c r="O1424">
        <v>3300</v>
      </c>
      <c r="Q1424">
        <f t="shared" si="44"/>
        <v>2022</v>
      </c>
      <c r="R1424">
        <f t="shared" si="45"/>
        <v>6</v>
      </c>
    </row>
    <row r="1425" spans="1:18">
      <c r="A1425">
        <v>20</v>
      </c>
      <c r="B1425" t="s">
        <v>267</v>
      </c>
      <c r="C1425" s="216">
        <v>44761</v>
      </c>
      <c r="D1425">
        <v>17.2</v>
      </c>
      <c r="E1425" s="116">
        <v>9.1</v>
      </c>
      <c r="F1425" s="101">
        <v>94</v>
      </c>
      <c r="G1425">
        <v>7.9</v>
      </c>
      <c r="H1425" s="116">
        <v>1</v>
      </c>
      <c r="I1425">
        <v>66.400000000000006</v>
      </c>
      <c r="J1425">
        <v>0.99</v>
      </c>
      <c r="K1425">
        <v>53</v>
      </c>
      <c r="L1425">
        <v>83</v>
      </c>
      <c r="M1425">
        <v>1100</v>
      </c>
      <c r="N1425">
        <v>54</v>
      </c>
      <c r="O1425">
        <v>1800</v>
      </c>
      <c r="Q1425">
        <f t="shared" si="44"/>
        <v>2022</v>
      </c>
      <c r="R1425">
        <f t="shared" si="45"/>
        <v>7</v>
      </c>
    </row>
    <row r="1426" spans="1:18">
      <c r="A1426">
        <v>20</v>
      </c>
      <c r="B1426" t="s">
        <v>267</v>
      </c>
      <c r="C1426" s="216">
        <v>44795</v>
      </c>
      <c r="D1426">
        <v>18.5</v>
      </c>
      <c r="E1426" s="116">
        <v>8.1</v>
      </c>
      <c r="F1426" s="101">
        <v>87</v>
      </c>
      <c r="G1426">
        <v>8</v>
      </c>
      <c r="H1426" s="116">
        <v>1.2</v>
      </c>
      <c r="I1426">
        <v>77.099999999999994</v>
      </c>
      <c r="J1426">
        <v>1.4</v>
      </c>
      <c r="K1426">
        <v>49</v>
      </c>
      <c r="L1426">
        <v>85</v>
      </c>
      <c r="M1426">
        <v>1700</v>
      </c>
      <c r="N1426">
        <v>40</v>
      </c>
      <c r="O1426">
        <v>2300</v>
      </c>
      <c r="Q1426">
        <f t="shared" si="44"/>
        <v>2022</v>
      </c>
      <c r="R1426">
        <f t="shared" si="45"/>
        <v>8</v>
      </c>
    </row>
    <row r="1427" spans="1:18">
      <c r="A1427">
        <v>20</v>
      </c>
      <c r="B1427" t="s">
        <v>267</v>
      </c>
      <c r="C1427" s="216">
        <v>44826</v>
      </c>
      <c r="D1427">
        <v>16.399999999999999</v>
      </c>
      <c r="E1427" s="116">
        <v>9.8000000000000007</v>
      </c>
      <c r="F1427" s="101">
        <v>101</v>
      </c>
      <c r="G1427">
        <v>8.1</v>
      </c>
      <c r="H1427" s="116">
        <v>2</v>
      </c>
      <c r="I1427">
        <v>108.7</v>
      </c>
      <c r="J1427">
        <v>1.8</v>
      </c>
      <c r="K1427">
        <v>45</v>
      </c>
      <c r="L1427">
        <v>100</v>
      </c>
      <c r="M1427">
        <v>1000</v>
      </c>
      <c r="N1427">
        <v>42</v>
      </c>
      <c r="O1427">
        <v>1700</v>
      </c>
      <c r="Q1427">
        <f t="shared" si="44"/>
        <v>2022</v>
      </c>
      <c r="R1427">
        <f t="shared" si="45"/>
        <v>9</v>
      </c>
    </row>
    <row r="1428" spans="1:18">
      <c r="A1428">
        <v>20</v>
      </c>
      <c r="B1428" t="s">
        <v>267</v>
      </c>
      <c r="C1428" s="216">
        <v>44858</v>
      </c>
      <c r="D1428">
        <v>14.1</v>
      </c>
      <c r="E1428" s="116">
        <v>8.6999999999999993</v>
      </c>
      <c r="F1428" s="101">
        <v>85</v>
      </c>
      <c r="G1428">
        <v>7.7</v>
      </c>
      <c r="H1428" s="116">
        <v>3.9</v>
      </c>
      <c r="I1428">
        <v>60.7</v>
      </c>
      <c r="J1428">
        <v>2.7</v>
      </c>
      <c r="K1428">
        <v>12</v>
      </c>
      <c r="L1428">
        <v>95</v>
      </c>
      <c r="M1428">
        <v>2400</v>
      </c>
      <c r="N1428">
        <v>120</v>
      </c>
      <c r="O1428">
        <v>3200</v>
      </c>
      <c r="Q1428">
        <f t="shared" si="44"/>
        <v>2022</v>
      </c>
      <c r="R1428">
        <f t="shared" si="45"/>
        <v>10</v>
      </c>
    </row>
    <row r="1429" spans="1:18">
      <c r="A1429">
        <v>20</v>
      </c>
      <c r="B1429" t="s">
        <v>267</v>
      </c>
      <c r="C1429" s="216">
        <v>44881</v>
      </c>
      <c r="D1429">
        <v>10.3</v>
      </c>
      <c r="E1429" s="116">
        <v>9.5</v>
      </c>
      <c r="F1429" s="101">
        <v>86</v>
      </c>
      <c r="G1429">
        <v>8</v>
      </c>
      <c r="H1429" s="116">
        <v>1.6</v>
      </c>
      <c r="I1429">
        <v>67.099999999999994</v>
      </c>
      <c r="J1429">
        <v>2</v>
      </c>
      <c r="K1429">
        <v>70</v>
      </c>
      <c r="L1429">
        <v>150</v>
      </c>
      <c r="M1429">
        <v>1300</v>
      </c>
      <c r="N1429">
        <v>43</v>
      </c>
      <c r="O1429">
        <v>2400</v>
      </c>
      <c r="Q1429">
        <f t="shared" si="44"/>
        <v>2022</v>
      </c>
      <c r="R1429">
        <f t="shared" si="45"/>
        <v>11</v>
      </c>
    </row>
    <row r="1430" spans="1:18">
      <c r="A1430">
        <v>20</v>
      </c>
      <c r="B1430" t="s">
        <v>267</v>
      </c>
      <c r="C1430" s="216">
        <v>44917</v>
      </c>
      <c r="D1430">
        <v>3.6</v>
      </c>
      <c r="E1430" s="116">
        <v>13.1</v>
      </c>
      <c r="F1430" s="101">
        <v>100</v>
      </c>
      <c r="G1430">
        <v>7.8</v>
      </c>
      <c r="H1430" s="116">
        <v>8</v>
      </c>
      <c r="I1430">
        <v>60.5</v>
      </c>
      <c r="J1430">
        <v>4.8</v>
      </c>
      <c r="K1430">
        <v>50</v>
      </c>
      <c r="L1430">
        <v>120</v>
      </c>
      <c r="M1430">
        <v>7900</v>
      </c>
      <c r="N1430">
        <v>330</v>
      </c>
      <c r="O1430">
        <v>8900</v>
      </c>
      <c r="Q1430">
        <f t="shared" si="44"/>
        <v>2022</v>
      </c>
      <c r="R1430">
        <f t="shared" si="45"/>
        <v>12</v>
      </c>
    </row>
    <row r="1431" spans="1:18">
      <c r="A1431">
        <v>20</v>
      </c>
      <c r="B1431" t="s">
        <v>267</v>
      </c>
      <c r="C1431" s="216">
        <v>44944</v>
      </c>
      <c r="D1431">
        <v>3.9</v>
      </c>
      <c r="E1431" s="116">
        <v>12.5</v>
      </c>
      <c r="F1431" s="101">
        <v>96</v>
      </c>
      <c r="G1431">
        <v>7.8</v>
      </c>
      <c r="H1431" s="116">
        <v>15</v>
      </c>
      <c r="I1431">
        <v>41.8</v>
      </c>
      <c r="J1431">
        <v>2.1</v>
      </c>
      <c r="K1431">
        <v>47</v>
      </c>
      <c r="L1431">
        <v>100</v>
      </c>
      <c r="M1431">
        <v>8400</v>
      </c>
      <c r="N1431">
        <v>250</v>
      </c>
      <c r="O1431">
        <v>8800</v>
      </c>
      <c r="Q1431">
        <f t="shared" si="44"/>
        <v>2023</v>
      </c>
      <c r="R1431">
        <f t="shared" si="45"/>
        <v>1</v>
      </c>
    </row>
    <row r="1432" spans="1:18">
      <c r="A1432">
        <v>20</v>
      </c>
      <c r="B1432" t="s">
        <v>267</v>
      </c>
      <c r="C1432" s="216">
        <v>44970</v>
      </c>
      <c r="D1432">
        <v>5.5</v>
      </c>
      <c r="E1432" s="116">
        <v>13.1</v>
      </c>
      <c r="F1432" s="101">
        <v>101</v>
      </c>
      <c r="G1432">
        <v>8</v>
      </c>
      <c r="H1432" s="116">
        <v>4.4000000000000004</v>
      </c>
      <c r="I1432">
        <v>51.2</v>
      </c>
      <c r="J1432">
        <v>2.1</v>
      </c>
      <c r="K1432">
        <v>27</v>
      </c>
      <c r="L1432">
        <v>59</v>
      </c>
      <c r="M1432">
        <v>8000</v>
      </c>
      <c r="N1432">
        <v>93</v>
      </c>
      <c r="O1432">
        <v>8700</v>
      </c>
      <c r="Q1432">
        <f t="shared" si="44"/>
        <v>2023</v>
      </c>
      <c r="R1432">
        <f t="shared" si="45"/>
        <v>2</v>
      </c>
    </row>
    <row r="1433" spans="1:18">
      <c r="A1433">
        <v>20</v>
      </c>
      <c r="B1433" t="s">
        <v>267</v>
      </c>
      <c r="C1433" s="216">
        <v>45006</v>
      </c>
      <c r="D1433">
        <v>5.4</v>
      </c>
      <c r="E1433" s="116">
        <v>13.1</v>
      </c>
      <c r="F1433" s="101">
        <v>103</v>
      </c>
      <c r="G1433">
        <v>8</v>
      </c>
      <c r="H1433" s="116">
        <v>4.9000000000000004</v>
      </c>
      <c r="I1433">
        <v>46.4</v>
      </c>
      <c r="J1433">
        <v>2.2999999999999998</v>
      </c>
      <c r="K1433">
        <v>26</v>
      </c>
      <c r="L1433">
        <v>45</v>
      </c>
      <c r="M1433">
        <v>8000</v>
      </c>
      <c r="N1433">
        <v>31</v>
      </c>
      <c r="O1433">
        <v>8000</v>
      </c>
      <c r="Q1433">
        <f t="shared" si="44"/>
        <v>2023</v>
      </c>
      <c r="R1433">
        <f t="shared" si="45"/>
        <v>3</v>
      </c>
    </row>
    <row r="1434" spans="1:18">
      <c r="A1434">
        <v>20</v>
      </c>
      <c r="B1434" t="s">
        <v>267</v>
      </c>
      <c r="C1434" s="216">
        <v>45034</v>
      </c>
      <c r="D1434">
        <v>10.8</v>
      </c>
      <c r="E1434" s="116">
        <v>16.5</v>
      </c>
      <c r="F1434" s="101">
        <v>145</v>
      </c>
      <c r="G1434">
        <v>8.5</v>
      </c>
      <c r="H1434" s="116">
        <v>1.5</v>
      </c>
      <c r="I1434">
        <v>60.5</v>
      </c>
      <c r="J1434">
        <v>3.3</v>
      </c>
      <c r="K1434">
        <v>9.9</v>
      </c>
      <c r="L1434">
        <v>36</v>
      </c>
      <c r="M1434">
        <v>4200</v>
      </c>
      <c r="N1434">
        <v>23</v>
      </c>
      <c r="O1434">
        <v>5500</v>
      </c>
      <c r="Q1434">
        <f t="shared" si="44"/>
        <v>2023</v>
      </c>
      <c r="R1434">
        <f t="shared" si="45"/>
        <v>4</v>
      </c>
    </row>
    <row r="1435" spans="1:18">
      <c r="A1435">
        <v>20</v>
      </c>
      <c r="B1435" t="s">
        <v>267</v>
      </c>
      <c r="C1435" s="216">
        <v>45061</v>
      </c>
      <c r="D1435">
        <v>17.899999999999999</v>
      </c>
      <c r="E1435" s="116">
        <v>13</v>
      </c>
      <c r="F1435" s="101">
        <v>137</v>
      </c>
      <c r="G1435">
        <v>8.3000000000000007</v>
      </c>
      <c r="H1435" s="116">
        <v>1.1000000000000001</v>
      </c>
      <c r="I1435">
        <v>70.2</v>
      </c>
      <c r="J1435">
        <v>2.4</v>
      </c>
      <c r="K1435">
        <v>18</v>
      </c>
      <c r="L1435">
        <v>70</v>
      </c>
      <c r="M1435">
        <v>2600</v>
      </c>
      <c r="N1435">
        <v>36</v>
      </c>
      <c r="O1435">
        <v>3600</v>
      </c>
      <c r="Q1435">
        <f t="shared" si="44"/>
        <v>2023</v>
      </c>
      <c r="R1435">
        <f t="shared" si="45"/>
        <v>5</v>
      </c>
    </row>
    <row r="1436" spans="1:18">
      <c r="A1436">
        <v>20</v>
      </c>
      <c r="B1436" t="s">
        <v>267</v>
      </c>
      <c r="C1436" s="216">
        <v>45096</v>
      </c>
      <c r="D1436">
        <v>19.8</v>
      </c>
      <c r="E1436" s="116">
        <v>8.3000000000000007</v>
      </c>
      <c r="F1436" s="101">
        <v>91</v>
      </c>
      <c r="G1436">
        <v>7.8</v>
      </c>
      <c r="H1436" s="116">
        <v>3.2</v>
      </c>
      <c r="I1436">
        <v>67.400000000000006</v>
      </c>
      <c r="J1436">
        <v>2.2999999999999998</v>
      </c>
      <c r="K1436">
        <v>69</v>
      </c>
      <c r="L1436">
        <v>110</v>
      </c>
      <c r="M1436">
        <v>4100</v>
      </c>
      <c r="N1436">
        <v>110</v>
      </c>
      <c r="O1436">
        <v>4200</v>
      </c>
      <c r="Q1436">
        <f t="shared" si="44"/>
        <v>2023</v>
      </c>
      <c r="R1436">
        <f t="shared" si="45"/>
        <v>6</v>
      </c>
    </row>
    <row r="1437" spans="1:18">
      <c r="A1437">
        <v>20</v>
      </c>
      <c r="B1437" t="s">
        <v>267</v>
      </c>
      <c r="C1437" s="216">
        <v>45125</v>
      </c>
      <c r="D1437">
        <v>18.899999999999999</v>
      </c>
      <c r="E1437" s="116">
        <v>8.8000000000000007</v>
      </c>
      <c r="F1437" s="101">
        <v>95</v>
      </c>
      <c r="G1437">
        <v>8</v>
      </c>
      <c r="H1437" s="116">
        <v>2</v>
      </c>
      <c r="I1437">
        <v>103.6</v>
      </c>
      <c r="J1437">
        <v>1.6</v>
      </c>
      <c r="K1437">
        <v>56</v>
      </c>
      <c r="L1437">
        <v>100</v>
      </c>
      <c r="M1437">
        <v>1700</v>
      </c>
      <c r="N1437">
        <v>160</v>
      </c>
      <c r="O1437">
        <v>2500</v>
      </c>
      <c r="Q1437">
        <f t="shared" si="44"/>
        <v>2023</v>
      </c>
      <c r="R1437">
        <f t="shared" si="45"/>
        <v>7</v>
      </c>
    </row>
    <row r="1438" spans="1:18">
      <c r="A1438">
        <v>20</v>
      </c>
      <c r="B1438" t="s">
        <v>267</v>
      </c>
      <c r="C1438" s="216">
        <v>45155</v>
      </c>
      <c r="D1438">
        <v>17.399999999999999</v>
      </c>
      <c r="E1438" s="116">
        <v>8.6999999999999993</v>
      </c>
      <c r="F1438" s="101">
        <v>90</v>
      </c>
      <c r="G1438">
        <v>7.9</v>
      </c>
      <c r="H1438" s="116">
        <v>1.9</v>
      </c>
      <c r="I1438">
        <v>55.8</v>
      </c>
      <c r="J1438">
        <v>1.8</v>
      </c>
      <c r="K1438">
        <v>9.1</v>
      </c>
      <c r="L1438">
        <v>93</v>
      </c>
      <c r="M1438">
        <v>5100</v>
      </c>
      <c r="N1438">
        <v>83</v>
      </c>
      <c r="O1438">
        <v>5500</v>
      </c>
      <c r="Q1438">
        <f t="shared" si="44"/>
        <v>2023</v>
      </c>
      <c r="R1438">
        <f t="shared" si="45"/>
        <v>8</v>
      </c>
    </row>
    <row r="1439" spans="1:18">
      <c r="A1439">
        <v>20</v>
      </c>
      <c r="B1439" t="s">
        <v>267</v>
      </c>
      <c r="C1439" s="216">
        <v>45187</v>
      </c>
      <c r="D1439">
        <v>17.5</v>
      </c>
      <c r="E1439" s="116">
        <v>9.5</v>
      </c>
      <c r="F1439" s="101">
        <v>100</v>
      </c>
      <c r="G1439">
        <v>8</v>
      </c>
      <c r="H1439" s="116">
        <v>1.9</v>
      </c>
      <c r="I1439">
        <v>65.2</v>
      </c>
      <c r="J1439">
        <v>1</v>
      </c>
      <c r="K1439">
        <v>40</v>
      </c>
      <c r="L1439">
        <v>85</v>
      </c>
      <c r="M1439">
        <v>4100</v>
      </c>
      <c r="N1439">
        <v>25</v>
      </c>
      <c r="O1439">
        <v>4400</v>
      </c>
      <c r="Q1439">
        <f t="shared" si="44"/>
        <v>2023</v>
      </c>
      <c r="R1439">
        <f t="shared" si="45"/>
        <v>9</v>
      </c>
    </row>
    <row r="1440" spans="1:18">
      <c r="A1440">
        <v>20</v>
      </c>
      <c r="B1440" t="s">
        <v>267</v>
      </c>
      <c r="C1440" s="216">
        <v>45210</v>
      </c>
      <c r="D1440">
        <v>12.9</v>
      </c>
      <c r="E1440" s="116">
        <v>9.5</v>
      </c>
      <c r="F1440" s="101">
        <v>91</v>
      </c>
      <c r="G1440">
        <v>8</v>
      </c>
      <c r="H1440" s="116">
        <v>1.7</v>
      </c>
      <c r="I1440">
        <v>58.3</v>
      </c>
      <c r="J1440">
        <v>0.97</v>
      </c>
      <c r="K1440">
        <v>58</v>
      </c>
      <c r="L1440">
        <v>86</v>
      </c>
      <c r="M1440">
        <v>6400</v>
      </c>
      <c r="N1440">
        <v>35</v>
      </c>
      <c r="O1440">
        <v>6500</v>
      </c>
      <c r="Q1440">
        <f t="shared" si="44"/>
        <v>2023</v>
      </c>
      <c r="R1440">
        <f t="shared" si="45"/>
        <v>10</v>
      </c>
    </row>
    <row r="1441" spans="1:18">
      <c r="A1441">
        <v>20</v>
      </c>
      <c r="B1441" t="s">
        <v>267</v>
      </c>
      <c r="C1441" s="216">
        <v>45244</v>
      </c>
      <c r="D1441">
        <v>7.7</v>
      </c>
      <c r="E1441" s="116">
        <v>11.4</v>
      </c>
      <c r="F1441" s="101">
        <v>97</v>
      </c>
      <c r="G1441">
        <v>7.9</v>
      </c>
      <c r="H1441" s="116">
        <v>14</v>
      </c>
      <c r="I1441">
        <v>50.4</v>
      </c>
      <c r="J1441">
        <v>1.9</v>
      </c>
      <c r="K1441">
        <v>41</v>
      </c>
      <c r="L1441">
        <v>94</v>
      </c>
      <c r="M1441">
        <v>7000</v>
      </c>
      <c r="N1441">
        <v>35</v>
      </c>
      <c r="O1441">
        <v>7200</v>
      </c>
      <c r="Q1441">
        <f t="shared" si="44"/>
        <v>2023</v>
      </c>
      <c r="R1441">
        <f t="shared" si="45"/>
        <v>11</v>
      </c>
    </row>
    <row r="1442" spans="1:18">
      <c r="A1442">
        <v>19</v>
      </c>
      <c r="B1442" t="s">
        <v>260</v>
      </c>
      <c r="C1442" s="216">
        <v>44222</v>
      </c>
      <c r="D1442">
        <v>2.8</v>
      </c>
      <c r="E1442" s="116">
        <v>12.9</v>
      </c>
      <c r="F1442" s="101">
        <v>96</v>
      </c>
      <c r="G1442">
        <v>7.9</v>
      </c>
      <c r="H1442" s="116">
        <v>7.1</v>
      </c>
      <c r="I1442">
        <v>47.7</v>
      </c>
      <c r="J1442">
        <v>1.4</v>
      </c>
      <c r="K1442">
        <v>40</v>
      </c>
      <c r="L1442">
        <v>70</v>
      </c>
      <c r="M1442">
        <v>9200</v>
      </c>
      <c r="N1442">
        <v>120</v>
      </c>
      <c r="O1442">
        <v>10000</v>
      </c>
      <c r="Q1442">
        <f t="shared" si="44"/>
        <v>2021</v>
      </c>
      <c r="R1442">
        <f t="shared" si="45"/>
        <v>1</v>
      </c>
    </row>
    <row r="1443" spans="1:18">
      <c r="A1443">
        <v>19</v>
      </c>
      <c r="B1443" t="s">
        <v>260</v>
      </c>
      <c r="C1443" s="216">
        <v>44251</v>
      </c>
      <c r="D1443">
        <v>4.0999999999999996</v>
      </c>
      <c r="E1443" s="116">
        <v>12.9</v>
      </c>
      <c r="F1443" s="101">
        <v>97</v>
      </c>
      <c r="G1443">
        <v>7.9</v>
      </c>
      <c r="H1443" s="116">
        <v>5.6</v>
      </c>
      <c r="I1443">
        <v>46.4</v>
      </c>
      <c r="J1443">
        <v>1.8</v>
      </c>
      <c r="K1443">
        <v>35</v>
      </c>
      <c r="L1443">
        <v>70</v>
      </c>
      <c r="M1443">
        <v>7800</v>
      </c>
      <c r="N1443">
        <v>110</v>
      </c>
      <c r="O1443">
        <v>8300</v>
      </c>
      <c r="Q1443">
        <f t="shared" si="44"/>
        <v>2021</v>
      </c>
      <c r="R1443">
        <f t="shared" si="45"/>
        <v>2</v>
      </c>
    </row>
    <row r="1444" spans="1:18">
      <c r="A1444">
        <v>19</v>
      </c>
      <c r="B1444" t="s">
        <v>260</v>
      </c>
      <c r="C1444" s="216">
        <v>44284</v>
      </c>
      <c r="D1444">
        <v>7.4</v>
      </c>
      <c r="E1444" s="116">
        <v>13.2</v>
      </c>
      <c r="F1444" s="101">
        <v>109</v>
      </c>
      <c r="G1444">
        <v>8.3000000000000007</v>
      </c>
      <c r="H1444" s="116">
        <v>1.4</v>
      </c>
      <c r="I1444">
        <v>53.1</v>
      </c>
      <c r="J1444">
        <v>2.8</v>
      </c>
      <c r="K1444">
        <v>6.6</v>
      </c>
      <c r="L1444">
        <v>31</v>
      </c>
      <c r="M1444">
        <v>5100</v>
      </c>
      <c r="N1444">
        <v>250</v>
      </c>
      <c r="O1444">
        <v>6100</v>
      </c>
      <c r="Q1444">
        <f t="shared" si="44"/>
        <v>2021</v>
      </c>
      <c r="R1444">
        <f t="shared" si="45"/>
        <v>3</v>
      </c>
    </row>
    <row r="1445" spans="1:18">
      <c r="A1445">
        <v>19</v>
      </c>
      <c r="B1445" t="s">
        <v>260</v>
      </c>
      <c r="C1445" s="216">
        <v>44315</v>
      </c>
      <c r="D1445">
        <v>9.5</v>
      </c>
      <c r="E1445" s="116">
        <v>15.5</v>
      </c>
      <c r="F1445" s="101">
        <v>137</v>
      </c>
      <c r="G1445">
        <v>8.5</v>
      </c>
      <c r="H1445" s="116">
        <v>1.1000000000000001</v>
      </c>
      <c r="I1445">
        <v>66.8</v>
      </c>
      <c r="J1445">
        <v>2.5</v>
      </c>
      <c r="K1445">
        <v>11</v>
      </c>
      <c r="L1445">
        <v>31</v>
      </c>
      <c r="M1445">
        <v>3300</v>
      </c>
      <c r="N1445">
        <v>24</v>
      </c>
      <c r="O1445">
        <v>4100</v>
      </c>
      <c r="Q1445">
        <f t="shared" si="44"/>
        <v>2021</v>
      </c>
      <c r="R1445">
        <f t="shared" si="45"/>
        <v>4</v>
      </c>
    </row>
    <row r="1446" spans="1:18">
      <c r="A1446">
        <v>19</v>
      </c>
      <c r="B1446" t="s">
        <v>260</v>
      </c>
      <c r="C1446" s="216">
        <v>44344</v>
      </c>
      <c r="D1446">
        <v>12.1</v>
      </c>
      <c r="E1446" s="116">
        <v>9.5</v>
      </c>
      <c r="F1446" s="101">
        <v>87</v>
      </c>
      <c r="G1446">
        <v>8</v>
      </c>
      <c r="H1446" s="116">
        <v>1.6</v>
      </c>
      <c r="I1446">
        <v>59.5</v>
      </c>
      <c r="J1446">
        <v>1.7</v>
      </c>
      <c r="K1446">
        <v>42</v>
      </c>
      <c r="L1446">
        <v>73</v>
      </c>
      <c r="M1446">
        <v>2600</v>
      </c>
      <c r="N1446">
        <v>54</v>
      </c>
      <c r="O1446">
        <v>3600</v>
      </c>
      <c r="Q1446">
        <f t="shared" si="44"/>
        <v>2021</v>
      </c>
      <c r="R1446">
        <f t="shared" si="45"/>
        <v>5</v>
      </c>
    </row>
    <row r="1447" spans="1:18">
      <c r="A1447">
        <v>19</v>
      </c>
      <c r="B1447" t="s">
        <v>260</v>
      </c>
      <c r="C1447" s="216">
        <v>44365</v>
      </c>
      <c r="D1447">
        <v>19.899999999999999</v>
      </c>
      <c r="E1447" s="116">
        <v>7.2</v>
      </c>
      <c r="F1447" s="101">
        <v>80</v>
      </c>
      <c r="G1447">
        <v>7.9</v>
      </c>
      <c r="H1447" s="116">
        <v>1.2</v>
      </c>
      <c r="I1447">
        <v>63.7</v>
      </c>
      <c r="J1447">
        <v>1.4</v>
      </c>
      <c r="K1447">
        <v>87</v>
      </c>
      <c r="L1447">
        <v>120</v>
      </c>
      <c r="M1447">
        <v>1300</v>
      </c>
      <c r="N1447">
        <v>60</v>
      </c>
      <c r="O1447">
        <v>2000</v>
      </c>
      <c r="Q1447">
        <f t="shared" si="44"/>
        <v>2021</v>
      </c>
      <c r="R1447">
        <f t="shared" si="45"/>
        <v>6</v>
      </c>
    </row>
    <row r="1448" spans="1:18">
      <c r="A1448">
        <v>19</v>
      </c>
      <c r="B1448" t="s">
        <v>260</v>
      </c>
      <c r="C1448" s="216">
        <v>44390</v>
      </c>
      <c r="D1448">
        <v>20.5</v>
      </c>
      <c r="E1448" s="116">
        <v>6.7</v>
      </c>
      <c r="F1448" s="101">
        <v>75</v>
      </c>
      <c r="G1448">
        <v>7.9</v>
      </c>
      <c r="H1448" s="116">
        <v>1.2</v>
      </c>
      <c r="I1448">
        <v>53.6</v>
      </c>
      <c r="J1448">
        <v>1.1000000000000001</v>
      </c>
      <c r="K1448">
        <v>100</v>
      </c>
      <c r="L1448">
        <v>140</v>
      </c>
      <c r="M1448">
        <v>1800</v>
      </c>
      <c r="N1448">
        <v>49</v>
      </c>
      <c r="O1448">
        <v>2200</v>
      </c>
      <c r="Q1448">
        <f t="shared" si="44"/>
        <v>2021</v>
      </c>
      <c r="R1448">
        <f t="shared" si="45"/>
        <v>7</v>
      </c>
    </row>
    <row r="1449" spans="1:18">
      <c r="A1449">
        <v>19</v>
      </c>
      <c r="B1449" t="s">
        <v>260</v>
      </c>
      <c r="C1449" s="216">
        <v>44431</v>
      </c>
      <c r="D1449">
        <v>14.6</v>
      </c>
      <c r="E1449" s="116">
        <v>8</v>
      </c>
      <c r="F1449" s="101">
        <v>79</v>
      </c>
      <c r="G1449">
        <v>7.9</v>
      </c>
      <c r="H1449" s="116">
        <v>1.1000000000000001</v>
      </c>
      <c r="I1449">
        <v>57.2</v>
      </c>
      <c r="J1449">
        <v>2.2999999999999998</v>
      </c>
      <c r="K1449">
        <v>25</v>
      </c>
      <c r="L1449">
        <v>81</v>
      </c>
      <c r="M1449">
        <v>4200</v>
      </c>
      <c r="N1449">
        <v>340</v>
      </c>
      <c r="O1449">
        <v>4700</v>
      </c>
      <c r="Q1449">
        <f t="shared" si="44"/>
        <v>2021</v>
      </c>
      <c r="R1449">
        <f t="shared" si="45"/>
        <v>8</v>
      </c>
    </row>
    <row r="1450" spans="1:18">
      <c r="A1450">
        <v>19</v>
      </c>
      <c r="B1450" t="s">
        <v>260</v>
      </c>
      <c r="C1450" s="216">
        <v>44459</v>
      </c>
      <c r="D1450">
        <v>12.1</v>
      </c>
      <c r="E1450" s="116">
        <v>8.8000000000000007</v>
      </c>
      <c r="F1450" s="101">
        <v>80</v>
      </c>
      <c r="G1450">
        <v>8</v>
      </c>
      <c r="H1450" s="116">
        <v>0.99</v>
      </c>
      <c r="I1450">
        <v>61.5</v>
      </c>
      <c r="J1450">
        <v>1</v>
      </c>
      <c r="K1450">
        <v>82</v>
      </c>
      <c r="L1450">
        <v>110</v>
      </c>
      <c r="M1450">
        <v>3200</v>
      </c>
      <c r="N1450">
        <v>23</v>
      </c>
      <c r="O1450">
        <v>3700</v>
      </c>
      <c r="Q1450">
        <f t="shared" si="44"/>
        <v>2021</v>
      </c>
      <c r="R1450">
        <f t="shared" si="45"/>
        <v>9</v>
      </c>
    </row>
    <row r="1451" spans="1:18">
      <c r="A1451">
        <v>19</v>
      </c>
      <c r="B1451" t="s">
        <v>260</v>
      </c>
      <c r="C1451" s="216">
        <v>44489</v>
      </c>
      <c r="D1451">
        <v>12.2</v>
      </c>
      <c r="E1451" s="116">
        <v>8.1999999999999993</v>
      </c>
      <c r="F1451" s="101">
        <v>78</v>
      </c>
      <c r="G1451">
        <v>7.9</v>
      </c>
      <c r="H1451" s="116">
        <v>8</v>
      </c>
      <c r="I1451">
        <v>54.5</v>
      </c>
      <c r="J1451">
        <v>2</v>
      </c>
      <c r="K1451">
        <v>69</v>
      </c>
      <c r="L1451">
        <v>120</v>
      </c>
      <c r="M1451">
        <v>5200</v>
      </c>
      <c r="N1451">
        <v>130</v>
      </c>
      <c r="O1451">
        <v>6700</v>
      </c>
      <c r="Q1451">
        <f t="shared" ref="Q1451:Q1514" si="46">YEAR(C1451)</f>
        <v>2021</v>
      </c>
      <c r="R1451">
        <f t="shared" ref="R1451:R1514" si="47">MONTH(C1451)</f>
        <v>10</v>
      </c>
    </row>
    <row r="1452" spans="1:18">
      <c r="A1452">
        <v>19</v>
      </c>
      <c r="B1452" t="s">
        <v>260</v>
      </c>
      <c r="C1452" s="216">
        <v>44530</v>
      </c>
      <c r="D1452">
        <v>3.2</v>
      </c>
      <c r="E1452" s="116">
        <v>12.7</v>
      </c>
      <c r="F1452" s="101">
        <v>97</v>
      </c>
      <c r="G1452">
        <v>7.9</v>
      </c>
      <c r="H1452" s="116">
        <v>7.1</v>
      </c>
      <c r="I1452">
        <v>49</v>
      </c>
      <c r="J1452">
        <v>2.2999999999999998</v>
      </c>
      <c r="K1452">
        <v>48</v>
      </c>
      <c r="L1452">
        <v>85</v>
      </c>
      <c r="M1452">
        <v>9600</v>
      </c>
      <c r="N1452">
        <v>71</v>
      </c>
      <c r="O1452">
        <v>9200</v>
      </c>
      <c r="Q1452">
        <f t="shared" si="46"/>
        <v>2021</v>
      </c>
      <c r="R1452">
        <f t="shared" si="47"/>
        <v>11</v>
      </c>
    </row>
    <row r="1453" spans="1:18">
      <c r="A1453">
        <v>19</v>
      </c>
      <c r="B1453" t="s">
        <v>260</v>
      </c>
      <c r="C1453" s="216">
        <v>44550</v>
      </c>
      <c r="D1453">
        <v>3.5</v>
      </c>
      <c r="E1453" s="116">
        <v>13.2</v>
      </c>
      <c r="F1453" s="101">
        <v>98</v>
      </c>
      <c r="G1453">
        <v>8</v>
      </c>
      <c r="H1453" s="116">
        <v>9.6999999999999993</v>
      </c>
      <c r="I1453">
        <v>47</v>
      </c>
      <c r="J1453">
        <v>2.2000000000000002</v>
      </c>
      <c r="K1453">
        <v>34</v>
      </c>
      <c r="L1453">
        <v>63</v>
      </c>
      <c r="M1453">
        <v>7500</v>
      </c>
      <c r="N1453">
        <v>82</v>
      </c>
      <c r="O1453">
        <v>7000</v>
      </c>
      <c r="Q1453">
        <f t="shared" si="46"/>
        <v>2021</v>
      </c>
      <c r="R1453">
        <f t="shared" si="47"/>
        <v>12</v>
      </c>
    </row>
    <row r="1454" spans="1:18">
      <c r="A1454">
        <v>19</v>
      </c>
      <c r="B1454" t="s">
        <v>260</v>
      </c>
      <c r="C1454" s="216">
        <v>44580</v>
      </c>
      <c r="D1454">
        <v>3.3</v>
      </c>
      <c r="E1454" s="116">
        <v>13.1</v>
      </c>
      <c r="F1454" s="101">
        <v>98</v>
      </c>
      <c r="G1454">
        <v>8.1</v>
      </c>
      <c r="H1454" s="116">
        <v>3.5</v>
      </c>
      <c r="I1454">
        <v>55.9</v>
      </c>
      <c r="J1454">
        <v>1.5</v>
      </c>
      <c r="K1454">
        <v>41</v>
      </c>
      <c r="L1454">
        <v>67</v>
      </c>
      <c r="M1454">
        <v>8000</v>
      </c>
      <c r="N1454">
        <v>150</v>
      </c>
      <c r="O1454">
        <v>7700</v>
      </c>
      <c r="Q1454">
        <f t="shared" si="46"/>
        <v>2022</v>
      </c>
      <c r="R1454">
        <f t="shared" si="47"/>
        <v>1</v>
      </c>
    </row>
    <row r="1455" spans="1:18">
      <c r="A1455">
        <v>19</v>
      </c>
      <c r="B1455" t="s">
        <v>260</v>
      </c>
      <c r="C1455" s="216">
        <v>44607</v>
      </c>
      <c r="D1455">
        <v>4.2</v>
      </c>
      <c r="E1455" s="116">
        <v>12.4</v>
      </c>
      <c r="F1455" s="101">
        <v>96</v>
      </c>
      <c r="G1455">
        <v>8.1</v>
      </c>
      <c r="H1455" s="116">
        <v>3.6</v>
      </c>
      <c r="I1455">
        <v>52.9</v>
      </c>
      <c r="J1455">
        <v>2.4</v>
      </c>
      <c r="K1455">
        <v>36</v>
      </c>
      <c r="L1455">
        <v>64</v>
      </c>
      <c r="M1455">
        <v>7000</v>
      </c>
      <c r="N1455">
        <v>91</v>
      </c>
      <c r="O1455">
        <v>7200</v>
      </c>
      <c r="Q1455">
        <f t="shared" si="46"/>
        <v>2022</v>
      </c>
      <c r="R1455">
        <f t="shared" si="47"/>
        <v>2</v>
      </c>
    </row>
    <row r="1456" spans="1:18">
      <c r="A1456">
        <v>19</v>
      </c>
      <c r="B1456" t="s">
        <v>260</v>
      </c>
      <c r="C1456" s="216">
        <v>44637</v>
      </c>
      <c r="D1456">
        <v>5.4</v>
      </c>
      <c r="E1456" s="116">
        <v>11.5</v>
      </c>
      <c r="F1456" s="101">
        <v>89</v>
      </c>
      <c r="G1456">
        <v>8</v>
      </c>
      <c r="H1456" s="116">
        <v>3.4</v>
      </c>
      <c r="I1456">
        <v>58.1</v>
      </c>
      <c r="J1456">
        <v>5.7</v>
      </c>
      <c r="K1456">
        <v>24</v>
      </c>
      <c r="L1456">
        <v>75</v>
      </c>
      <c r="M1456">
        <v>4900</v>
      </c>
      <c r="N1456">
        <v>990</v>
      </c>
      <c r="O1456">
        <v>6100</v>
      </c>
      <c r="Q1456">
        <f t="shared" si="46"/>
        <v>2022</v>
      </c>
      <c r="R1456">
        <f t="shared" si="47"/>
        <v>3</v>
      </c>
    </row>
    <row r="1457" spans="1:18">
      <c r="A1457">
        <v>19</v>
      </c>
      <c r="B1457" t="s">
        <v>260</v>
      </c>
      <c r="C1457" s="216">
        <v>44671</v>
      </c>
      <c r="D1457">
        <v>10.1</v>
      </c>
      <c r="E1457" s="116">
        <v>15.2</v>
      </c>
      <c r="F1457" s="101">
        <v>134</v>
      </c>
      <c r="G1457">
        <v>8.4</v>
      </c>
      <c r="H1457" s="116">
        <v>0.48</v>
      </c>
      <c r="I1457">
        <v>64.3</v>
      </c>
      <c r="J1457">
        <v>3</v>
      </c>
      <c r="K1457">
        <v>6.8</v>
      </c>
      <c r="L1457">
        <v>29</v>
      </c>
      <c r="M1457">
        <v>4300</v>
      </c>
      <c r="N1457">
        <v>17</v>
      </c>
      <c r="O1457">
        <v>4800</v>
      </c>
      <c r="Q1457">
        <f t="shared" si="46"/>
        <v>2022</v>
      </c>
      <c r="R1457">
        <f t="shared" si="47"/>
        <v>4</v>
      </c>
    </row>
    <row r="1458" spans="1:18">
      <c r="A1458">
        <v>19</v>
      </c>
      <c r="B1458" t="s">
        <v>260</v>
      </c>
      <c r="C1458" s="216">
        <v>44698</v>
      </c>
      <c r="D1458">
        <v>14.4</v>
      </c>
      <c r="E1458" s="116">
        <v>10.5</v>
      </c>
      <c r="F1458" s="101">
        <v>102</v>
      </c>
      <c r="G1458">
        <v>8.1</v>
      </c>
      <c r="H1458" s="116">
        <v>1.1000000000000001</v>
      </c>
      <c r="I1458">
        <v>68.5</v>
      </c>
      <c r="J1458">
        <v>2.5</v>
      </c>
      <c r="K1458">
        <v>24</v>
      </c>
      <c r="L1458">
        <v>51</v>
      </c>
      <c r="M1458">
        <v>1600</v>
      </c>
      <c r="N1458">
        <v>46</v>
      </c>
      <c r="O1458">
        <v>2100</v>
      </c>
      <c r="Q1458">
        <f t="shared" si="46"/>
        <v>2022</v>
      </c>
      <c r="R1458">
        <f t="shared" si="47"/>
        <v>5</v>
      </c>
    </row>
    <row r="1459" spans="1:18">
      <c r="A1459">
        <v>19</v>
      </c>
      <c r="B1459" t="s">
        <v>260</v>
      </c>
      <c r="C1459" s="216">
        <v>44735</v>
      </c>
      <c r="D1459">
        <v>15.4</v>
      </c>
      <c r="E1459" s="116">
        <v>8.1</v>
      </c>
      <c r="F1459" s="101">
        <v>80</v>
      </c>
      <c r="G1459">
        <v>7.9</v>
      </c>
      <c r="H1459" s="116">
        <v>3</v>
      </c>
      <c r="I1459">
        <v>44.3</v>
      </c>
      <c r="J1459">
        <v>1.8</v>
      </c>
      <c r="K1459">
        <v>76</v>
      </c>
      <c r="L1459">
        <v>110</v>
      </c>
      <c r="M1459">
        <v>1800</v>
      </c>
      <c r="N1459">
        <v>54</v>
      </c>
      <c r="O1459">
        <v>2600</v>
      </c>
      <c r="Q1459">
        <f t="shared" si="46"/>
        <v>2022</v>
      </c>
      <c r="R1459">
        <f t="shared" si="47"/>
        <v>6</v>
      </c>
    </row>
    <row r="1460" spans="1:18">
      <c r="A1460">
        <v>19</v>
      </c>
      <c r="B1460" t="s">
        <v>260</v>
      </c>
      <c r="C1460" s="216">
        <v>44761</v>
      </c>
      <c r="D1460">
        <v>16.8</v>
      </c>
      <c r="E1460" s="116">
        <v>7.2</v>
      </c>
      <c r="F1460" s="101">
        <v>74</v>
      </c>
      <c r="G1460">
        <v>7.8</v>
      </c>
      <c r="H1460" s="116">
        <v>2.2000000000000002</v>
      </c>
      <c r="I1460">
        <v>63.3</v>
      </c>
      <c r="J1460">
        <v>1.3</v>
      </c>
      <c r="K1460">
        <v>82</v>
      </c>
      <c r="L1460">
        <v>110</v>
      </c>
      <c r="M1460">
        <v>2100</v>
      </c>
      <c r="N1460">
        <v>61</v>
      </c>
      <c r="O1460">
        <v>3100</v>
      </c>
      <c r="Q1460">
        <f t="shared" si="46"/>
        <v>2022</v>
      </c>
      <c r="R1460">
        <f t="shared" si="47"/>
        <v>7</v>
      </c>
    </row>
    <row r="1461" spans="1:18">
      <c r="A1461">
        <v>19</v>
      </c>
      <c r="B1461" t="s">
        <v>260</v>
      </c>
      <c r="C1461" s="216">
        <v>44795</v>
      </c>
      <c r="D1461">
        <v>17.7</v>
      </c>
      <c r="E1461" s="116">
        <v>6.1</v>
      </c>
      <c r="F1461" s="101">
        <v>64</v>
      </c>
      <c r="G1461">
        <v>7.7</v>
      </c>
      <c r="H1461" s="116">
        <v>1.3</v>
      </c>
      <c r="I1461">
        <v>78.099999999999994</v>
      </c>
      <c r="J1461">
        <v>0.86</v>
      </c>
      <c r="K1461">
        <v>110</v>
      </c>
      <c r="L1461">
        <v>150</v>
      </c>
      <c r="M1461">
        <v>930</v>
      </c>
      <c r="N1461">
        <v>54</v>
      </c>
      <c r="O1461">
        <v>1400</v>
      </c>
      <c r="Q1461">
        <f t="shared" si="46"/>
        <v>2022</v>
      </c>
      <c r="R1461">
        <f t="shared" si="47"/>
        <v>8</v>
      </c>
    </row>
    <row r="1462" spans="1:18">
      <c r="A1462">
        <v>19</v>
      </c>
      <c r="B1462" t="s">
        <v>260</v>
      </c>
      <c r="C1462" s="216">
        <v>44826</v>
      </c>
      <c r="D1462">
        <v>12</v>
      </c>
      <c r="E1462" s="116">
        <v>8.8000000000000007</v>
      </c>
      <c r="F1462" s="101">
        <v>80</v>
      </c>
      <c r="G1462">
        <v>7.8</v>
      </c>
      <c r="H1462" s="116">
        <v>1</v>
      </c>
      <c r="I1462">
        <v>90.4</v>
      </c>
      <c r="J1462">
        <v>0.96</v>
      </c>
      <c r="K1462">
        <v>61</v>
      </c>
      <c r="L1462">
        <v>85</v>
      </c>
      <c r="M1462">
        <v>1200</v>
      </c>
      <c r="N1462">
        <v>38</v>
      </c>
      <c r="O1462">
        <v>1500</v>
      </c>
      <c r="Q1462">
        <f t="shared" si="46"/>
        <v>2022</v>
      </c>
      <c r="R1462">
        <f t="shared" si="47"/>
        <v>9</v>
      </c>
    </row>
    <row r="1463" spans="1:18">
      <c r="A1463">
        <v>19</v>
      </c>
      <c r="B1463" t="s">
        <v>260</v>
      </c>
      <c r="C1463" s="216">
        <v>44858</v>
      </c>
      <c r="D1463">
        <v>12</v>
      </c>
      <c r="E1463" s="116">
        <v>7.3</v>
      </c>
      <c r="F1463" s="101">
        <v>68</v>
      </c>
      <c r="G1463">
        <v>7.8</v>
      </c>
      <c r="H1463" s="116">
        <v>1.1000000000000001</v>
      </c>
      <c r="I1463">
        <v>66.8</v>
      </c>
      <c r="J1463">
        <v>1.3</v>
      </c>
      <c r="K1463">
        <v>25</v>
      </c>
      <c r="L1463">
        <v>86</v>
      </c>
      <c r="M1463">
        <v>2000</v>
      </c>
      <c r="N1463">
        <v>28</v>
      </c>
      <c r="O1463">
        <v>2800</v>
      </c>
      <c r="Q1463">
        <f t="shared" si="46"/>
        <v>2022</v>
      </c>
      <c r="R1463">
        <f t="shared" si="47"/>
        <v>10</v>
      </c>
    </row>
    <row r="1464" spans="1:18">
      <c r="A1464">
        <v>19</v>
      </c>
      <c r="B1464" t="s">
        <v>260</v>
      </c>
      <c r="C1464" s="216">
        <v>44881</v>
      </c>
      <c r="D1464">
        <v>9.3000000000000007</v>
      </c>
      <c r="E1464" s="116">
        <v>8.4</v>
      </c>
      <c r="F1464" s="101">
        <v>73</v>
      </c>
      <c r="G1464">
        <v>7.9</v>
      </c>
      <c r="H1464" s="116">
        <v>1</v>
      </c>
      <c r="I1464">
        <v>67.400000000000006</v>
      </c>
      <c r="J1464">
        <v>1.1000000000000001</v>
      </c>
      <c r="K1464">
        <v>66</v>
      </c>
      <c r="L1464">
        <v>99</v>
      </c>
      <c r="M1464">
        <v>1300</v>
      </c>
      <c r="N1464">
        <v>33</v>
      </c>
      <c r="O1464">
        <v>2100</v>
      </c>
      <c r="Q1464">
        <f t="shared" si="46"/>
        <v>2022</v>
      </c>
      <c r="R1464">
        <f t="shared" si="47"/>
        <v>11</v>
      </c>
    </row>
    <row r="1465" spans="1:18">
      <c r="A1465">
        <v>19</v>
      </c>
      <c r="B1465" t="s">
        <v>260</v>
      </c>
      <c r="C1465" s="216">
        <v>44916</v>
      </c>
      <c r="D1465">
        <v>3.4</v>
      </c>
      <c r="E1465" s="116">
        <v>12.9</v>
      </c>
      <c r="F1465" s="101">
        <v>98</v>
      </c>
      <c r="G1465">
        <v>7.9</v>
      </c>
      <c r="H1465" s="116">
        <v>8.8000000000000007</v>
      </c>
      <c r="I1465">
        <v>61.9</v>
      </c>
      <c r="J1465">
        <v>5</v>
      </c>
      <c r="K1465">
        <v>55</v>
      </c>
      <c r="L1465">
        <v>120</v>
      </c>
      <c r="M1465">
        <v>8200</v>
      </c>
      <c r="N1465">
        <v>440</v>
      </c>
      <c r="O1465">
        <v>8900</v>
      </c>
      <c r="Q1465">
        <f t="shared" si="46"/>
        <v>2022</v>
      </c>
      <c r="R1465">
        <f t="shared" si="47"/>
        <v>12</v>
      </c>
    </row>
    <row r="1466" spans="1:18">
      <c r="A1466">
        <v>19</v>
      </c>
      <c r="B1466" t="s">
        <v>260</v>
      </c>
      <c r="C1466" s="216">
        <v>44944</v>
      </c>
      <c r="D1466">
        <v>3.7</v>
      </c>
      <c r="E1466" s="116">
        <v>12.5</v>
      </c>
      <c r="F1466" s="101">
        <v>96</v>
      </c>
      <c r="G1466">
        <v>7.8</v>
      </c>
      <c r="H1466" s="116">
        <v>13</v>
      </c>
      <c r="I1466">
        <v>42.5</v>
      </c>
      <c r="J1466">
        <v>2.1</v>
      </c>
      <c r="K1466">
        <v>46</v>
      </c>
      <c r="L1466">
        <v>94</v>
      </c>
      <c r="M1466">
        <v>8400</v>
      </c>
      <c r="N1466">
        <v>230</v>
      </c>
      <c r="O1466">
        <v>8700</v>
      </c>
      <c r="Q1466">
        <f t="shared" si="46"/>
        <v>2023</v>
      </c>
      <c r="R1466">
        <f t="shared" si="47"/>
        <v>1</v>
      </c>
    </row>
    <row r="1467" spans="1:18">
      <c r="A1467">
        <v>19</v>
      </c>
      <c r="B1467" t="s">
        <v>260</v>
      </c>
      <c r="C1467" s="216">
        <v>44970</v>
      </c>
      <c r="D1467">
        <v>5.5</v>
      </c>
      <c r="E1467" s="116">
        <v>13</v>
      </c>
      <c r="F1467" s="101">
        <v>100</v>
      </c>
      <c r="G1467">
        <v>8.1</v>
      </c>
      <c r="H1467" s="116">
        <v>3.1</v>
      </c>
      <c r="I1467">
        <v>51.3</v>
      </c>
      <c r="J1467">
        <v>2.1</v>
      </c>
      <c r="K1467">
        <v>29</v>
      </c>
      <c r="L1467">
        <v>56</v>
      </c>
      <c r="M1467">
        <v>8100</v>
      </c>
      <c r="N1467">
        <v>100</v>
      </c>
      <c r="O1467">
        <v>8600</v>
      </c>
      <c r="Q1467">
        <f t="shared" si="46"/>
        <v>2023</v>
      </c>
      <c r="R1467">
        <f t="shared" si="47"/>
        <v>2</v>
      </c>
    </row>
    <row r="1468" spans="1:18">
      <c r="A1468">
        <v>19</v>
      </c>
      <c r="B1468" t="s">
        <v>260</v>
      </c>
      <c r="C1468" s="216">
        <v>45006</v>
      </c>
      <c r="D1468">
        <v>5.2</v>
      </c>
      <c r="E1468" s="116">
        <v>13.2</v>
      </c>
      <c r="F1468" s="101">
        <v>104</v>
      </c>
      <c r="G1468">
        <v>8</v>
      </c>
      <c r="H1468" s="116">
        <v>8.8000000000000007</v>
      </c>
      <c r="I1468">
        <v>47.5</v>
      </c>
      <c r="J1468">
        <v>2.2000000000000002</v>
      </c>
      <c r="K1468">
        <v>23</v>
      </c>
      <c r="L1468">
        <v>54</v>
      </c>
      <c r="M1468">
        <v>7900</v>
      </c>
      <c r="N1468">
        <v>33</v>
      </c>
      <c r="O1468">
        <v>8900</v>
      </c>
      <c r="Q1468">
        <f t="shared" si="46"/>
        <v>2023</v>
      </c>
      <c r="R1468">
        <f t="shared" si="47"/>
        <v>3</v>
      </c>
    </row>
    <row r="1469" spans="1:18">
      <c r="A1469">
        <v>19</v>
      </c>
      <c r="B1469" t="s">
        <v>260</v>
      </c>
      <c r="C1469" s="216">
        <v>45034</v>
      </c>
      <c r="D1469">
        <v>10.1</v>
      </c>
      <c r="E1469" s="116">
        <v>17.100000000000001</v>
      </c>
      <c r="F1469" s="101">
        <v>148</v>
      </c>
      <c r="G1469">
        <v>8.6</v>
      </c>
      <c r="H1469" s="116">
        <v>1.2</v>
      </c>
      <c r="I1469">
        <v>59.9</v>
      </c>
      <c r="J1469">
        <v>3.6</v>
      </c>
      <c r="K1469" t="s">
        <v>149</v>
      </c>
      <c r="L1469">
        <v>27</v>
      </c>
      <c r="M1469">
        <v>4200</v>
      </c>
      <c r="N1469">
        <v>15</v>
      </c>
      <c r="O1469">
        <v>5300</v>
      </c>
      <c r="Q1469">
        <f t="shared" si="46"/>
        <v>2023</v>
      </c>
      <c r="R1469">
        <f t="shared" si="47"/>
        <v>4</v>
      </c>
    </row>
    <row r="1470" spans="1:18">
      <c r="A1470">
        <v>19</v>
      </c>
      <c r="B1470" t="s">
        <v>260</v>
      </c>
      <c r="C1470" s="216">
        <v>45061</v>
      </c>
      <c r="D1470">
        <v>16.8</v>
      </c>
      <c r="E1470" s="116">
        <v>10.199999999999999</v>
      </c>
      <c r="F1470" s="101">
        <v>105</v>
      </c>
      <c r="G1470">
        <v>8.1</v>
      </c>
      <c r="H1470" s="116">
        <v>1.6</v>
      </c>
      <c r="I1470">
        <v>72.2</v>
      </c>
      <c r="J1470">
        <v>1.9</v>
      </c>
      <c r="K1470">
        <v>8.8000000000000007</v>
      </c>
      <c r="L1470">
        <v>42</v>
      </c>
      <c r="M1470">
        <v>2000</v>
      </c>
      <c r="N1470">
        <v>36</v>
      </c>
      <c r="O1470">
        <v>3300</v>
      </c>
      <c r="Q1470">
        <f t="shared" si="46"/>
        <v>2023</v>
      </c>
      <c r="R1470">
        <f t="shared" si="47"/>
        <v>5</v>
      </c>
    </row>
    <row r="1471" spans="1:18">
      <c r="A1471">
        <v>19</v>
      </c>
      <c r="B1471" t="s">
        <v>260</v>
      </c>
      <c r="C1471" s="216">
        <v>45096</v>
      </c>
      <c r="D1471">
        <v>18.5</v>
      </c>
      <c r="E1471" s="116">
        <v>6</v>
      </c>
      <c r="F1471" s="101">
        <v>63</v>
      </c>
      <c r="G1471">
        <v>7.6</v>
      </c>
      <c r="H1471" s="116">
        <v>0.91</v>
      </c>
      <c r="I1471">
        <v>68.599999999999994</v>
      </c>
      <c r="J1471">
        <v>1.6</v>
      </c>
      <c r="K1471">
        <v>87</v>
      </c>
      <c r="L1471">
        <v>120</v>
      </c>
      <c r="M1471">
        <v>2400</v>
      </c>
      <c r="N1471">
        <v>110</v>
      </c>
      <c r="O1471">
        <v>3000</v>
      </c>
      <c r="Q1471">
        <f t="shared" si="46"/>
        <v>2023</v>
      </c>
      <c r="R1471">
        <f t="shared" si="47"/>
        <v>6</v>
      </c>
    </row>
    <row r="1472" spans="1:18">
      <c r="A1472">
        <v>19</v>
      </c>
      <c r="B1472" t="s">
        <v>260</v>
      </c>
      <c r="C1472" s="216">
        <v>45125</v>
      </c>
      <c r="D1472">
        <v>17.600000000000001</v>
      </c>
      <c r="E1472" s="116">
        <v>7.1</v>
      </c>
      <c r="F1472" s="101">
        <v>74</v>
      </c>
      <c r="G1472">
        <v>7.8</v>
      </c>
      <c r="H1472" s="116">
        <v>2</v>
      </c>
      <c r="I1472">
        <v>74.2</v>
      </c>
      <c r="J1472">
        <v>1.1000000000000001</v>
      </c>
      <c r="K1472">
        <v>100</v>
      </c>
      <c r="L1472">
        <v>130</v>
      </c>
      <c r="M1472">
        <v>930</v>
      </c>
      <c r="N1472">
        <v>48</v>
      </c>
      <c r="O1472">
        <v>1400</v>
      </c>
      <c r="Q1472">
        <f t="shared" si="46"/>
        <v>2023</v>
      </c>
      <c r="R1472">
        <f t="shared" si="47"/>
        <v>7</v>
      </c>
    </row>
    <row r="1473" spans="1:18">
      <c r="A1473">
        <v>19</v>
      </c>
      <c r="B1473" t="s">
        <v>260</v>
      </c>
      <c r="C1473" s="216">
        <v>45155</v>
      </c>
      <c r="D1473">
        <v>17.7</v>
      </c>
      <c r="E1473" s="116">
        <v>7.9</v>
      </c>
      <c r="F1473" s="101">
        <v>82</v>
      </c>
      <c r="G1473">
        <v>7.9</v>
      </c>
      <c r="H1473" s="116">
        <v>1.4</v>
      </c>
      <c r="I1473">
        <v>55.8</v>
      </c>
      <c r="J1473">
        <v>1.4</v>
      </c>
      <c r="K1473">
        <v>59</v>
      </c>
      <c r="L1473">
        <v>95</v>
      </c>
      <c r="M1473">
        <v>5100</v>
      </c>
      <c r="N1473">
        <v>31</v>
      </c>
      <c r="O1473">
        <v>5600</v>
      </c>
      <c r="Q1473">
        <f t="shared" si="46"/>
        <v>2023</v>
      </c>
      <c r="R1473">
        <f t="shared" si="47"/>
        <v>8</v>
      </c>
    </row>
    <row r="1474" spans="1:18">
      <c r="A1474">
        <v>19</v>
      </c>
      <c r="B1474" t="s">
        <v>260</v>
      </c>
      <c r="C1474" s="216">
        <v>45187</v>
      </c>
      <c r="D1474">
        <v>16.899999999999999</v>
      </c>
      <c r="E1474" s="116">
        <v>8.3000000000000007</v>
      </c>
      <c r="F1474" s="101">
        <v>86</v>
      </c>
      <c r="G1474">
        <v>8</v>
      </c>
      <c r="H1474" s="116">
        <v>1.9</v>
      </c>
      <c r="I1474">
        <v>63.8</v>
      </c>
      <c r="J1474">
        <v>0.89</v>
      </c>
      <c r="K1474">
        <v>63</v>
      </c>
      <c r="L1474">
        <v>99</v>
      </c>
      <c r="M1474">
        <v>4500</v>
      </c>
      <c r="N1474">
        <v>30</v>
      </c>
      <c r="O1474">
        <v>4700</v>
      </c>
      <c r="Q1474">
        <f t="shared" si="46"/>
        <v>2023</v>
      </c>
      <c r="R1474">
        <f t="shared" si="47"/>
        <v>9</v>
      </c>
    </row>
    <row r="1475" spans="1:18">
      <c r="A1475">
        <v>19</v>
      </c>
      <c r="B1475" t="s">
        <v>260</v>
      </c>
      <c r="C1475" s="216">
        <v>45210</v>
      </c>
      <c r="D1475">
        <v>12.8</v>
      </c>
      <c r="E1475" s="116">
        <v>8.8000000000000007</v>
      </c>
      <c r="F1475" s="101">
        <v>84</v>
      </c>
      <c r="G1475">
        <v>8</v>
      </c>
      <c r="H1475" s="116">
        <v>3.4</v>
      </c>
      <c r="I1475">
        <v>59.5</v>
      </c>
      <c r="J1475">
        <v>1</v>
      </c>
      <c r="K1475">
        <v>60</v>
      </c>
      <c r="L1475">
        <v>83</v>
      </c>
      <c r="M1475">
        <v>6100</v>
      </c>
      <c r="N1475">
        <v>28</v>
      </c>
      <c r="O1475">
        <v>6100</v>
      </c>
      <c r="Q1475">
        <f t="shared" si="46"/>
        <v>2023</v>
      </c>
      <c r="R1475">
        <f t="shared" si="47"/>
        <v>10</v>
      </c>
    </row>
    <row r="1476" spans="1:18">
      <c r="A1476">
        <v>19</v>
      </c>
      <c r="B1476" t="s">
        <v>260</v>
      </c>
      <c r="C1476" s="216">
        <v>45244</v>
      </c>
      <c r="D1476">
        <v>7.7</v>
      </c>
      <c r="E1476" s="116">
        <v>11.2</v>
      </c>
      <c r="F1476" s="101">
        <v>96</v>
      </c>
      <c r="G1476">
        <v>7.9</v>
      </c>
      <c r="H1476" s="116">
        <v>12</v>
      </c>
      <c r="I1476">
        <v>51.7</v>
      </c>
      <c r="J1476">
        <v>1.6</v>
      </c>
      <c r="K1476">
        <v>44</v>
      </c>
      <c r="L1476">
        <v>91</v>
      </c>
      <c r="M1476">
        <v>6900</v>
      </c>
      <c r="N1476">
        <v>53</v>
      </c>
      <c r="O1476">
        <v>7200</v>
      </c>
      <c r="Q1476">
        <f t="shared" si="46"/>
        <v>2023</v>
      </c>
      <c r="R1476">
        <f t="shared" si="47"/>
        <v>11</v>
      </c>
    </row>
    <row r="1477" spans="1:18">
      <c r="A1477">
        <v>21</v>
      </c>
      <c r="B1477" t="s">
        <v>261</v>
      </c>
      <c r="C1477" s="216">
        <v>44222</v>
      </c>
      <c r="D1477">
        <v>2.7</v>
      </c>
      <c r="E1477" s="116">
        <v>12.9</v>
      </c>
      <c r="F1477" s="101">
        <v>96</v>
      </c>
      <c r="G1477">
        <v>8</v>
      </c>
      <c r="H1477" s="116">
        <v>7.4</v>
      </c>
      <c r="I1477">
        <v>48.6</v>
      </c>
      <c r="J1477">
        <v>2.4</v>
      </c>
      <c r="K1477">
        <v>48</v>
      </c>
      <c r="L1477">
        <v>71</v>
      </c>
      <c r="M1477">
        <v>9600</v>
      </c>
      <c r="N1477">
        <v>49</v>
      </c>
      <c r="O1477">
        <v>11000</v>
      </c>
      <c r="Q1477">
        <f t="shared" si="46"/>
        <v>2021</v>
      </c>
      <c r="R1477">
        <f t="shared" si="47"/>
        <v>1</v>
      </c>
    </row>
    <row r="1478" spans="1:18">
      <c r="A1478">
        <v>21</v>
      </c>
      <c r="B1478" t="s">
        <v>261</v>
      </c>
      <c r="C1478" s="216">
        <v>44251</v>
      </c>
      <c r="D1478">
        <v>4</v>
      </c>
      <c r="E1478" s="116">
        <v>12.9</v>
      </c>
      <c r="F1478" s="101">
        <v>97</v>
      </c>
      <c r="G1478">
        <v>8</v>
      </c>
      <c r="H1478" s="116">
        <v>7.4</v>
      </c>
      <c r="I1478">
        <v>42.6</v>
      </c>
      <c r="J1478">
        <v>1.6</v>
      </c>
      <c r="K1478">
        <v>37</v>
      </c>
      <c r="L1478">
        <v>71</v>
      </c>
      <c r="M1478">
        <v>8100</v>
      </c>
      <c r="N1478">
        <v>69</v>
      </c>
      <c r="O1478">
        <v>8900</v>
      </c>
      <c r="Q1478">
        <f t="shared" si="46"/>
        <v>2021</v>
      </c>
      <c r="R1478">
        <f t="shared" si="47"/>
        <v>2</v>
      </c>
    </row>
    <row r="1479" spans="1:18">
      <c r="A1479">
        <v>21</v>
      </c>
      <c r="B1479" t="s">
        <v>261</v>
      </c>
      <c r="C1479" s="216">
        <v>44284</v>
      </c>
      <c r="D1479">
        <v>6.9</v>
      </c>
      <c r="E1479" s="116">
        <v>12.5</v>
      </c>
      <c r="F1479" s="101">
        <v>102</v>
      </c>
      <c r="G1479">
        <v>8.1999999999999993</v>
      </c>
      <c r="H1479" s="116">
        <v>1.7</v>
      </c>
      <c r="I1479">
        <v>49.5</v>
      </c>
      <c r="J1479">
        <v>2</v>
      </c>
      <c r="K1479">
        <v>13</v>
      </c>
      <c r="L1479">
        <v>35</v>
      </c>
      <c r="M1479">
        <v>5900</v>
      </c>
      <c r="N1479">
        <v>13</v>
      </c>
      <c r="O1479">
        <v>6800</v>
      </c>
      <c r="Q1479">
        <f t="shared" si="46"/>
        <v>2021</v>
      </c>
      <c r="R1479">
        <f t="shared" si="47"/>
        <v>3</v>
      </c>
    </row>
    <row r="1480" spans="1:18">
      <c r="A1480">
        <v>21</v>
      </c>
      <c r="B1480" t="s">
        <v>261</v>
      </c>
      <c r="C1480" s="216">
        <v>44315</v>
      </c>
      <c r="D1480">
        <v>9.1</v>
      </c>
      <c r="E1480" s="116">
        <v>14</v>
      </c>
      <c r="F1480" s="101">
        <v>122</v>
      </c>
      <c r="G1480">
        <v>8.5</v>
      </c>
      <c r="H1480" s="116">
        <v>1.1000000000000001</v>
      </c>
      <c r="I1480">
        <v>47.3</v>
      </c>
      <c r="J1480">
        <v>2.1</v>
      </c>
      <c r="K1480">
        <v>10</v>
      </c>
      <c r="L1480">
        <v>25</v>
      </c>
      <c r="M1480">
        <v>3700</v>
      </c>
      <c r="N1480">
        <v>15</v>
      </c>
      <c r="O1480">
        <v>4400</v>
      </c>
      <c r="Q1480">
        <f t="shared" si="46"/>
        <v>2021</v>
      </c>
      <c r="R1480">
        <f t="shared" si="47"/>
        <v>4</v>
      </c>
    </row>
    <row r="1481" spans="1:18">
      <c r="A1481">
        <v>21</v>
      </c>
      <c r="B1481" t="s">
        <v>261</v>
      </c>
      <c r="C1481" s="216">
        <v>44344</v>
      </c>
      <c r="D1481">
        <v>11.6</v>
      </c>
      <c r="E1481" s="116">
        <v>11</v>
      </c>
      <c r="F1481" s="101">
        <v>101</v>
      </c>
      <c r="G1481">
        <v>8.1</v>
      </c>
      <c r="H1481" s="116">
        <v>2.6</v>
      </c>
      <c r="I1481">
        <v>43.5</v>
      </c>
      <c r="J1481">
        <v>1.8</v>
      </c>
      <c r="K1481">
        <v>45</v>
      </c>
      <c r="L1481">
        <v>78</v>
      </c>
      <c r="M1481">
        <v>2800</v>
      </c>
      <c r="N1481">
        <v>47</v>
      </c>
      <c r="O1481">
        <v>3800</v>
      </c>
      <c r="Q1481">
        <f t="shared" si="46"/>
        <v>2021</v>
      </c>
      <c r="R1481">
        <f t="shared" si="47"/>
        <v>5</v>
      </c>
    </row>
    <row r="1482" spans="1:18">
      <c r="A1482">
        <v>21</v>
      </c>
      <c r="B1482" t="s">
        <v>261</v>
      </c>
      <c r="C1482" s="216">
        <v>44365</v>
      </c>
      <c r="D1482">
        <v>20.5</v>
      </c>
      <c r="E1482" s="116">
        <v>9.3000000000000007</v>
      </c>
      <c r="F1482" s="101">
        <v>103</v>
      </c>
      <c r="G1482">
        <v>8.1999999999999993</v>
      </c>
      <c r="H1482" s="116">
        <v>1.5</v>
      </c>
      <c r="I1482">
        <v>53.2</v>
      </c>
      <c r="J1482">
        <v>1.9</v>
      </c>
      <c r="K1482">
        <v>100</v>
      </c>
      <c r="L1482">
        <v>120</v>
      </c>
      <c r="M1482">
        <v>1400</v>
      </c>
      <c r="N1482">
        <v>46</v>
      </c>
      <c r="O1482">
        <v>2000</v>
      </c>
      <c r="Q1482">
        <f t="shared" si="46"/>
        <v>2021</v>
      </c>
      <c r="R1482">
        <f t="shared" si="47"/>
        <v>6</v>
      </c>
    </row>
    <row r="1483" spans="1:18">
      <c r="A1483">
        <v>21</v>
      </c>
      <c r="B1483" t="s">
        <v>261</v>
      </c>
      <c r="C1483" s="216">
        <v>44390</v>
      </c>
      <c r="D1483">
        <v>19.7</v>
      </c>
      <c r="E1483" s="116">
        <v>8.1</v>
      </c>
      <c r="F1483" s="101">
        <v>89</v>
      </c>
      <c r="G1483">
        <v>8</v>
      </c>
      <c r="H1483" s="116">
        <v>1.5</v>
      </c>
      <c r="I1483">
        <v>52.6</v>
      </c>
      <c r="J1483">
        <v>1.3</v>
      </c>
      <c r="K1483">
        <v>130</v>
      </c>
      <c r="L1483">
        <v>160</v>
      </c>
      <c r="M1483">
        <v>1700</v>
      </c>
      <c r="N1483">
        <v>32</v>
      </c>
      <c r="O1483">
        <v>2200</v>
      </c>
      <c r="Q1483">
        <f t="shared" si="46"/>
        <v>2021</v>
      </c>
      <c r="R1483">
        <f t="shared" si="47"/>
        <v>7</v>
      </c>
    </row>
    <row r="1484" spans="1:18">
      <c r="A1484">
        <v>21</v>
      </c>
      <c r="B1484" t="s">
        <v>261</v>
      </c>
      <c r="C1484" s="216">
        <v>44431</v>
      </c>
      <c r="D1484">
        <v>14.4</v>
      </c>
      <c r="E1484" s="116">
        <v>8.9</v>
      </c>
      <c r="F1484" s="101">
        <v>87</v>
      </c>
      <c r="G1484">
        <v>8</v>
      </c>
      <c r="H1484" s="116">
        <v>1.2</v>
      </c>
      <c r="I1484">
        <v>50.5</v>
      </c>
      <c r="J1484">
        <v>1.6</v>
      </c>
      <c r="K1484">
        <v>20</v>
      </c>
      <c r="L1484">
        <v>56</v>
      </c>
      <c r="M1484">
        <v>3000</v>
      </c>
      <c r="N1484">
        <v>120</v>
      </c>
      <c r="O1484">
        <v>3600</v>
      </c>
      <c r="Q1484">
        <f t="shared" si="46"/>
        <v>2021</v>
      </c>
      <c r="R1484">
        <f t="shared" si="47"/>
        <v>8</v>
      </c>
    </row>
    <row r="1485" spans="1:18">
      <c r="A1485">
        <v>21</v>
      </c>
      <c r="B1485" t="s">
        <v>261</v>
      </c>
      <c r="C1485" s="216">
        <v>44459</v>
      </c>
      <c r="D1485">
        <v>11.7</v>
      </c>
      <c r="E1485" s="116">
        <v>10</v>
      </c>
      <c r="F1485" s="101">
        <v>91</v>
      </c>
      <c r="G1485">
        <v>8</v>
      </c>
      <c r="H1485" s="116">
        <v>1</v>
      </c>
      <c r="I1485">
        <v>55.8</v>
      </c>
      <c r="J1485">
        <v>0.86</v>
      </c>
      <c r="K1485">
        <v>87</v>
      </c>
      <c r="L1485">
        <v>100</v>
      </c>
      <c r="M1485">
        <v>2500</v>
      </c>
      <c r="N1485">
        <v>14</v>
      </c>
      <c r="O1485">
        <v>3000</v>
      </c>
      <c r="Q1485">
        <f t="shared" si="46"/>
        <v>2021</v>
      </c>
      <c r="R1485">
        <f t="shared" si="47"/>
        <v>9</v>
      </c>
    </row>
    <row r="1486" spans="1:18">
      <c r="A1486">
        <v>21</v>
      </c>
      <c r="B1486" t="s">
        <v>261</v>
      </c>
      <c r="C1486" s="216">
        <v>44489</v>
      </c>
      <c r="D1486">
        <v>11.4</v>
      </c>
      <c r="E1486" s="116">
        <v>9</v>
      </c>
      <c r="F1486" s="101">
        <v>84</v>
      </c>
      <c r="G1486">
        <v>7.9</v>
      </c>
      <c r="H1486" s="116">
        <v>11</v>
      </c>
      <c r="I1486">
        <v>56.8</v>
      </c>
      <c r="J1486">
        <v>1.1000000000000001</v>
      </c>
      <c r="K1486">
        <v>55</v>
      </c>
      <c r="L1486">
        <v>93</v>
      </c>
      <c r="M1486">
        <v>7900</v>
      </c>
      <c r="N1486">
        <v>10</v>
      </c>
      <c r="O1486">
        <v>8900</v>
      </c>
      <c r="Q1486">
        <f t="shared" si="46"/>
        <v>2021</v>
      </c>
      <c r="R1486">
        <f t="shared" si="47"/>
        <v>10</v>
      </c>
    </row>
    <row r="1487" spans="1:18">
      <c r="A1487">
        <v>21</v>
      </c>
      <c r="B1487" t="s">
        <v>261</v>
      </c>
      <c r="C1487" s="216">
        <v>44530</v>
      </c>
      <c r="D1487">
        <v>2.5</v>
      </c>
      <c r="E1487" s="116">
        <v>13.1</v>
      </c>
      <c r="F1487" s="101">
        <v>99</v>
      </c>
      <c r="G1487">
        <v>7.9</v>
      </c>
      <c r="H1487" s="116">
        <v>7.3</v>
      </c>
      <c r="I1487">
        <v>46</v>
      </c>
      <c r="J1487">
        <v>2.1</v>
      </c>
      <c r="K1487">
        <v>49</v>
      </c>
      <c r="L1487">
        <v>81</v>
      </c>
      <c r="M1487">
        <v>9900</v>
      </c>
      <c r="N1487">
        <v>68</v>
      </c>
      <c r="O1487">
        <v>9400</v>
      </c>
      <c r="Q1487">
        <f t="shared" si="46"/>
        <v>2021</v>
      </c>
      <c r="R1487">
        <f t="shared" si="47"/>
        <v>11</v>
      </c>
    </row>
    <row r="1488" spans="1:18">
      <c r="A1488">
        <v>21</v>
      </c>
      <c r="B1488" t="s">
        <v>261</v>
      </c>
      <c r="C1488" s="216">
        <v>44550</v>
      </c>
      <c r="D1488">
        <v>2.9</v>
      </c>
      <c r="E1488" s="116">
        <v>13.4</v>
      </c>
      <c r="F1488" s="101">
        <v>98</v>
      </c>
      <c r="G1488">
        <v>7.9</v>
      </c>
      <c r="H1488" s="116">
        <v>7.2</v>
      </c>
      <c r="I1488">
        <v>44.2</v>
      </c>
      <c r="J1488">
        <v>2.1</v>
      </c>
      <c r="K1488">
        <v>35</v>
      </c>
      <c r="L1488">
        <v>74</v>
      </c>
      <c r="M1488">
        <v>7800</v>
      </c>
      <c r="N1488">
        <v>110</v>
      </c>
      <c r="O1488">
        <v>7200</v>
      </c>
      <c r="Q1488">
        <f t="shared" si="46"/>
        <v>2021</v>
      </c>
      <c r="R1488">
        <f t="shared" si="47"/>
        <v>12</v>
      </c>
    </row>
    <row r="1489" spans="1:18">
      <c r="A1489">
        <v>21</v>
      </c>
      <c r="B1489" t="s">
        <v>261</v>
      </c>
      <c r="C1489" s="216">
        <v>44580</v>
      </c>
      <c r="D1489">
        <v>3.1</v>
      </c>
      <c r="E1489" s="116">
        <v>13.3</v>
      </c>
      <c r="F1489" s="101">
        <v>99</v>
      </c>
      <c r="G1489">
        <v>8</v>
      </c>
      <c r="H1489" s="116">
        <v>4.8</v>
      </c>
      <c r="I1489">
        <v>51.3</v>
      </c>
      <c r="J1489">
        <v>1.5</v>
      </c>
      <c r="K1489">
        <v>40</v>
      </c>
      <c r="L1489">
        <v>74</v>
      </c>
      <c r="M1489">
        <v>7300</v>
      </c>
      <c r="N1489">
        <v>57</v>
      </c>
      <c r="O1489">
        <v>8200</v>
      </c>
      <c r="Q1489">
        <f t="shared" si="46"/>
        <v>2022</v>
      </c>
      <c r="R1489">
        <f t="shared" si="47"/>
        <v>1</v>
      </c>
    </row>
    <row r="1490" spans="1:18">
      <c r="A1490">
        <v>21</v>
      </c>
      <c r="B1490" t="s">
        <v>261</v>
      </c>
      <c r="C1490" s="216">
        <v>44607</v>
      </c>
      <c r="D1490">
        <v>4.2</v>
      </c>
      <c r="E1490" s="116">
        <v>12.6</v>
      </c>
      <c r="F1490" s="101">
        <v>98</v>
      </c>
      <c r="G1490">
        <v>8</v>
      </c>
      <c r="H1490" s="116">
        <v>6.2</v>
      </c>
      <c r="I1490">
        <v>48.5</v>
      </c>
      <c r="J1490">
        <v>3.7</v>
      </c>
      <c r="K1490">
        <v>30</v>
      </c>
      <c r="L1490">
        <v>66</v>
      </c>
      <c r="M1490">
        <v>7300</v>
      </c>
      <c r="N1490">
        <v>72</v>
      </c>
      <c r="O1490">
        <v>7800</v>
      </c>
      <c r="Q1490">
        <f t="shared" si="46"/>
        <v>2022</v>
      </c>
      <c r="R1490">
        <f t="shared" si="47"/>
        <v>2</v>
      </c>
    </row>
    <row r="1491" spans="1:18">
      <c r="A1491">
        <v>21</v>
      </c>
      <c r="B1491" t="s">
        <v>261</v>
      </c>
      <c r="C1491" s="216">
        <v>44637</v>
      </c>
      <c r="D1491">
        <v>4.7</v>
      </c>
      <c r="E1491" s="116">
        <v>12.7</v>
      </c>
      <c r="F1491" s="101">
        <v>97</v>
      </c>
      <c r="G1491">
        <v>8.1</v>
      </c>
      <c r="H1491" s="116">
        <v>4</v>
      </c>
      <c r="I1491">
        <v>50.1</v>
      </c>
      <c r="J1491">
        <v>2.2999999999999998</v>
      </c>
      <c r="K1491">
        <v>29</v>
      </c>
      <c r="L1491">
        <v>62</v>
      </c>
      <c r="M1491">
        <v>5600</v>
      </c>
      <c r="N1491">
        <v>33</v>
      </c>
      <c r="O1491">
        <v>6000</v>
      </c>
      <c r="Q1491">
        <f t="shared" si="46"/>
        <v>2022</v>
      </c>
      <c r="R1491">
        <f t="shared" si="47"/>
        <v>3</v>
      </c>
    </row>
    <row r="1492" spans="1:18">
      <c r="A1492">
        <v>21</v>
      </c>
      <c r="B1492" t="s">
        <v>261</v>
      </c>
      <c r="C1492" s="216">
        <v>44670</v>
      </c>
      <c r="D1492">
        <v>11.6</v>
      </c>
      <c r="E1492" s="116">
        <v>13.6</v>
      </c>
      <c r="F1492" s="101">
        <v>125</v>
      </c>
      <c r="G1492">
        <v>8.6</v>
      </c>
      <c r="H1492" s="116">
        <v>1.4</v>
      </c>
      <c r="I1492">
        <v>47</v>
      </c>
      <c r="J1492">
        <v>1.8</v>
      </c>
      <c r="K1492">
        <v>13</v>
      </c>
      <c r="L1492">
        <v>34</v>
      </c>
      <c r="M1492">
        <v>4400</v>
      </c>
      <c r="N1492">
        <v>12</v>
      </c>
      <c r="O1492">
        <v>5200</v>
      </c>
      <c r="Q1492">
        <f t="shared" si="46"/>
        <v>2022</v>
      </c>
      <c r="R1492">
        <f t="shared" si="47"/>
        <v>4</v>
      </c>
    </row>
    <row r="1493" spans="1:18">
      <c r="A1493">
        <v>21</v>
      </c>
      <c r="B1493" t="s">
        <v>261</v>
      </c>
      <c r="C1493" s="216">
        <v>44698</v>
      </c>
      <c r="D1493">
        <v>14.1</v>
      </c>
      <c r="E1493" s="116">
        <v>11.6</v>
      </c>
      <c r="F1493" s="101">
        <v>113</v>
      </c>
      <c r="G1493">
        <v>8.3000000000000007</v>
      </c>
      <c r="H1493" s="116">
        <v>1.2</v>
      </c>
      <c r="I1493">
        <v>49.6</v>
      </c>
      <c r="J1493">
        <v>3</v>
      </c>
      <c r="K1493">
        <v>12</v>
      </c>
      <c r="L1493">
        <v>46</v>
      </c>
      <c r="M1493">
        <v>1900</v>
      </c>
      <c r="N1493">
        <v>20</v>
      </c>
      <c r="O1493">
        <v>2500</v>
      </c>
      <c r="Q1493">
        <f t="shared" si="46"/>
        <v>2022</v>
      </c>
      <c r="R1493">
        <f t="shared" si="47"/>
        <v>5</v>
      </c>
    </row>
    <row r="1494" spans="1:18">
      <c r="A1494">
        <v>21</v>
      </c>
      <c r="B1494" t="s">
        <v>261</v>
      </c>
      <c r="C1494" s="216">
        <v>44735</v>
      </c>
      <c r="D1494">
        <v>15</v>
      </c>
      <c r="E1494" s="116">
        <v>9.1</v>
      </c>
      <c r="F1494" s="101">
        <v>90</v>
      </c>
      <c r="G1494">
        <v>8</v>
      </c>
      <c r="H1494" s="116">
        <v>3.1</v>
      </c>
      <c r="I1494">
        <v>42.3</v>
      </c>
      <c r="J1494">
        <v>1.8</v>
      </c>
      <c r="K1494">
        <v>87</v>
      </c>
      <c r="L1494">
        <v>120</v>
      </c>
      <c r="M1494">
        <v>2300</v>
      </c>
      <c r="N1494">
        <v>46</v>
      </c>
      <c r="O1494">
        <v>3200</v>
      </c>
      <c r="Q1494">
        <f t="shared" si="46"/>
        <v>2022</v>
      </c>
      <c r="R1494">
        <f t="shared" si="47"/>
        <v>6</v>
      </c>
    </row>
    <row r="1495" spans="1:18">
      <c r="A1495">
        <v>21</v>
      </c>
      <c r="B1495" t="s">
        <v>261</v>
      </c>
      <c r="C1495" s="216">
        <v>44761</v>
      </c>
      <c r="D1495">
        <v>15.9</v>
      </c>
      <c r="E1495" s="116">
        <v>9.1</v>
      </c>
      <c r="F1495" s="101">
        <v>91</v>
      </c>
      <c r="G1495">
        <v>8</v>
      </c>
      <c r="H1495" s="116">
        <v>0.75</v>
      </c>
      <c r="I1495">
        <v>52.1</v>
      </c>
      <c r="J1495">
        <v>0.82</v>
      </c>
      <c r="K1495">
        <v>90</v>
      </c>
      <c r="L1495">
        <v>110</v>
      </c>
      <c r="M1495">
        <v>1200</v>
      </c>
      <c r="N1495">
        <v>30</v>
      </c>
      <c r="O1495">
        <v>1700</v>
      </c>
      <c r="Q1495">
        <f t="shared" si="46"/>
        <v>2022</v>
      </c>
      <c r="R1495">
        <f t="shared" si="47"/>
        <v>7</v>
      </c>
    </row>
    <row r="1496" spans="1:18">
      <c r="A1496">
        <v>21</v>
      </c>
      <c r="B1496" t="s">
        <v>261</v>
      </c>
      <c r="C1496" s="216">
        <v>44795</v>
      </c>
      <c r="D1496">
        <v>16.899999999999999</v>
      </c>
      <c r="E1496" s="116">
        <v>8</v>
      </c>
      <c r="F1496" s="101">
        <v>82</v>
      </c>
      <c r="G1496">
        <v>8</v>
      </c>
      <c r="H1496" s="116">
        <v>0.6</v>
      </c>
      <c r="I1496">
        <v>61.6</v>
      </c>
      <c r="J1496">
        <v>0.66</v>
      </c>
      <c r="K1496">
        <v>110</v>
      </c>
      <c r="L1496">
        <v>130</v>
      </c>
      <c r="M1496">
        <v>520</v>
      </c>
      <c r="N1496">
        <v>21</v>
      </c>
      <c r="O1496">
        <v>850</v>
      </c>
      <c r="Q1496">
        <f t="shared" si="46"/>
        <v>2022</v>
      </c>
      <c r="R1496">
        <f t="shared" si="47"/>
        <v>8</v>
      </c>
    </row>
    <row r="1497" spans="1:18">
      <c r="A1497">
        <v>21</v>
      </c>
      <c r="B1497" t="s">
        <v>261</v>
      </c>
      <c r="C1497" s="216">
        <v>44826</v>
      </c>
      <c r="D1497">
        <v>11.1</v>
      </c>
      <c r="E1497" s="116">
        <v>11.2</v>
      </c>
      <c r="F1497" s="101">
        <v>105</v>
      </c>
      <c r="G1497">
        <v>8.1</v>
      </c>
      <c r="H1497" s="116">
        <v>0.99</v>
      </c>
      <c r="I1497" s="57" t="s">
        <v>299</v>
      </c>
      <c r="J1497">
        <v>0.82</v>
      </c>
      <c r="K1497">
        <v>76</v>
      </c>
      <c r="L1497">
        <v>90</v>
      </c>
      <c r="M1497">
        <v>960</v>
      </c>
      <c r="N1497">
        <v>13</v>
      </c>
      <c r="O1497">
        <v>1200</v>
      </c>
      <c r="Q1497">
        <f t="shared" si="46"/>
        <v>2022</v>
      </c>
      <c r="R1497">
        <f t="shared" si="47"/>
        <v>9</v>
      </c>
    </row>
    <row r="1498" spans="1:18">
      <c r="A1498">
        <v>21</v>
      </c>
      <c r="B1498" t="s">
        <v>261</v>
      </c>
      <c r="C1498" s="216">
        <v>44858</v>
      </c>
      <c r="D1498">
        <v>10.8</v>
      </c>
      <c r="E1498" s="116">
        <v>8.9</v>
      </c>
      <c r="F1498" s="101">
        <v>81</v>
      </c>
      <c r="G1498">
        <v>7.9</v>
      </c>
      <c r="H1498" s="116">
        <v>0.61</v>
      </c>
      <c r="I1498">
        <v>61.3</v>
      </c>
      <c r="J1498">
        <v>1.1000000000000001</v>
      </c>
      <c r="K1498">
        <v>39</v>
      </c>
      <c r="L1498">
        <v>85</v>
      </c>
      <c r="M1498">
        <v>1100</v>
      </c>
      <c r="N1498" t="s">
        <v>148</v>
      </c>
      <c r="O1498">
        <v>1400</v>
      </c>
      <c r="Q1498">
        <f t="shared" si="46"/>
        <v>2022</v>
      </c>
      <c r="R1498">
        <f t="shared" si="47"/>
        <v>10</v>
      </c>
    </row>
    <row r="1499" spans="1:18">
      <c r="A1499">
        <v>21</v>
      </c>
      <c r="B1499" t="s">
        <v>261</v>
      </c>
      <c r="C1499" s="216">
        <v>44881</v>
      </c>
      <c r="D1499">
        <v>8.3000000000000007</v>
      </c>
      <c r="E1499" s="116">
        <v>10.3</v>
      </c>
      <c r="F1499" s="101">
        <v>88</v>
      </c>
      <c r="G1499">
        <v>8</v>
      </c>
      <c r="H1499" s="116">
        <v>0.67</v>
      </c>
      <c r="I1499">
        <v>61.9</v>
      </c>
      <c r="J1499">
        <v>1.1000000000000001</v>
      </c>
      <c r="K1499">
        <v>77</v>
      </c>
      <c r="L1499">
        <v>99</v>
      </c>
      <c r="M1499">
        <v>1500</v>
      </c>
      <c r="N1499">
        <v>13</v>
      </c>
      <c r="O1499">
        <v>2100</v>
      </c>
      <c r="Q1499">
        <f t="shared" si="46"/>
        <v>2022</v>
      </c>
      <c r="R1499">
        <f t="shared" si="47"/>
        <v>11</v>
      </c>
    </row>
    <row r="1500" spans="1:18">
      <c r="A1500">
        <v>21</v>
      </c>
      <c r="B1500" t="s">
        <v>261</v>
      </c>
      <c r="C1500" s="216">
        <v>44917</v>
      </c>
      <c r="D1500">
        <v>2.9</v>
      </c>
      <c r="E1500" s="116">
        <v>13.4</v>
      </c>
      <c r="F1500" s="101">
        <v>100</v>
      </c>
      <c r="G1500">
        <v>7.8</v>
      </c>
      <c r="H1500" s="116">
        <v>7.9</v>
      </c>
      <c r="I1500">
        <v>55.2</v>
      </c>
      <c r="J1500">
        <v>4.3</v>
      </c>
      <c r="K1500">
        <v>61</v>
      </c>
      <c r="L1500">
        <v>120</v>
      </c>
      <c r="M1500">
        <v>8700</v>
      </c>
      <c r="N1500">
        <v>190</v>
      </c>
      <c r="O1500">
        <v>9700</v>
      </c>
      <c r="Q1500">
        <f t="shared" si="46"/>
        <v>2022</v>
      </c>
      <c r="R1500">
        <f t="shared" si="47"/>
        <v>12</v>
      </c>
    </row>
    <row r="1501" spans="1:18">
      <c r="A1501">
        <v>21</v>
      </c>
      <c r="B1501" t="s">
        <v>261</v>
      </c>
      <c r="C1501" s="216">
        <v>44944</v>
      </c>
      <c r="D1501">
        <v>4.5999999999999996</v>
      </c>
      <c r="E1501" s="116">
        <v>12.5</v>
      </c>
      <c r="F1501" s="101">
        <v>97</v>
      </c>
      <c r="G1501">
        <v>7.8</v>
      </c>
      <c r="H1501" s="116">
        <v>11</v>
      </c>
      <c r="I1501">
        <v>39.799999999999997</v>
      </c>
      <c r="J1501">
        <v>1.6</v>
      </c>
      <c r="K1501">
        <v>49</v>
      </c>
      <c r="L1501">
        <v>100</v>
      </c>
      <c r="M1501">
        <v>8800</v>
      </c>
      <c r="N1501">
        <v>59</v>
      </c>
      <c r="O1501">
        <v>9100</v>
      </c>
      <c r="Q1501">
        <f t="shared" si="46"/>
        <v>2023</v>
      </c>
      <c r="R1501">
        <f t="shared" si="47"/>
        <v>1</v>
      </c>
    </row>
    <row r="1502" spans="1:18">
      <c r="A1502">
        <v>21</v>
      </c>
      <c r="B1502" t="s">
        <v>261</v>
      </c>
      <c r="C1502" s="216">
        <v>44970</v>
      </c>
      <c r="D1502">
        <v>5.5</v>
      </c>
      <c r="E1502" s="116">
        <v>13.3</v>
      </c>
      <c r="F1502" s="101">
        <v>101</v>
      </c>
      <c r="G1502">
        <v>8.1</v>
      </c>
      <c r="H1502" s="116">
        <v>2.9</v>
      </c>
      <c r="I1502">
        <v>48.3</v>
      </c>
      <c r="J1502">
        <v>1.8</v>
      </c>
      <c r="K1502">
        <v>31</v>
      </c>
      <c r="L1502">
        <v>51</v>
      </c>
      <c r="M1502">
        <v>8700</v>
      </c>
      <c r="N1502">
        <v>34</v>
      </c>
      <c r="O1502">
        <v>9200</v>
      </c>
      <c r="Q1502">
        <f t="shared" si="46"/>
        <v>2023</v>
      </c>
      <c r="R1502">
        <f t="shared" si="47"/>
        <v>2</v>
      </c>
    </row>
    <row r="1503" spans="1:18">
      <c r="A1503">
        <v>21</v>
      </c>
      <c r="B1503" t="s">
        <v>261</v>
      </c>
      <c r="C1503" s="216">
        <v>45006</v>
      </c>
      <c r="D1503">
        <v>5.4</v>
      </c>
      <c r="E1503" s="116">
        <v>13.1</v>
      </c>
      <c r="F1503" s="101">
        <v>103</v>
      </c>
      <c r="G1503">
        <v>8</v>
      </c>
      <c r="H1503" s="116">
        <v>7.1</v>
      </c>
      <c r="I1503">
        <v>44</v>
      </c>
      <c r="J1503">
        <v>2.2999999999999998</v>
      </c>
      <c r="K1503">
        <v>25</v>
      </c>
      <c r="L1503">
        <v>53</v>
      </c>
      <c r="M1503">
        <v>8200</v>
      </c>
      <c r="N1503">
        <v>18</v>
      </c>
      <c r="O1503">
        <v>9300</v>
      </c>
      <c r="Q1503">
        <f t="shared" si="46"/>
        <v>2023</v>
      </c>
      <c r="R1503">
        <f t="shared" si="47"/>
        <v>3</v>
      </c>
    </row>
    <row r="1504" spans="1:18">
      <c r="A1504">
        <v>21</v>
      </c>
      <c r="B1504" t="s">
        <v>261</v>
      </c>
      <c r="C1504" s="216">
        <v>45034</v>
      </c>
      <c r="D1504">
        <v>9.5</v>
      </c>
      <c r="E1504" s="116">
        <v>14.9</v>
      </c>
      <c r="F1504" s="101">
        <v>127</v>
      </c>
      <c r="G1504">
        <v>8.5</v>
      </c>
      <c r="H1504" s="116">
        <v>1.3</v>
      </c>
      <c r="I1504">
        <v>46.6</v>
      </c>
      <c r="J1504">
        <v>2.5</v>
      </c>
      <c r="K1504">
        <v>10</v>
      </c>
      <c r="L1504">
        <v>25</v>
      </c>
      <c r="M1504">
        <v>4800</v>
      </c>
      <c r="N1504">
        <v>12</v>
      </c>
      <c r="O1504">
        <v>5800</v>
      </c>
      <c r="Q1504">
        <f t="shared" si="46"/>
        <v>2023</v>
      </c>
      <c r="R1504">
        <f t="shared" si="47"/>
        <v>4</v>
      </c>
    </row>
    <row r="1505" spans="1:18">
      <c r="A1505">
        <v>21</v>
      </c>
      <c r="B1505" t="s">
        <v>261</v>
      </c>
      <c r="C1505" s="216">
        <v>45061</v>
      </c>
      <c r="D1505">
        <v>18.2</v>
      </c>
      <c r="E1505" s="116">
        <v>11.3</v>
      </c>
      <c r="F1505" s="101">
        <v>121</v>
      </c>
      <c r="G1505">
        <v>8.3000000000000007</v>
      </c>
      <c r="H1505" s="116">
        <v>1.2</v>
      </c>
      <c r="I1505">
        <v>51.2</v>
      </c>
      <c r="J1505">
        <v>2.4</v>
      </c>
      <c r="K1505">
        <v>7.4</v>
      </c>
      <c r="L1505">
        <v>39</v>
      </c>
      <c r="M1505">
        <v>2200</v>
      </c>
      <c r="N1505">
        <v>23</v>
      </c>
      <c r="O1505">
        <v>3500</v>
      </c>
      <c r="Q1505">
        <f t="shared" si="46"/>
        <v>2023</v>
      </c>
      <c r="R1505">
        <f t="shared" si="47"/>
        <v>5</v>
      </c>
    </row>
    <row r="1506" spans="1:18">
      <c r="A1506">
        <v>21</v>
      </c>
      <c r="B1506" t="s">
        <v>261</v>
      </c>
      <c r="C1506" s="216">
        <v>45096</v>
      </c>
      <c r="D1506">
        <v>18.5</v>
      </c>
      <c r="E1506" s="116">
        <v>8.8000000000000007</v>
      </c>
      <c r="F1506" s="101">
        <v>94</v>
      </c>
      <c r="G1506">
        <v>8</v>
      </c>
      <c r="H1506" s="116">
        <v>1</v>
      </c>
      <c r="I1506">
        <v>59.2</v>
      </c>
      <c r="J1506">
        <v>1.5</v>
      </c>
      <c r="K1506">
        <v>78</v>
      </c>
      <c r="L1506">
        <v>100</v>
      </c>
      <c r="M1506">
        <v>970</v>
      </c>
      <c r="N1506">
        <v>80</v>
      </c>
      <c r="O1506">
        <v>1400</v>
      </c>
      <c r="Q1506">
        <f t="shared" si="46"/>
        <v>2023</v>
      </c>
      <c r="R1506">
        <f t="shared" si="47"/>
        <v>6</v>
      </c>
    </row>
    <row r="1507" spans="1:18">
      <c r="A1507">
        <v>21</v>
      </c>
      <c r="B1507" t="s">
        <v>261</v>
      </c>
      <c r="C1507" s="216">
        <v>45125</v>
      </c>
      <c r="D1507">
        <v>16.7</v>
      </c>
      <c r="E1507" s="116">
        <v>9.1</v>
      </c>
      <c r="F1507" s="101">
        <v>94</v>
      </c>
      <c r="G1507">
        <v>8</v>
      </c>
      <c r="H1507" s="116">
        <v>0.74</v>
      </c>
      <c r="I1507">
        <v>52.8</v>
      </c>
      <c r="J1507">
        <v>1.1000000000000001</v>
      </c>
      <c r="K1507">
        <v>110</v>
      </c>
      <c r="L1507">
        <v>140</v>
      </c>
      <c r="M1507">
        <v>620</v>
      </c>
      <c r="N1507">
        <v>32</v>
      </c>
      <c r="O1507">
        <v>1100</v>
      </c>
      <c r="Q1507">
        <f t="shared" si="46"/>
        <v>2023</v>
      </c>
      <c r="R1507">
        <f t="shared" si="47"/>
        <v>7</v>
      </c>
    </row>
    <row r="1508" spans="1:18">
      <c r="A1508">
        <v>21</v>
      </c>
      <c r="B1508" t="s">
        <v>261</v>
      </c>
      <c r="C1508" s="216">
        <v>45155</v>
      </c>
      <c r="D1508">
        <v>16.899999999999999</v>
      </c>
      <c r="E1508" s="116">
        <v>8.5</v>
      </c>
      <c r="F1508" s="101">
        <v>87</v>
      </c>
      <c r="G1508">
        <v>7.9</v>
      </c>
      <c r="H1508" s="116">
        <v>1.9</v>
      </c>
      <c r="I1508">
        <v>53.5</v>
      </c>
      <c r="J1508">
        <v>1.2</v>
      </c>
      <c r="K1508">
        <v>58</v>
      </c>
      <c r="L1508">
        <v>84</v>
      </c>
      <c r="M1508">
        <v>5800</v>
      </c>
      <c r="N1508">
        <v>21</v>
      </c>
      <c r="O1508">
        <v>6000</v>
      </c>
      <c r="Q1508">
        <f t="shared" si="46"/>
        <v>2023</v>
      </c>
      <c r="R1508">
        <f t="shared" si="47"/>
        <v>8</v>
      </c>
    </row>
    <row r="1509" spans="1:18">
      <c r="A1509">
        <v>21</v>
      </c>
      <c r="B1509" t="s">
        <v>261</v>
      </c>
      <c r="C1509" s="216">
        <v>45187</v>
      </c>
      <c r="D1509">
        <v>16</v>
      </c>
      <c r="E1509" s="116">
        <v>9.4</v>
      </c>
      <c r="F1509" s="101">
        <v>96</v>
      </c>
      <c r="G1509">
        <v>8.1</v>
      </c>
      <c r="H1509" s="116">
        <v>2</v>
      </c>
      <c r="I1509">
        <v>57.6</v>
      </c>
      <c r="J1509">
        <v>0.66</v>
      </c>
      <c r="K1509">
        <v>71</v>
      </c>
      <c r="L1509">
        <v>96</v>
      </c>
      <c r="M1509">
        <v>3700</v>
      </c>
      <c r="N1509">
        <v>15</v>
      </c>
      <c r="O1509">
        <v>4100</v>
      </c>
      <c r="Q1509">
        <f t="shared" si="46"/>
        <v>2023</v>
      </c>
      <c r="R1509">
        <f t="shared" si="47"/>
        <v>9</v>
      </c>
    </row>
    <row r="1510" spans="1:18">
      <c r="A1510">
        <v>21</v>
      </c>
      <c r="B1510" t="s">
        <v>261</v>
      </c>
      <c r="C1510" s="216">
        <v>45210</v>
      </c>
      <c r="D1510">
        <v>12.2</v>
      </c>
      <c r="E1510" s="116">
        <v>9.5</v>
      </c>
      <c r="F1510" s="101">
        <v>90</v>
      </c>
      <c r="G1510">
        <v>8</v>
      </c>
      <c r="H1510" s="116">
        <v>2.4</v>
      </c>
      <c r="I1510">
        <v>56.9</v>
      </c>
      <c r="J1510">
        <v>0.81</v>
      </c>
      <c r="K1510">
        <v>57</v>
      </c>
      <c r="L1510">
        <v>69</v>
      </c>
      <c r="M1510">
        <v>6900</v>
      </c>
      <c r="N1510">
        <v>21</v>
      </c>
      <c r="O1510">
        <v>7100</v>
      </c>
      <c r="Q1510">
        <f t="shared" si="46"/>
        <v>2023</v>
      </c>
      <c r="R1510">
        <f t="shared" si="47"/>
        <v>10</v>
      </c>
    </row>
    <row r="1511" spans="1:18">
      <c r="A1511">
        <v>21</v>
      </c>
      <c r="B1511" t="s">
        <v>261</v>
      </c>
      <c r="C1511" s="216">
        <v>45244</v>
      </c>
      <c r="D1511">
        <v>7.6</v>
      </c>
      <c r="E1511" s="116">
        <v>11.2</v>
      </c>
      <c r="F1511" s="101">
        <v>91</v>
      </c>
      <c r="G1511">
        <v>7.9</v>
      </c>
      <c r="H1511" s="116">
        <v>14</v>
      </c>
      <c r="I1511">
        <v>50.1</v>
      </c>
      <c r="J1511">
        <v>1.6</v>
      </c>
      <c r="K1511">
        <v>44</v>
      </c>
      <c r="L1511">
        <v>89</v>
      </c>
      <c r="M1511">
        <v>8200</v>
      </c>
      <c r="N1511">
        <v>20</v>
      </c>
      <c r="O1511">
        <v>8400</v>
      </c>
      <c r="Q1511">
        <f t="shared" si="46"/>
        <v>2023</v>
      </c>
      <c r="R1511">
        <f t="shared" si="47"/>
        <v>11</v>
      </c>
    </row>
    <row r="1512" spans="1:18">
      <c r="A1512">
        <v>22</v>
      </c>
      <c r="B1512" t="s">
        <v>268</v>
      </c>
      <c r="C1512" s="216">
        <v>44222</v>
      </c>
      <c r="D1512">
        <v>2.6</v>
      </c>
      <c r="E1512" s="116">
        <v>12.8</v>
      </c>
      <c r="F1512" s="101">
        <v>96</v>
      </c>
      <c r="G1512">
        <v>7.9</v>
      </c>
      <c r="H1512" s="116">
        <v>2.2999999999999998</v>
      </c>
      <c r="I1512">
        <v>39.799999999999997</v>
      </c>
      <c r="J1512">
        <v>3</v>
      </c>
      <c r="K1512">
        <v>36</v>
      </c>
      <c r="L1512">
        <v>54</v>
      </c>
      <c r="M1512">
        <v>8200</v>
      </c>
      <c r="N1512">
        <v>61</v>
      </c>
      <c r="O1512">
        <v>8900</v>
      </c>
      <c r="Q1512">
        <f t="shared" si="46"/>
        <v>2021</v>
      </c>
      <c r="R1512">
        <f t="shared" si="47"/>
        <v>1</v>
      </c>
    </row>
    <row r="1513" spans="1:18">
      <c r="A1513">
        <v>22</v>
      </c>
      <c r="B1513" t="s">
        <v>268</v>
      </c>
      <c r="C1513" s="216">
        <v>44284</v>
      </c>
      <c r="D1513">
        <v>6.5</v>
      </c>
      <c r="E1513" s="116">
        <v>12.6</v>
      </c>
      <c r="F1513" s="101">
        <v>103</v>
      </c>
      <c r="G1513">
        <v>8.1</v>
      </c>
      <c r="H1513" s="116">
        <v>1.1000000000000001</v>
      </c>
      <c r="I1513">
        <v>42.3</v>
      </c>
      <c r="J1513">
        <v>2.4</v>
      </c>
      <c r="K1513">
        <v>17</v>
      </c>
      <c r="L1513">
        <v>48</v>
      </c>
      <c r="M1513">
        <v>5300</v>
      </c>
      <c r="N1513">
        <v>94</v>
      </c>
      <c r="O1513">
        <v>6200</v>
      </c>
      <c r="Q1513">
        <f t="shared" si="46"/>
        <v>2021</v>
      </c>
      <c r="R1513">
        <f t="shared" si="47"/>
        <v>3</v>
      </c>
    </row>
    <row r="1514" spans="1:18">
      <c r="A1514">
        <v>22</v>
      </c>
      <c r="B1514" t="s">
        <v>268</v>
      </c>
      <c r="C1514" s="216">
        <v>44344</v>
      </c>
      <c r="D1514">
        <v>11.5</v>
      </c>
      <c r="E1514" s="116">
        <v>11.3</v>
      </c>
      <c r="F1514" s="101">
        <v>104</v>
      </c>
      <c r="G1514">
        <v>8.1</v>
      </c>
      <c r="H1514" s="116">
        <v>2.8</v>
      </c>
      <c r="I1514">
        <v>34.6</v>
      </c>
      <c r="J1514">
        <v>1.9</v>
      </c>
      <c r="K1514">
        <v>51</v>
      </c>
      <c r="L1514">
        <v>93</v>
      </c>
      <c r="M1514">
        <v>2000</v>
      </c>
      <c r="N1514">
        <v>51</v>
      </c>
      <c r="O1514">
        <v>2800</v>
      </c>
      <c r="Q1514">
        <f t="shared" si="46"/>
        <v>2021</v>
      </c>
      <c r="R1514">
        <f t="shared" si="47"/>
        <v>5</v>
      </c>
    </row>
    <row r="1515" spans="1:18">
      <c r="A1515">
        <v>22</v>
      </c>
      <c r="B1515" t="s">
        <v>268</v>
      </c>
      <c r="C1515" s="216">
        <v>44390</v>
      </c>
      <c r="D1515">
        <v>20.5</v>
      </c>
      <c r="E1515" s="116">
        <v>8.4</v>
      </c>
      <c r="F1515" s="101">
        <v>94</v>
      </c>
      <c r="G1515">
        <v>7.9</v>
      </c>
      <c r="H1515" s="116">
        <v>2</v>
      </c>
      <c r="I1515">
        <v>51.2</v>
      </c>
      <c r="J1515">
        <v>3.1</v>
      </c>
      <c r="K1515">
        <v>190</v>
      </c>
      <c r="L1515">
        <v>320</v>
      </c>
      <c r="M1515">
        <v>1500</v>
      </c>
      <c r="N1515">
        <v>440</v>
      </c>
      <c r="O1515">
        <v>2700</v>
      </c>
      <c r="Q1515">
        <f t="shared" ref="Q1515:Q1578" si="48">YEAR(C1515)</f>
        <v>2021</v>
      </c>
      <c r="R1515">
        <f t="shared" ref="R1515:R1578" si="49">MONTH(C1515)</f>
        <v>7</v>
      </c>
    </row>
    <row r="1516" spans="1:18">
      <c r="A1516">
        <v>22</v>
      </c>
      <c r="B1516" t="s">
        <v>268</v>
      </c>
      <c r="C1516" s="216">
        <v>44459</v>
      </c>
      <c r="D1516">
        <v>10.6</v>
      </c>
      <c r="E1516" s="116">
        <v>9.6</v>
      </c>
      <c r="F1516" s="101">
        <v>86</v>
      </c>
      <c r="G1516">
        <v>8</v>
      </c>
      <c r="H1516" s="116">
        <v>0.82</v>
      </c>
      <c r="I1516">
        <v>45.9</v>
      </c>
      <c r="J1516">
        <v>0.9</v>
      </c>
      <c r="K1516">
        <v>86</v>
      </c>
      <c r="L1516">
        <v>110</v>
      </c>
      <c r="M1516">
        <v>2500</v>
      </c>
      <c r="N1516">
        <v>21</v>
      </c>
      <c r="O1516">
        <v>3300</v>
      </c>
      <c r="Q1516">
        <f t="shared" si="48"/>
        <v>2021</v>
      </c>
      <c r="R1516">
        <f t="shared" si="49"/>
        <v>9</v>
      </c>
    </row>
    <row r="1517" spans="1:18">
      <c r="A1517">
        <v>22</v>
      </c>
      <c r="B1517" t="s">
        <v>268</v>
      </c>
      <c r="C1517" s="216">
        <v>44530</v>
      </c>
      <c r="D1517">
        <v>1.8</v>
      </c>
      <c r="E1517" s="116">
        <v>12.5</v>
      </c>
      <c r="F1517" s="101">
        <v>94</v>
      </c>
      <c r="G1517">
        <v>7.6</v>
      </c>
      <c r="H1517" s="116">
        <v>4.5999999999999996</v>
      </c>
      <c r="I1517">
        <v>33.6</v>
      </c>
      <c r="J1517">
        <v>2.2999999999999998</v>
      </c>
      <c r="K1517">
        <v>43</v>
      </c>
      <c r="L1517">
        <v>72</v>
      </c>
      <c r="M1517">
        <v>6200</v>
      </c>
      <c r="N1517">
        <v>72</v>
      </c>
      <c r="O1517">
        <v>6200</v>
      </c>
      <c r="Q1517">
        <f t="shared" si="48"/>
        <v>2021</v>
      </c>
      <c r="R1517">
        <f t="shared" si="49"/>
        <v>11</v>
      </c>
    </row>
    <row r="1518" spans="1:18">
      <c r="A1518">
        <v>22</v>
      </c>
      <c r="B1518" t="s">
        <v>268</v>
      </c>
      <c r="C1518" s="216">
        <v>44550</v>
      </c>
      <c r="D1518">
        <v>2.8</v>
      </c>
      <c r="E1518" s="116">
        <v>13.4</v>
      </c>
      <c r="F1518" s="101">
        <v>99</v>
      </c>
      <c r="G1518">
        <v>7.8</v>
      </c>
      <c r="H1518" s="116">
        <v>2.4</v>
      </c>
      <c r="I1518">
        <v>34.200000000000003</v>
      </c>
      <c r="J1518">
        <v>1.9</v>
      </c>
      <c r="K1518">
        <v>29</v>
      </c>
      <c r="L1518">
        <v>53</v>
      </c>
      <c r="M1518">
        <v>5200</v>
      </c>
      <c r="N1518">
        <v>64</v>
      </c>
      <c r="O1518">
        <v>4900</v>
      </c>
      <c r="Q1518">
        <f t="shared" si="48"/>
        <v>2021</v>
      </c>
      <c r="R1518">
        <f t="shared" si="49"/>
        <v>12</v>
      </c>
    </row>
    <row r="1519" spans="1:18">
      <c r="A1519">
        <v>22</v>
      </c>
      <c r="B1519" t="s">
        <v>268</v>
      </c>
      <c r="C1519" s="216">
        <v>44580</v>
      </c>
      <c r="D1519">
        <v>2.7</v>
      </c>
      <c r="E1519" s="116">
        <v>13.3</v>
      </c>
      <c r="F1519" s="101">
        <v>98</v>
      </c>
      <c r="G1519">
        <v>8</v>
      </c>
      <c r="H1519" s="116">
        <v>2.2999999999999998</v>
      </c>
      <c r="I1519">
        <v>41.7</v>
      </c>
      <c r="J1519">
        <v>1.5</v>
      </c>
      <c r="K1519">
        <v>35</v>
      </c>
      <c r="L1519">
        <v>54</v>
      </c>
      <c r="M1519">
        <v>5300</v>
      </c>
      <c r="N1519">
        <v>43</v>
      </c>
      <c r="O1519">
        <v>6000</v>
      </c>
      <c r="Q1519">
        <f t="shared" si="48"/>
        <v>2022</v>
      </c>
      <c r="R1519">
        <f t="shared" si="49"/>
        <v>1</v>
      </c>
    </row>
    <row r="1520" spans="1:18">
      <c r="A1520">
        <v>22</v>
      </c>
      <c r="B1520" t="s">
        <v>268</v>
      </c>
      <c r="C1520" s="216">
        <v>44607</v>
      </c>
      <c r="D1520">
        <v>4.2</v>
      </c>
      <c r="E1520" s="116">
        <v>12.8</v>
      </c>
      <c r="F1520" s="101">
        <v>100</v>
      </c>
      <c r="G1520">
        <v>8</v>
      </c>
      <c r="H1520" s="116">
        <v>1.9</v>
      </c>
      <c r="I1520">
        <v>39.799999999999997</v>
      </c>
      <c r="J1520">
        <v>1.7</v>
      </c>
      <c r="K1520">
        <v>36</v>
      </c>
      <c r="L1520">
        <v>51</v>
      </c>
      <c r="M1520">
        <v>5400</v>
      </c>
      <c r="N1520">
        <v>67</v>
      </c>
      <c r="O1520">
        <v>5500</v>
      </c>
      <c r="Q1520">
        <f t="shared" si="48"/>
        <v>2022</v>
      </c>
      <c r="R1520">
        <f t="shared" si="49"/>
        <v>2</v>
      </c>
    </row>
    <row r="1521" spans="1:18">
      <c r="A1521">
        <v>22</v>
      </c>
      <c r="B1521" t="s">
        <v>268</v>
      </c>
      <c r="C1521" s="216">
        <v>44637</v>
      </c>
      <c r="D1521">
        <v>5</v>
      </c>
      <c r="E1521" s="116">
        <v>12.9</v>
      </c>
      <c r="F1521" s="101">
        <v>100</v>
      </c>
      <c r="G1521">
        <v>8.1999999999999993</v>
      </c>
      <c r="H1521" s="116">
        <v>2.7</v>
      </c>
      <c r="I1521">
        <v>39.6</v>
      </c>
      <c r="J1521">
        <v>1.9</v>
      </c>
      <c r="K1521">
        <v>34</v>
      </c>
      <c r="L1521">
        <v>57</v>
      </c>
      <c r="M1521">
        <v>3900</v>
      </c>
      <c r="N1521">
        <v>29</v>
      </c>
      <c r="O1521">
        <v>4400</v>
      </c>
      <c r="Q1521">
        <f t="shared" si="48"/>
        <v>2022</v>
      </c>
      <c r="R1521">
        <f t="shared" si="49"/>
        <v>3</v>
      </c>
    </row>
    <row r="1522" spans="1:18">
      <c r="A1522">
        <v>22</v>
      </c>
      <c r="B1522" t="s">
        <v>268</v>
      </c>
      <c r="C1522" s="216">
        <v>44670</v>
      </c>
      <c r="D1522">
        <v>10.8</v>
      </c>
      <c r="E1522" s="116">
        <v>14.5</v>
      </c>
      <c r="F1522" s="101">
        <v>132</v>
      </c>
      <c r="G1522">
        <v>8.6</v>
      </c>
      <c r="H1522" s="116">
        <v>1</v>
      </c>
      <c r="I1522">
        <v>39.9</v>
      </c>
      <c r="J1522">
        <v>1.6</v>
      </c>
      <c r="K1522">
        <v>20</v>
      </c>
      <c r="L1522">
        <v>44</v>
      </c>
      <c r="M1522">
        <v>3600</v>
      </c>
      <c r="N1522">
        <v>21</v>
      </c>
      <c r="O1522">
        <v>4300</v>
      </c>
      <c r="Q1522">
        <f t="shared" si="48"/>
        <v>2022</v>
      </c>
      <c r="R1522">
        <f t="shared" si="49"/>
        <v>4</v>
      </c>
    </row>
    <row r="1523" spans="1:18">
      <c r="A1523">
        <v>22</v>
      </c>
      <c r="B1523" t="s">
        <v>268</v>
      </c>
      <c r="C1523" s="216">
        <v>44698</v>
      </c>
      <c r="D1523">
        <v>12</v>
      </c>
      <c r="E1523" s="116">
        <v>9.6999999999999993</v>
      </c>
      <c r="F1523" s="101">
        <v>90</v>
      </c>
      <c r="G1523">
        <v>8</v>
      </c>
      <c r="H1523" s="116">
        <v>1.6</v>
      </c>
      <c r="I1523">
        <v>43.7</v>
      </c>
      <c r="J1523">
        <v>2.4</v>
      </c>
      <c r="K1523">
        <v>23</v>
      </c>
      <c r="L1523">
        <v>49</v>
      </c>
      <c r="M1523">
        <v>1900</v>
      </c>
      <c r="N1523">
        <v>50</v>
      </c>
      <c r="O1523">
        <v>2500</v>
      </c>
      <c r="Q1523">
        <f t="shared" si="48"/>
        <v>2022</v>
      </c>
      <c r="R1523">
        <f t="shared" si="49"/>
        <v>5</v>
      </c>
    </row>
    <row r="1524" spans="1:18">
      <c r="A1524">
        <v>22</v>
      </c>
      <c r="B1524" t="s">
        <v>268</v>
      </c>
      <c r="C1524" s="216">
        <v>44735</v>
      </c>
      <c r="D1524">
        <v>16</v>
      </c>
      <c r="E1524" s="116">
        <v>9.3000000000000007</v>
      </c>
      <c r="F1524" s="101">
        <v>94</v>
      </c>
      <c r="G1524">
        <v>7.9</v>
      </c>
      <c r="H1524" s="116">
        <v>3.2</v>
      </c>
      <c r="I1524">
        <v>36</v>
      </c>
      <c r="J1524">
        <v>2.2000000000000002</v>
      </c>
      <c r="K1524">
        <v>98</v>
      </c>
      <c r="L1524">
        <v>140</v>
      </c>
      <c r="M1524">
        <v>2300</v>
      </c>
      <c r="N1524">
        <v>170</v>
      </c>
      <c r="O1524">
        <v>3500</v>
      </c>
      <c r="Q1524">
        <f t="shared" si="48"/>
        <v>2022</v>
      </c>
      <c r="R1524">
        <f t="shared" si="49"/>
        <v>6</v>
      </c>
    </row>
    <row r="1525" spans="1:18">
      <c r="A1525">
        <v>22</v>
      </c>
      <c r="B1525" t="s">
        <v>268</v>
      </c>
      <c r="C1525" s="216">
        <v>44761</v>
      </c>
      <c r="D1525">
        <v>18.5</v>
      </c>
      <c r="E1525" s="116">
        <v>8.1</v>
      </c>
      <c r="F1525" s="101">
        <v>86</v>
      </c>
      <c r="G1525">
        <v>7.9</v>
      </c>
      <c r="H1525" s="116">
        <v>5.2</v>
      </c>
      <c r="I1525">
        <v>42.4</v>
      </c>
      <c r="J1525">
        <v>1.7</v>
      </c>
      <c r="K1525">
        <v>95</v>
      </c>
      <c r="L1525">
        <v>160</v>
      </c>
      <c r="M1525">
        <v>1100</v>
      </c>
      <c r="N1525">
        <v>48</v>
      </c>
      <c r="O1525">
        <v>1900</v>
      </c>
      <c r="Q1525">
        <f t="shared" si="48"/>
        <v>2022</v>
      </c>
      <c r="R1525">
        <f t="shared" si="49"/>
        <v>7</v>
      </c>
    </row>
    <row r="1526" spans="1:18">
      <c r="A1526">
        <v>22</v>
      </c>
      <c r="B1526" t="s">
        <v>268</v>
      </c>
      <c r="C1526" s="216">
        <v>44795</v>
      </c>
      <c r="D1526">
        <v>16.600000000000001</v>
      </c>
      <c r="E1526" s="116">
        <v>5.0999999999999996</v>
      </c>
      <c r="F1526" s="101">
        <v>53</v>
      </c>
      <c r="G1526">
        <v>7.5</v>
      </c>
      <c r="H1526" s="116">
        <v>2.7</v>
      </c>
      <c r="I1526">
        <v>54.7</v>
      </c>
      <c r="J1526">
        <v>0.72</v>
      </c>
      <c r="K1526">
        <v>190</v>
      </c>
      <c r="L1526">
        <v>230</v>
      </c>
      <c r="M1526">
        <v>3100</v>
      </c>
      <c r="N1526">
        <v>41</v>
      </c>
      <c r="O1526">
        <v>3600</v>
      </c>
      <c r="Q1526">
        <f t="shared" si="48"/>
        <v>2022</v>
      </c>
      <c r="R1526">
        <f t="shared" si="49"/>
        <v>8</v>
      </c>
    </row>
    <row r="1527" spans="1:18">
      <c r="A1527">
        <v>22</v>
      </c>
      <c r="B1527" t="s">
        <v>268</v>
      </c>
      <c r="C1527" s="216">
        <v>44826</v>
      </c>
      <c r="D1527">
        <v>8.9</v>
      </c>
      <c r="E1527" s="116">
        <v>7.1</v>
      </c>
      <c r="F1527" s="101">
        <v>61</v>
      </c>
      <c r="G1527">
        <v>7.6</v>
      </c>
      <c r="H1527" s="116">
        <v>1.4</v>
      </c>
      <c r="I1527">
        <v>56.3</v>
      </c>
      <c r="J1527">
        <v>0.76</v>
      </c>
      <c r="K1527">
        <v>83</v>
      </c>
      <c r="L1527">
        <v>110</v>
      </c>
      <c r="M1527">
        <v>2000</v>
      </c>
      <c r="N1527">
        <v>25</v>
      </c>
      <c r="O1527">
        <v>2600</v>
      </c>
      <c r="Q1527">
        <f t="shared" si="48"/>
        <v>2022</v>
      </c>
      <c r="R1527">
        <f t="shared" si="49"/>
        <v>9</v>
      </c>
    </row>
    <row r="1528" spans="1:18">
      <c r="A1528">
        <v>22</v>
      </c>
      <c r="B1528" t="s">
        <v>268</v>
      </c>
      <c r="C1528" s="216">
        <v>44858</v>
      </c>
      <c r="D1528">
        <v>11.3</v>
      </c>
      <c r="E1528" s="116">
        <v>7.4</v>
      </c>
      <c r="F1528" s="101">
        <v>69</v>
      </c>
      <c r="G1528">
        <v>7.8</v>
      </c>
      <c r="H1528" s="116">
        <v>1.6</v>
      </c>
      <c r="I1528">
        <v>54.1</v>
      </c>
      <c r="J1528">
        <v>1.3</v>
      </c>
      <c r="K1528">
        <v>51</v>
      </c>
      <c r="L1528">
        <v>110</v>
      </c>
      <c r="M1528">
        <v>950</v>
      </c>
      <c r="N1528" t="s">
        <v>148</v>
      </c>
      <c r="O1528">
        <v>1400</v>
      </c>
      <c r="Q1528">
        <f t="shared" si="48"/>
        <v>2022</v>
      </c>
      <c r="R1528">
        <f t="shared" si="49"/>
        <v>10</v>
      </c>
    </row>
    <row r="1529" spans="1:18">
      <c r="A1529">
        <v>22</v>
      </c>
      <c r="B1529" t="s">
        <v>268</v>
      </c>
      <c r="C1529" s="216">
        <v>44881</v>
      </c>
      <c r="D1529">
        <v>7.8</v>
      </c>
      <c r="E1529" s="116">
        <v>8.4</v>
      </c>
      <c r="F1529" s="101">
        <v>71</v>
      </c>
      <c r="G1529">
        <v>7.8</v>
      </c>
      <c r="H1529" s="116">
        <v>2.2000000000000002</v>
      </c>
      <c r="I1529">
        <v>54.7</v>
      </c>
      <c r="J1529">
        <v>1.4</v>
      </c>
      <c r="K1529">
        <v>81</v>
      </c>
      <c r="L1529">
        <v>150</v>
      </c>
      <c r="M1529">
        <v>1400</v>
      </c>
      <c r="N1529">
        <v>40</v>
      </c>
      <c r="O1529">
        <v>2200</v>
      </c>
      <c r="Q1529">
        <f t="shared" si="48"/>
        <v>2022</v>
      </c>
      <c r="R1529">
        <f t="shared" si="49"/>
        <v>11</v>
      </c>
    </row>
    <row r="1530" spans="1:18">
      <c r="A1530">
        <v>22</v>
      </c>
      <c r="B1530" t="s">
        <v>268</v>
      </c>
      <c r="C1530" s="216">
        <v>44917</v>
      </c>
      <c r="D1530">
        <v>2.5</v>
      </c>
      <c r="E1530" s="116">
        <v>13.2</v>
      </c>
      <c r="F1530" s="101">
        <v>98</v>
      </c>
      <c r="G1530">
        <v>7.8</v>
      </c>
      <c r="H1530" s="116">
        <v>3.1</v>
      </c>
      <c r="I1530">
        <v>45.5</v>
      </c>
      <c r="J1530">
        <v>3.6</v>
      </c>
      <c r="K1530">
        <v>64</v>
      </c>
      <c r="L1530">
        <v>100</v>
      </c>
      <c r="M1530">
        <v>5000</v>
      </c>
      <c r="N1530">
        <v>160</v>
      </c>
      <c r="O1530">
        <v>5700</v>
      </c>
      <c r="Q1530">
        <f t="shared" si="48"/>
        <v>2022</v>
      </c>
      <c r="R1530">
        <f t="shared" si="49"/>
        <v>12</v>
      </c>
    </row>
    <row r="1531" spans="1:18">
      <c r="A1531">
        <v>22</v>
      </c>
      <c r="B1531" t="s">
        <v>268</v>
      </c>
      <c r="C1531" s="216">
        <v>44944</v>
      </c>
      <c r="D1531">
        <v>3.8</v>
      </c>
      <c r="E1531" s="116">
        <v>12.2</v>
      </c>
      <c r="F1531" s="101">
        <v>95</v>
      </c>
      <c r="G1531">
        <v>7.6</v>
      </c>
      <c r="H1531" s="116">
        <v>1.2</v>
      </c>
      <c r="I1531">
        <v>33.5</v>
      </c>
      <c r="J1531">
        <v>1.6</v>
      </c>
      <c r="K1531">
        <v>43</v>
      </c>
      <c r="L1531">
        <v>72</v>
      </c>
      <c r="M1531">
        <v>7000</v>
      </c>
      <c r="N1531">
        <v>81</v>
      </c>
      <c r="O1531">
        <v>7300</v>
      </c>
      <c r="Q1531">
        <f t="shared" si="48"/>
        <v>2023</v>
      </c>
      <c r="R1531">
        <f t="shared" si="49"/>
        <v>1</v>
      </c>
    </row>
    <row r="1532" spans="1:18">
      <c r="A1532">
        <v>22</v>
      </c>
      <c r="B1532" t="s">
        <v>268</v>
      </c>
      <c r="C1532" s="216">
        <v>45006</v>
      </c>
      <c r="D1532">
        <v>4.7</v>
      </c>
      <c r="E1532" s="116">
        <v>13</v>
      </c>
      <c r="F1532" s="101">
        <v>101</v>
      </c>
      <c r="G1532">
        <v>7.8</v>
      </c>
      <c r="H1532" s="116">
        <v>0.9</v>
      </c>
      <c r="I1532">
        <v>38.6</v>
      </c>
      <c r="J1532">
        <v>2</v>
      </c>
      <c r="K1532">
        <v>22</v>
      </c>
      <c r="L1532">
        <v>43</v>
      </c>
      <c r="M1532">
        <v>6700</v>
      </c>
      <c r="N1532">
        <v>21</v>
      </c>
      <c r="O1532">
        <v>7900</v>
      </c>
      <c r="Q1532">
        <f t="shared" si="48"/>
        <v>2023</v>
      </c>
      <c r="R1532">
        <f t="shared" si="49"/>
        <v>3</v>
      </c>
    </row>
    <row r="1533" spans="1:18">
      <c r="A1533">
        <v>22</v>
      </c>
      <c r="B1533" t="s">
        <v>268</v>
      </c>
      <c r="C1533" s="216">
        <v>45061</v>
      </c>
      <c r="D1533">
        <v>17</v>
      </c>
      <c r="E1533" s="116">
        <v>10.7</v>
      </c>
      <c r="F1533" s="101">
        <v>111</v>
      </c>
      <c r="G1533">
        <v>8.1999999999999993</v>
      </c>
      <c r="H1533" s="116">
        <v>1.3</v>
      </c>
      <c r="I1533">
        <v>43.5</v>
      </c>
      <c r="J1533">
        <v>2.2999999999999998</v>
      </c>
      <c r="K1533">
        <v>17</v>
      </c>
      <c r="L1533">
        <v>53</v>
      </c>
      <c r="M1533">
        <v>1700</v>
      </c>
      <c r="N1533">
        <v>52</v>
      </c>
      <c r="O1533">
        <v>2700</v>
      </c>
      <c r="Q1533">
        <f t="shared" si="48"/>
        <v>2023</v>
      </c>
      <c r="R1533">
        <f t="shared" si="49"/>
        <v>5</v>
      </c>
    </row>
    <row r="1534" spans="1:18">
      <c r="A1534">
        <v>22</v>
      </c>
      <c r="B1534" t="s">
        <v>268</v>
      </c>
      <c r="C1534" s="216">
        <v>45125</v>
      </c>
      <c r="D1534">
        <v>15.7</v>
      </c>
      <c r="E1534" s="116">
        <v>4.5999999999999996</v>
      </c>
      <c r="F1534" s="101">
        <v>47</v>
      </c>
      <c r="G1534">
        <v>7.7</v>
      </c>
      <c r="H1534" s="116">
        <v>1.1000000000000001</v>
      </c>
      <c r="I1534">
        <v>42.5</v>
      </c>
      <c r="J1534">
        <v>2</v>
      </c>
      <c r="K1534">
        <v>130</v>
      </c>
      <c r="L1534">
        <v>160</v>
      </c>
      <c r="M1534">
        <v>800</v>
      </c>
      <c r="N1534">
        <v>92</v>
      </c>
      <c r="O1534">
        <v>1900</v>
      </c>
      <c r="Q1534">
        <f t="shared" si="48"/>
        <v>2023</v>
      </c>
      <c r="R1534">
        <f t="shared" si="49"/>
        <v>7</v>
      </c>
    </row>
    <row r="1535" spans="1:18">
      <c r="A1535">
        <v>22</v>
      </c>
      <c r="B1535" t="s">
        <v>268</v>
      </c>
      <c r="C1535" s="216">
        <v>45187</v>
      </c>
      <c r="D1535">
        <v>16.7</v>
      </c>
      <c r="E1535" s="116">
        <v>8.8000000000000007</v>
      </c>
      <c r="F1535" s="101">
        <v>92</v>
      </c>
      <c r="G1535">
        <v>8.1</v>
      </c>
      <c r="H1535" s="116">
        <v>0.67</v>
      </c>
      <c r="I1535">
        <v>50.5</v>
      </c>
      <c r="J1535">
        <v>0.83</v>
      </c>
      <c r="K1535">
        <v>62</v>
      </c>
      <c r="L1535">
        <v>83</v>
      </c>
      <c r="M1535">
        <v>2900</v>
      </c>
      <c r="N1535">
        <v>20</v>
      </c>
      <c r="O1535">
        <v>3400</v>
      </c>
      <c r="Q1535">
        <f t="shared" si="48"/>
        <v>2023</v>
      </c>
      <c r="R1535">
        <f t="shared" si="49"/>
        <v>9</v>
      </c>
    </row>
    <row r="1536" spans="1:18">
      <c r="A1536">
        <v>22</v>
      </c>
      <c r="B1536" t="s">
        <v>268</v>
      </c>
      <c r="C1536" s="216">
        <v>45244</v>
      </c>
      <c r="D1536">
        <v>7.5</v>
      </c>
      <c r="E1536" s="116">
        <v>11</v>
      </c>
      <c r="F1536" s="101">
        <v>94</v>
      </c>
      <c r="G1536">
        <v>7.8</v>
      </c>
      <c r="H1536" s="116">
        <v>1.7</v>
      </c>
      <c r="I1536">
        <v>41.6</v>
      </c>
      <c r="J1536">
        <v>1.5</v>
      </c>
      <c r="K1536">
        <v>32</v>
      </c>
      <c r="L1536">
        <v>50</v>
      </c>
      <c r="M1536">
        <v>6600</v>
      </c>
      <c r="N1536">
        <v>20</v>
      </c>
      <c r="O1536">
        <v>6900</v>
      </c>
      <c r="Q1536">
        <f t="shared" si="48"/>
        <v>2023</v>
      </c>
      <c r="R1536">
        <f t="shared" si="49"/>
        <v>11</v>
      </c>
    </row>
    <row r="1537" spans="1:18">
      <c r="A1537">
        <v>23</v>
      </c>
      <c r="B1537" t="s">
        <v>297</v>
      </c>
      <c r="C1537" s="216">
        <v>44223</v>
      </c>
      <c r="D1537">
        <v>2.8</v>
      </c>
      <c r="E1537" s="116">
        <v>12.7</v>
      </c>
      <c r="F1537" s="101">
        <v>95</v>
      </c>
      <c r="G1537">
        <v>7.9</v>
      </c>
      <c r="H1537" s="116">
        <v>6.9</v>
      </c>
      <c r="I1537">
        <v>64.400000000000006</v>
      </c>
      <c r="J1537">
        <v>0.9</v>
      </c>
      <c r="K1537">
        <v>21</v>
      </c>
      <c r="L1537">
        <v>50</v>
      </c>
      <c r="M1537">
        <v>7800</v>
      </c>
      <c r="N1537">
        <v>65</v>
      </c>
      <c r="O1537">
        <v>8000</v>
      </c>
      <c r="Q1537">
        <f t="shared" si="48"/>
        <v>2021</v>
      </c>
      <c r="R1537">
        <f t="shared" si="49"/>
        <v>1</v>
      </c>
    </row>
    <row r="1538" spans="1:18">
      <c r="A1538">
        <v>23</v>
      </c>
      <c r="B1538" t="s">
        <v>297</v>
      </c>
      <c r="C1538" s="216">
        <v>44284</v>
      </c>
      <c r="D1538">
        <v>7.5</v>
      </c>
      <c r="E1538" s="116">
        <v>13.2</v>
      </c>
      <c r="F1538" s="101">
        <v>110</v>
      </c>
      <c r="G1538">
        <v>8.1999999999999993</v>
      </c>
      <c r="H1538" s="116">
        <v>3.1</v>
      </c>
      <c r="I1538">
        <v>58.1</v>
      </c>
      <c r="J1538">
        <v>2</v>
      </c>
      <c r="K1538">
        <v>11</v>
      </c>
      <c r="L1538">
        <v>32</v>
      </c>
      <c r="M1538">
        <v>4700</v>
      </c>
      <c r="N1538">
        <v>21</v>
      </c>
      <c r="O1538">
        <v>5800</v>
      </c>
      <c r="Q1538">
        <f t="shared" si="48"/>
        <v>2021</v>
      </c>
      <c r="R1538">
        <f t="shared" si="49"/>
        <v>3</v>
      </c>
    </row>
    <row r="1539" spans="1:18">
      <c r="A1539">
        <v>23</v>
      </c>
      <c r="B1539" t="s">
        <v>297</v>
      </c>
      <c r="C1539" s="216">
        <v>44344</v>
      </c>
      <c r="D1539">
        <v>13.6</v>
      </c>
      <c r="E1539" s="116">
        <v>10.3</v>
      </c>
      <c r="F1539" s="101">
        <v>99</v>
      </c>
      <c r="G1539">
        <v>8.1</v>
      </c>
      <c r="H1539" s="116">
        <v>3.7</v>
      </c>
      <c r="I1539">
        <v>66.2</v>
      </c>
      <c r="J1539">
        <v>3.4</v>
      </c>
      <c r="K1539">
        <v>35</v>
      </c>
      <c r="L1539">
        <v>72</v>
      </c>
      <c r="M1539">
        <v>3500</v>
      </c>
      <c r="N1539">
        <v>850</v>
      </c>
      <c r="O1539">
        <v>4900</v>
      </c>
      <c r="Q1539">
        <f t="shared" si="48"/>
        <v>2021</v>
      </c>
      <c r="R1539">
        <f t="shared" si="49"/>
        <v>5</v>
      </c>
    </row>
    <row r="1540" spans="1:18">
      <c r="A1540">
        <v>23</v>
      </c>
      <c r="B1540" t="s">
        <v>297</v>
      </c>
      <c r="C1540" s="216">
        <v>44390</v>
      </c>
      <c r="D1540">
        <v>18.100000000000001</v>
      </c>
      <c r="E1540" s="116">
        <v>7.4</v>
      </c>
      <c r="F1540" s="101">
        <v>78</v>
      </c>
      <c r="G1540">
        <v>7.9</v>
      </c>
      <c r="H1540" s="116">
        <v>2.8</v>
      </c>
      <c r="I1540">
        <v>63.4</v>
      </c>
      <c r="J1540">
        <v>1</v>
      </c>
      <c r="K1540">
        <v>64</v>
      </c>
      <c r="L1540">
        <v>98</v>
      </c>
      <c r="M1540">
        <v>1100</v>
      </c>
      <c r="N1540">
        <v>50</v>
      </c>
      <c r="O1540">
        <v>1400</v>
      </c>
      <c r="Q1540">
        <f t="shared" si="48"/>
        <v>2021</v>
      </c>
      <c r="R1540">
        <f t="shared" si="49"/>
        <v>7</v>
      </c>
    </row>
    <row r="1541" spans="1:18">
      <c r="A1541">
        <v>23</v>
      </c>
      <c r="B1541" t="s">
        <v>297</v>
      </c>
      <c r="C1541" s="216">
        <v>44459</v>
      </c>
      <c r="D1541">
        <v>11.3</v>
      </c>
      <c r="E1541" s="116">
        <v>8.1999999999999993</v>
      </c>
      <c r="F1541" s="101">
        <v>74</v>
      </c>
      <c r="G1541">
        <v>7.7</v>
      </c>
      <c r="H1541" s="116">
        <v>4.3</v>
      </c>
      <c r="I1541">
        <v>78.099999999999994</v>
      </c>
      <c r="J1541">
        <v>1.6</v>
      </c>
      <c r="K1541">
        <v>51</v>
      </c>
      <c r="L1541">
        <v>89</v>
      </c>
      <c r="M1541">
        <v>7100</v>
      </c>
      <c r="N1541">
        <v>220</v>
      </c>
      <c r="O1541">
        <v>7900</v>
      </c>
      <c r="Q1541">
        <f t="shared" si="48"/>
        <v>2021</v>
      </c>
      <c r="R1541">
        <f t="shared" si="49"/>
        <v>9</v>
      </c>
    </row>
    <row r="1542" spans="1:18">
      <c r="A1542">
        <v>23</v>
      </c>
      <c r="B1542" t="s">
        <v>297</v>
      </c>
      <c r="C1542" s="216">
        <v>44530</v>
      </c>
      <c r="D1542">
        <v>3.6</v>
      </c>
      <c r="E1542" s="116">
        <v>12.6</v>
      </c>
      <c r="F1542" s="101">
        <v>98</v>
      </c>
      <c r="G1542">
        <v>7.8</v>
      </c>
      <c r="H1542" s="116">
        <v>12</v>
      </c>
      <c r="I1542">
        <v>71.900000000000006</v>
      </c>
      <c r="J1542">
        <v>2.9</v>
      </c>
      <c r="K1542">
        <v>32</v>
      </c>
      <c r="L1542">
        <v>87</v>
      </c>
      <c r="M1542">
        <v>6500</v>
      </c>
      <c r="N1542">
        <v>87</v>
      </c>
      <c r="O1542">
        <v>6400</v>
      </c>
      <c r="Q1542">
        <f t="shared" si="48"/>
        <v>2021</v>
      </c>
      <c r="R1542">
        <f t="shared" si="49"/>
        <v>11</v>
      </c>
    </row>
    <row r="1543" spans="1:18">
      <c r="A1543">
        <v>23</v>
      </c>
      <c r="B1543" t="s">
        <v>297</v>
      </c>
      <c r="C1543" s="216">
        <v>44580</v>
      </c>
      <c r="D1543">
        <v>3.8</v>
      </c>
      <c r="E1543" s="116">
        <v>12.5</v>
      </c>
      <c r="F1543" s="101">
        <v>95</v>
      </c>
      <c r="G1543">
        <v>7.9</v>
      </c>
      <c r="H1543" s="116">
        <v>4.4000000000000004</v>
      </c>
      <c r="I1543">
        <v>63.7</v>
      </c>
      <c r="J1543">
        <v>1.4</v>
      </c>
      <c r="K1543">
        <v>24</v>
      </c>
      <c r="L1543">
        <v>48</v>
      </c>
      <c r="M1543">
        <v>5800</v>
      </c>
      <c r="N1543">
        <v>100</v>
      </c>
      <c r="O1543">
        <v>6700</v>
      </c>
      <c r="Q1543">
        <f t="shared" si="48"/>
        <v>2022</v>
      </c>
      <c r="R1543">
        <f t="shared" si="49"/>
        <v>1</v>
      </c>
    </row>
    <row r="1544" spans="1:18">
      <c r="A1544">
        <v>23</v>
      </c>
      <c r="B1544" t="s">
        <v>297</v>
      </c>
      <c r="C1544" s="216">
        <v>44637</v>
      </c>
      <c r="D1544">
        <v>4.8</v>
      </c>
      <c r="E1544" s="116">
        <v>12.6</v>
      </c>
      <c r="F1544" s="101">
        <v>96</v>
      </c>
      <c r="G1544">
        <v>7.9</v>
      </c>
      <c r="H1544" s="116">
        <v>5.7</v>
      </c>
      <c r="I1544">
        <v>73.400000000000006</v>
      </c>
      <c r="J1544">
        <v>2.8</v>
      </c>
      <c r="K1544">
        <v>6.8</v>
      </c>
      <c r="L1544">
        <v>37</v>
      </c>
      <c r="M1544">
        <v>3500</v>
      </c>
      <c r="N1544">
        <v>270</v>
      </c>
      <c r="O1544">
        <v>4200</v>
      </c>
      <c r="Q1544">
        <f t="shared" si="48"/>
        <v>2022</v>
      </c>
      <c r="R1544">
        <f t="shared" si="49"/>
        <v>3</v>
      </c>
    </row>
    <row r="1545" spans="1:18">
      <c r="A1545">
        <v>23</v>
      </c>
      <c r="B1545" t="s">
        <v>297</v>
      </c>
      <c r="C1545" s="216">
        <v>44698</v>
      </c>
      <c r="D1545">
        <v>13.9</v>
      </c>
      <c r="E1545" s="116">
        <v>10.3</v>
      </c>
      <c r="F1545" s="101">
        <v>98</v>
      </c>
      <c r="G1545">
        <v>7.9</v>
      </c>
      <c r="H1545" s="116">
        <v>8.5</v>
      </c>
      <c r="I1545">
        <v>64</v>
      </c>
      <c r="J1545">
        <v>1.6</v>
      </c>
      <c r="K1545">
        <v>32</v>
      </c>
      <c r="L1545">
        <v>73</v>
      </c>
      <c r="M1545">
        <v>2100</v>
      </c>
      <c r="N1545">
        <v>59</v>
      </c>
      <c r="O1545">
        <v>2600</v>
      </c>
      <c r="Q1545">
        <f t="shared" si="48"/>
        <v>2022</v>
      </c>
      <c r="R1545">
        <f t="shared" si="49"/>
        <v>5</v>
      </c>
    </row>
    <row r="1546" spans="1:18">
      <c r="A1546">
        <v>23</v>
      </c>
      <c r="B1546" t="s">
        <v>297</v>
      </c>
      <c r="C1546" s="216">
        <v>44761</v>
      </c>
      <c r="D1546">
        <v>16.399999999999999</v>
      </c>
      <c r="E1546" s="116">
        <v>6.8</v>
      </c>
      <c r="F1546" s="101">
        <v>69</v>
      </c>
      <c r="G1546">
        <v>7.5</v>
      </c>
      <c r="H1546" s="116">
        <v>11</v>
      </c>
      <c r="I1546">
        <v>65.400000000000006</v>
      </c>
      <c r="J1546">
        <v>3.5</v>
      </c>
      <c r="K1546">
        <v>29</v>
      </c>
      <c r="L1546">
        <v>95</v>
      </c>
      <c r="M1546">
        <v>4000</v>
      </c>
      <c r="N1546">
        <v>470</v>
      </c>
      <c r="O1546">
        <v>5100</v>
      </c>
      <c r="Q1546">
        <f t="shared" si="48"/>
        <v>2022</v>
      </c>
      <c r="R1546">
        <f t="shared" si="49"/>
        <v>7</v>
      </c>
    </row>
    <row r="1547" spans="1:18">
      <c r="A1547">
        <v>23</v>
      </c>
      <c r="B1547" t="s">
        <v>297</v>
      </c>
      <c r="C1547" s="216">
        <v>44826</v>
      </c>
      <c r="D1547">
        <v>12</v>
      </c>
      <c r="E1547" s="116">
        <v>9.1</v>
      </c>
      <c r="F1547" s="101">
        <v>84</v>
      </c>
      <c r="G1547">
        <v>7.6</v>
      </c>
      <c r="H1547" s="116">
        <v>2.7</v>
      </c>
      <c r="I1547">
        <v>67.7</v>
      </c>
      <c r="J1547">
        <v>1.5</v>
      </c>
      <c r="K1547">
        <v>30</v>
      </c>
      <c r="L1547">
        <v>77</v>
      </c>
      <c r="M1547">
        <v>6000</v>
      </c>
      <c r="N1547">
        <v>120</v>
      </c>
      <c r="O1547">
        <v>7000</v>
      </c>
      <c r="Q1547">
        <f t="shared" si="48"/>
        <v>2022</v>
      </c>
      <c r="R1547">
        <f t="shared" si="49"/>
        <v>9</v>
      </c>
    </row>
    <row r="1548" spans="1:18">
      <c r="A1548">
        <v>23</v>
      </c>
      <c r="B1548" t="s">
        <v>297</v>
      </c>
      <c r="C1548" s="216">
        <v>44881</v>
      </c>
      <c r="D1548">
        <v>8.4</v>
      </c>
      <c r="E1548" s="116">
        <v>8.8000000000000007</v>
      </c>
      <c r="F1548" s="101">
        <v>75</v>
      </c>
      <c r="G1548">
        <v>7.6</v>
      </c>
      <c r="H1548" s="116">
        <v>1.7</v>
      </c>
      <c r="I1548">
        <v>81.400000000000006</v>
      </c>
      <c r="J1548">
        <v>1.2</v>
      </c>
      <c r="K1548">
        <v>29</v>
      </c>
      <c r="L1548">
        <v>52</v>
      </c>
      <c r="M1548">
        <v>2900</v>
      </c>
      <c r="N1548">
        <v>41</v>
      </c>
      <c r="O1548">
        <v>3600</v>
      </c>
      <c r="Q1548">
        <f t="shared" si="48"/>
        <v>2022</v>
      </c>
      <c r="R1548">
        <f t="shared" si="49"/>
        <v>11</v>
      </c>
    </row>
    <row r="1549" spans="1:18">
      <c r="A1549">
        <v>23</v>
      </c>
      <c r="B1549" t="s">
        <v>297</v>
      </c>
      <c r="C1549" s="216">
        <v>44944</v>
      </c>
      <c r="D1549">
        <v>3.9</v>
      </c>
      <c r="E1549" s="116">
        <v>12.6</v>
      </c>
      <c r="F1549" s="101">
        <v>97</v>
      </c>
      <c r="G1549">
        <v>7.8</v>
      </c>
      <c r="H1549" s="116">
        <v>7.2</v>
      </c>
      <c r="I1549">
        <v>56.5</v>
      </c>
      <c r="J1549">
        <v>1.6</v>
      </c>
      <c r="K1549">
        <v>23</v>
      </c>
      <c r="L1549">
        <v>53</v>
      </c>
      <c r="M1549">
        <v>6300</v>
      </c>
      <c r="N1549">
        <v>58</v>
      </c>
      <c r="O1549">
        <v>7200</v>
      </c>
      <c r="Q1549">
        <f t="shared" si="48"/>
        <v>2023</v>
      </c>
      <c r="R1549">
        <f t="shared" si="49"/>
        <v>1</v>
      </c>
    </row>
    <row r="1550" spans="1:18">
      <c r="A1550">
        <v>23</v>
      </c>
      <c r="B1550" t="s">
        <v>297</v>
      </c>
      <c r="C1550" s="216">
        <v>45006</v>
      </c>
      <c r="D1550">
        <v>5.3</v>
      </c>
      <c r="E1550" s="116">
        <v>13.8</v>
      </c>
      <c r="F1550" s="101">
        <v>109</v>
      </c>
      <c r="G1550">
        <v>8.1</v>
      </c>
      <c r="H1550" s="116">
        <v>2.7</v>
      </c>
      <c r="I1550">
        <v>52</v>
      </c>
      <c r="J1550">
        <v>3.1</v>
      </c>
      <c r="K1550">
        <v>5.6</v>
      </c>
      <c r="L1550">
        <v>29</v>
      </c>
      <c r="M1550">
        <v>4700</v>
      </c>
      <c r="N1550">
        <v>150</v>
      </c>
      <c r="O1550">
        <v>5200</v>
      </c>
      <c r="Q1550">
        <f t="shared" si="48"/>
        <v>2023</v>
      </c>
      <c r="R1550">
        <f t="shared" si="49"/>
        <v>3</v>
      </c>
    </row>
    <row r="1551" spans="1:18">
      <c r="A1551">
        <v>23</v>
      </c>
      <c r="B1551" t="s">
        <v>297</v>
      </c>
      <c r="C1551" s="216">
        <v>45061</v>
      </c>
      <c r="D1551">
        <v>16.399999999999999</v>
      </c>
      <c r="E1551" s="116">
        <v>8.8000000000000007</v>
      </c>
      <c r="F1551" s="101">
        <v>90</v>
      </c>
      <c r="G1551">
        <v>7.7</v>
      </c>
      <c r="H1551" s="116">
        <v>6.1</v>
      </c>
      <c r="I1551">
        <v>78.8</v>
      </c>
      <c r="J1551">
        <v>4.4000000000000004</v>
      </c>
      <c r="K1551">
        <v>14</v>
      </c>
      <c r="L1551">
        <v>64</v>
      </c>
      <c r="M1551">
        <v>1100</v>
      </c>
      <c r="N1551">
        <v>770</v>
      </c>
      <c r="O1551">
        <v>2400</v>
      </c>
      <c r="Q1551">
        <f t="shared" si="48"/>
        <v>2023</v>
      </c>
      <c r="R1551">
        <f t="shared" si="49"/>
        <v>5</v>
      </c>
    </row>
    <row r="1552" spans="1:18">
      <c r="A1552">
        <v>23</v>
      </c>
      <c r="B1552" t="s">
        <v>297</v>
      </c>
      <c r="C1552" s="216">
        <v>45125</v>
      </c>
      <c r="D1552">
        <v>16.899999999999999</v>
      </c>
      <c r="E1552" s="116">
        <v>7</v>
      </c>
      <c r="F1552" s="101">
        <v>72</v>
      </c>
      <c r="G1552">
        <v>7.3</v>
      </c>
      <c r="H1552" s="116">
        <v>2.1</v>
      </c>
      <c r="I1552">
        <v>59.2</v>
      </c>
      <c r="J1552">
        <v>2</v>
      </c>
      <c r="K1552">
        <v>28</v>
      </c>
      <c r="L1552">
        <v>55</v>
      </c>
      <c r="M1552">
        <v>6600</v>
      </c>
      <c r="N1552">
        <v>350</v>
      </c>
      <c r="O1552">
        <v>7400</v>
      </c>
      <c r="Q1552">
        <f t="shared" si="48"/>
        <v>2023</v>
      </c>
      <c r="R1552">
        <f t="shared" si="49"/>
        <v>7</v>
      </c>
    </row>
    <row r="1553" spans="1:18">
      <c r="A1553">
        <v>23</v>
      </c>
      <c r="B1553" t="s">
        <v>297</v>
      </c>
      <c r="C1553" s="216">
        <v>45187</v>
      </c>
      <c r="D1553">
        <v>17.600000000000001</v>
      </c>
      <c r="E1553" s="116">
        <v>6.4</v>
      </c>
      <c r="F1553" s="101">
        <v>70</v>
      </c>
      <c r="G1553">
        <v>7.7</v>
      </c>
      <c r="H1553" s="116">
        <v>2.6</v>
      </c>
      <c r="I1553">
        <v>68.7</v>
      </c>
      <c r="J1553">
        <v>1.5</v>
      </c>
      <c r="K1553">
        <v>33</v>
      </c>
      <c r="L1553">
        <v>65</v>
      </c>
      <c r="M1553">
        <v>6500</v>
      </c>
      <c r="N1553">
        <v>250</v>
      </c>
      <c r="O1553">
        <v>6800</v>
      </c>
      <c r="Q1553">
        <f t="shared" si="48"/>
        <v>2023</v>
      </c>
      <c r="R1553">
        <f t="shared" si="49"/>
        <v>9</v>
      </c>
    </row>
    <row r="1554" spans="1:18">
      <c r="A1554">
        <v>23</v>
      </c>
      <c r="B1554" t="s">
        <v>297</v>
      </c>
      <c r="C1554" s="216">
        <v>45244</v>
      </c>
      <c r="D1554">
        <v>7.7</v>
      </c>
      <c r="E1554" s="116">
        <v>11.1</v>
      </c>
      <c r="F1554" s="101">
        <v>95</v>
      </c>
      <c r="G1554">
        <v>7.8</v>
      </c>
      <c r="H1554" s="116">
        <v>6.6</v>
      </c>
      <c r="I1554">
        <v>53.6</v>
      </c>
      <c r="J1554">
        <v>1.9</v>
      </c>
      <c r="K1554">
        <v>21</v>
      </c>
      <c r="L1554">
        <v>49</v>
      </c>
      <c r="M1554">
        <v>5600</v>
      </c>
      <c r="N1554">
        <v>99</v>
      </c>
      <c r="O1554">
        <v>6000</v>
      </c>
      <c r="Q1554">
        <f t="shared" si="48"/>
        <v>2023</v>
      </c>
      <c r="R1554">
        <f t="shared" si="49"/>
        <v>11</v>
      </c>
    </row>
    <row r="1555" spans="1:18">
      <c r="A1555">
        <v>24</v>
      </c>
      <c r="B1555" t="s">
        <v>269</v>
      </c>
      <c r="C1555" s="216">
        <v>44223</v>
      </c>
      <c r="D1555">
        <v>2.8</v>
      </c>
      <c r="E1555" s="116">
        <v>13.2</v>
      </c>
      <c r="F1555" s="101">
        <v>98</v>
      </c>
      <c r="G1555">
        <v>8</v>
      </c>
      <c r="H1555" s="116">
        <v>11</v>
      </c>
      <c r="I1555">
        <v>68.5</v>
      </c>
      <c r="J1555">
        <v>1.2</v>
      </c>
      <c r="K1555">
        <v>20</v>
      </c>
      <c r="L1555">
        <v>53</v>
      </c>
      <c r="M1555">
        <v>7500</v>
      </c>
      <c r="N1555">
        <v>55</v>
      </c>
      <c r="O1555">
        <v>7500</v>
      </c>
      <c r="Q1555">
        <f t="shared" si="48"/>
        <v>2021</v>
      </c>
      <c r="R1555">
        <f t="shared" si="49"/>
        <v>1</v>
      </c>
    </row>
    <row r="1556" spans="1:18">
      <c r="A1556">
        <v>24</v>
      </c>
      <c r="B1556" t="s">
        <v>269</v>
      </c>
      <c r="C1556" s="216">
        <v>44284</v>
      </c>
      <c r="D1556">
        <v>7.3</v>
      </c>
      <c r="E1556" s="116">
        <v>12.8</v>
      </c>
      <c r="F1556" s="101">
        <v>105</v>
      </c>
      <c r="G1556">
        <v>8.3000000000000007</v>
      </c>
      <c r="H1556" s="116">
        <v>2.6</v>
      </c>
      <c r="I1556">
        <v>57.8</v>
      </c>
      <c r="J1556">
        <v>1.8</v>
      </c>
      <c r="K1556">
        <v>8</v>
      </c>
      <c r="L1556">
        <v>26</v>
      </c>
      <c r="M1556">
        <v>3900</v>
      </c>
      <c r="N1556">
        <v>32</v>
      </c>
      <c r="O1556">
        <v>4800</v>
      </c>
      <c r="Q1556">
        <f t="shared" si="48"/>
        <v>2021</v>
      </c>
      <c r="R1556">
        <f t="shared" si="49"/>
        <v>3</v>
      </c>
    </row>
    <row r="1557" spans="1:18">
      <c r="A1557">
        <v>24</v>
      </c>
      <c r="B1557" t="s">
        <v>269</v>
      </c>
      <c r="C1557" s="216">
        <v>44344</v>
      </c>
      <c r="D1557">
        <v>12.6</v>
      </c>
      <c r="E1557" s="116">
        <v>9.9</v>
      </c>
      <c r="F1557" s="101">
        <v>92</v>
      </c>
      <c r="G1557">
        <v>8.1</v>
      </c>
      <c r="H1557" s="116">
        <v>2.2000000000000002</v>
      </c>
      <c r="I1557">
        <v>63.6</v>
      </c>
      <c r="J1557">
        <v>1.6</v>
      </c>
      <c r="K1557">
        <v>29</v>
      </c>
      <c r="L1557">
        <v>60</v>
      </c>
      <c r="M1557">
        <v>1100</v>
      </c>
      <c r="N1557">
        <v>38</v>
      </c>
      <c r="O1557">
        <v>1800</v>
      </c>
      <c r="Q1557">
        <f t="shared" si="48"/>
        <v>2021</v>
      </c>
      <c r="R1557">
        <f t="shared" si="49"/>
        <v>5</v>
      </c>
    </row>
    <row r="1558" spans="1:18">
      <c r="A1558">
        <v>24</v>
      </c>
      <c r="B1558" t="s">
        <v>269</v>
      </c>
      <c r="C1558" s="216">
        <v>44390</v>
      </c>
      <c r="D1558">
        <v>18.5</v>
      </c>
      <c r="E1558" s="116">
        <v>6.2</v>
      </c>
      <c r="F1558" s="101">
        <v>66</v>
      </c>
      <c r="G1558">
        <v>7.7</v>
      </c>
      <c r="H1558" s="116">
        <v>5.4</v>
      </c>
      <c r="I1558">
        <v>61.6</v>
      </c>
      <c r="J1558">
        <v>4.5</v>
      </c>
      <c r="K1558">
        <v>74</v>
      </c>
      <c r="L1558">
        <v>110</v>
      </c>
      <c r="M1558">
        <v>4300</v>
      </c>
      <c r="N1558">
        <v>860</v>
      </c>
      <c r="O1558">
        <v>5400</v>
      </c>
      <c r="Q1558">
        <f t="shared" si="48"/>
        <v>2021</v>
      </c>
      <c r="R1558">
        <f t="shared" si="49"/>
        <v>7</v>
      </c>
    </row>
    <row r="1559" spans="1:18">
      <c r="A1559">
        <v>24</v>
      </c>
      <c r="B1559" t="s">
        <v>269</v>
      </c>
      <c r="C1559" s="216">
        <v>44459</v>
      </c>
      <c r="D1559">
        <v>10.8</v>
      </c>
      <c r="E1559" s="116">
        <v>8.8000000000000007</v>
      </c>
      <c r="F1559" s="101">
        <v>87</v>
      </c>
      <c r="G1559">
        <v>7.8</v>
      </c>
      <c r="H1559" s="116">
        <v>2.8</v>
      </c>
      <c r="I1559">
        <v>26.4</v>
      </c>
      <c r="J1559">
        <v>0.84</v>
      </c>
      <c r="K1559">
        <v>65</v>
      </c>
      <c r="L1559">
        <v>85</v>
      </c>
      <c r="M1559">
        <v>1000</v>
      </c>
      <c r="N1559">
        <v>36</v>
      </c>
      <c r="O1559">
        <v>1300</v>
      </c>
      <c r="Q1559">
        <f t="shared" si="48"/>
        <v>2021</v>
      </c>
      <c r="R1559">
        <f t="shared" si="49"/>
        <v>9</v>
      </c>
    </row>
    <row r="1560" spans="1:18">
      <c r="A1560">
        <v>24</v>
      </c>
      <c r="B1560" t="s">
        <v>269</v>
      </c>
      <c r="C1560" s="216">
        <v>44530</v>
      </c>
      <c r="D1560">
        <v>3.7</v>
      </c>
      <c r="E1560" s="116">
        <v>12.7</v>
      </c>
      <c r="F1560" s="101">
        <v>99</v>
      </c>
      <c r="G1560">
        <v>7.9</v>
      </c>
      <c r="H1560" s="116">
        <v>16</v>
      </c>
      <c r="I1560">
        <v>62</v>
      </c>
      <c r="J1560">
        <v>2.2000000000000002</v>
      </c>
      <c r="K1560">
        <v>24</v>
      </c>
      <c r="L1560">
        <v>61</v>
      </c>
      <c r="M1560">
        <v>6300</v>
      </c>
      <c r="N1560">
        <v>65</v>
      </c>
      <c r="O1560">
        <v>6600</v>
      </c>
      <c r="Q1560">
        <f t="shared" si="48"/>
        <v>2021</v>
      </c>
      <c r="R1560">
        <f t="shared" si="49"/>
        <v>11</v>
      </c>
    </row>
    <row r="1561" spans="1:18">
      <c r="A1561">
        <v>24</v>
      </c>
      <c r="B1561" t="s">
        <v>269</v>
      </c>
      <c r="C1561" s="216">
        <v>44550</v>
      </c>
      <c r="D1561">
        <v>3.3</v>
      </c>
      <c r="E1561" s="116">
        <v>13.4</v>
      </c>
      <c r="F1561" s="101">
        <v>99</v>
      </c>
      <c r="G1561">
        <v>8</v>
      </c>
      <c r="H1561" s="116">
        <v>2.4</v>
      </c>
      <c r="I1561">
        <v>62.2</v>
      </c>
      <c r="J1561">
        <v>1.8</v>
      </c>
      <c r="K1561">
        <v>15</v>
      </c>
      <c r="L1561">
        <v>47</v>
      </c>
      <c r="M1561">
        <v>7300</v>
      </c>
      <c r="N1561">
        <v>79</v>
      </c>
      <c r="O1561">
        <v>6800</v>
      </c>
      <c r="Q1561">
        <f t="shared" si="48"/>
        <v>2021</v>
      </c>
      <c r="R1561">
        <f t="shared" si="49"/>
        <v>12</v>
      </c>
    </row>
    <row r="1562" spans="1:18">
      <c r="A1562">
        <v>24</v>
      </c>
      <c r="B1562" t="s">
        <v>269</v>
      </c>
      <c r="C1562" s="216">
        <v>44580</v>
      </c>
      <c r="D1562">
        <v>2.8</v>
      </c>
      <c r="E1562" s="116">
        <v>13</v>
      </c>
      <c r="F1562" s="101">
        <v>98</v>
      </c>
      <c r="G1562">
        <v>8.1</v>
      </c>
      <c r="H1562" s="116">
        <v>7.4</v>
      </c>
      <c r="I1562">
        <v>62.1</v>
      </c>
      <c r="J1562">
        <v>1.8</v>
      </c>
      <c r="K1562">
        <v>21</v>
      </c>
      <c r="L1562">
        <v>46</v>
      </c>
      <c r="M1562">
        <v>5500</v>
      </c>
      <c r="N1562">
        <v>75</v>
      </c>
      <c r="O1562">
        <v>6400</v>
      </c>
      <c r="Q1562">
        <f t="shared" si="48"/>
        <v>2022</v>
      </c>
      <c r="R1562">
        <f t="shared" si="49"/>
        <v>1</v>
      </c>
    </row>
    <row r="1563" spans="1:18">
      <c r="A1563">
        <v>24</v>
      </c>
      <c r="B1563" t="s">
        <v>269</v>
      </c>
      <c r="C1563" s="216">
        <v>44637</v>
      </c>
      <c r="D1563">
        <v>4.5999999999999996</v>
      </c>
      <c r="E1563" s="116">
        <v>13.8</v>
      </c>
      <c r="F1563" s="101">
        <v>105</v>
      </c>
      <c r="G1563">
        <v>8.1999999999999993</v>
      </c>
      <c r="H1563" s="116">
        <v>2.9</v>
      </c>
      <c r="I1563">
        <v>72.599999999999994</v>
      </c>
      <c r="J1563">
        <v>1.7</v>
      </c>
      <c r="K1563">
        <v>11</v>
      </c>
      <c r="L1563">
        <v>24</v>
      </c>
      <c r="M1563">
        <v>2400</v>
      </c>
      <c r="N1563">
        <v>30</v>
      </c>
      <c r="O1563">
        <v>3200</v>
      </c>
      <c r="Q1563">
        <f t="shared" si="48"/>
        <v>2022</v>
      </c>
      <c r="R1563">
        <f t="shared" si="49"/>
        <v>3</v>
      </c>
    </row>
    <row r="1564" spans="1:18">
      <c r="A1564">
        <v>24</v>
      </c>
      <c r="B1564" t="s">
        <v>269</v>
      </c>
      <c r="C1564" s="216">
        <v>44698</v>
      </c>
      <c r="D1564">
        <v>15.3</v>
      </c>
      <c r="E1564" s="116">
        <v>11.8</v>
      </c>
      <c r="F1564" s="101">
        <v>108</v>
      </c>
      <c r="G1564">
        <v>8.1</v>
      </c>
      <c r="H1564" s="116">
        <v>2.5</v>
      </c>
      <c r="I1564">
        <v>65.3</v>
      </c>
      <c r="J1564">
        <v>1.6</v>
      </c>
      <c r="K1564">
        <v>27</v>
      </c>
      <c r="L1564">
        <v>42</v>
      </c>
      <c r="M1564">
        <v>1800</v>
      </c>
      <c r="N1564">
        <v>29</v>
      </c>
      <c r="O1564">
        <v>2100</v>
      </c>
      <c r="Q1564">
        <f t="shared" si="48"/>
        <v>2022</v>
      </c>
      <c r="R1564">
        <f t="shared" si="49"/>
        <v>5</v>
      </c>
    </row>
    <row r="1565" spans="1:18">
      <c r="A1565">
        <v>24</v>
      </c>
      <c r="B1565" t="s">
        <v>269</v>
      </c>
      <c r="C1565" s="216">
        <v>44761</v>
      </c>
      <c r="D1565">
        <v>15.8</v>
      </c>
      <c r="E1565" s="116">
        <v>7.5</v>
      </c>
      <c r="F1565" s="101">
        <v>75</v>
      </c>
      <c r="G1565">
        <v>7.7</v>
      </c>
      <c r="H1565" s="116">
        <v>3</v>
      </c>
      <c r="I1565">
        <v>61.7</v>
      </c>
      <c r="J1565">
        <v>0.83</v>
      </c>
      <c r="K1565">
        <v>49</v>
      </c>
      <c r="L1565">
        <v>81</v>
      </c>
      <c r="M1565">
        <v>1000</v>
      </c>
      <c r="N1565">
        <v>68</v>
      </c>
      <c r="O1565">
        <v>1600</v>
      </c>
      <c r="Q1565">
        <f t="shared" si="48"/>
        <v>2022</v>
      </c>
      <c r="R1565">
        <f t="shared" si="49"/>
        <v>7</v>
      </c>
    </row>
    <row r="1566" spans="1:18">
      <c r="A1566">
        <v>24</v>
      </c>
      <c r="B1566" t="s">
        <v>269</v>
      </c>
      <c r="C1566" s="216">
        <v>44826</v>
      </c>
      <c r="D1566">
        <v>12.8</v>
      </c>
      <c r="E1566" s="116">
        <v>8.6</v>
      </c>
      <c r="F1566" s="101">
        <v>83</v>
      </c>
      <c r="G1566">
        <v>7.7</v>
      </c>
      <c r="H1566" s="116">
        <v>2.9</v>
      </c>
      <c r="I1566">
        <v>61.2</v>
      </c>
      <c r="J1566">
        <v>0.71</v>
      </c>
      <c r="K1566">
        <v>42</v>
      </c>
      <c r="L1566">
        <v>64</v>
      </c>
      <c r="M1566">
        <v>1000</v>
      </c>
      <c r="N1566">
        <v>38</v>
      </c>
      <c r="O1566">
        <v>1200</v>
      </c>
      <c r="Q1566">
        <f t="shared" si="48"/>
        <v>2022</v>
      </c>
      <c r="R1566">
        <f t="shared" si="49"/>
        <v>9</v>
      </c>
    </row>
    <row r="1567" spans="1:18">
      <c r="A1567">
        <v>24</v>
      </c>
      <c r="B1567" t="s">
        <v>269</v>
      </c>
      <c r="C1567" s="216">
        <v>44881</v>
      </c>
      <c r="D1567">
        <v>8.5</v>
      </c>
      <c r="E1567" s="116">
        <v>8.6999999999999993</v>
      </c>
      <c r="F1567" s="101">
        <v>75</v>
      </c>
      <c r="G1567">
        <v>7.8</v>
      </c>
      <c r="H1567" s="116">
        <v>1.1000000000000001</v>
      </c>
      <c r="I1567">
        <v>81.900000000000006</v>
      </c>
      <c r="J1567">
        <v>1.1000000000000001</v>
      </c>
      <c r="K1567">
        <v>26</v>
      </c>
      <c r="L1567">
        <v>43</v>
      </c>
      <c r="M1567">
        <v>980</v>
      </c>
      <c r="N1567">
        <v>21</v>
      </c>
      <c r="O1567">
        <v>1100</v>
      </c>
      <c r="Q1567">
        <f t="shared" si="48"/>
        <v>2022</v>
      </c>
      <c r="R1567">
        <f t="shared" si="49"/>
        <v>11</v>
      </c>
    </row>
    <row r="1568" spans="1:18">
      <c r="A1568">
        <v>24</v>
      </c>
      <c r="B1568" t="s">
        <v>269</v>
      </c>
      <c r="C1568" s="216">
        <v>44944</v>
      </c>
      <c r="D1568">
        <v>4.2</v>
      </c>
      <c r="E1568" s="116">
        <v>12.8</v>
      </c>
      <c r="F1568" s="101">
        <v>99</v>
      </c>
      <c r="G1568">
        <v>7.9</v>
      </c>
      <c r="H1568" s="116">
        <v>6.1</v>
      </c>
      <c r="I1568">
        <v>55.5</v>
      </c>
      <c r="J1568">
        <v>1.6</v>
      </c>
      <c r="K1568">
        <v>23</v>
      </c>
      <c r="L1568">
        <v>51</v>
      </c>
      <c r="M1568">
        <v>6000</v>
      </c>
      <c r="N1568">
        <v>52</v>
      </c>
      <c r="O1568">
        <v>7100</v>
      </c>
      <c r="Q1568">
        <f t="shared" si="48"/>
        <v>2023</v>
      </c>
      <c r="R1568">
        <f t="shared" si="49"/>
        <v>1</v>
      </c>
    </row>
    <row r="1569" spans="1:18">
      <c r="A1569">
        <v>24</v>
      </c>
      <c r="B1569" t="s">
        <v>269</v>
      </c>
      <c r="C1569" s="216">
        <v>45006</v>
      </c>
      <c r="D1569">
        <v>5.5</v>
      </c>
      <c r="E1569" s="116">
        <v>13.5</v>
      </c>
      <c r="F1569" s="101">
        <v>107</v>
      </c>
      <c r="G1569">
        <v>8.1999999999999993</v>
      </c>
      <c r="H1569" s="116">
        <v>2.6</v>
      </c>
      <c r="I1569">
        <v>50.6</v>
      </c>
      <c r="J1569">
        <v>2.8</v>
      </c>
      <c r="K1569">
        <v>5.9</v>
      </c>
      <c r="L1569">
        <v>26</v>
      </c>
      <c r="M1569">
        <v>4600</v>
      </c>
      <c r="N1569">
        <v>15</v>
      </c>
      <c r="O1569">
        <v>4900</v>
      </c>
      <c r="Q1569">
        <f t="shared" si="48"/>
        <v>2023</v>
      </c>
      <c r="R1569">
        <f t="shared" si="49"/>
        <v>3</v>
      </c>
    </row>
    <row r="1570" spans="1:18">
      <c r="A1570">
        <v>24</v>
      </c>
      <c r="B1570" t="s">
        <v>269</v>
      </c>
      <c r="C1570" s="216">
        <v>45061</v>
      </c>
      <c r="D1570">
        <v>15.8</v>
      </c>
      <c r="E1570" s="116">
        <v>10.4</v>
      </c>
      <c r="F1570" s="101">
        <v>105</v>
      </c>
      <c r="G1570">
        <v>8.1999999999999993</v>
      </c>
      <c r="H1570" s="116">
        <v>1.8</v>
      </c>
      <c r="I1570">
        <v>79.3</v>
      </c>
      <c r="J1570">
        <v>1.2</v>
      </c>
      <c r="K1570">
        <v>16</v>
      </c>
      <c r="L1570">
        <v>33</v>
      </c>
      <c r="M1570">
        <v>1300</v>
      </c>
      <c r="N1570">
        <v>22</v>
      </c>
      <c r="O1570">
        <v>1500</v>
      </c>
      <c r="Q1570">
        <f t="shared" si="48"/>
        <v>2023</v>
      </c>
      <c r="R1570">
        <f t="shared" si="49"/>
        <v>5</v>
      </c>
    </row>
    <row r="1571" spans="1:18">
      <c r="A1571">
        <v>24</v>
      </c>
      <c r="B1571" t="s">
        <v>269</v>
      </c>
      <c r="C1571" s="216">
        <v>45125</v>
      </c>
      <c r="D1571">
        <v>16.3</v>
      </c>
      <c r="E1571" s="116">
        <v>7.4</v>
      </c>
      <c r="F1571" s="101">
        <v>75</v>
      </c>
      <c r="G1571">
        <v>7.7</v>
      </c>
      <c r="H1571" s="116">
        <v>2.4</v>
      </c>
      <c r="I1571">
        <v>54.8</v>
      </c>
      <c r="J1571">
        <v>0.98</v>
      </c>
      <c r="K1571">
        <v>50</v>
      </c>
      <c r="L1571">
        <v>79</v>
      </c>
      <c r="M1571">
        <v>970</v>
      </c>
      <c r="N1571">
        <v>56</v>
      </c>
      <c r="O1571">
        <v>1200</v>
      </c>
      <c r="Q1571">
        <f t="shared" si="48"/>
        <v>2023</v>
      </c>
      <c r="R1571">
        <f t="shared" si="49"/>
        <v>7</v>
      </c>
    </row>
    <row r="1572" spans="1:18">
      <c r="A1572">
        <v>24</v>
      </c>
      <c r="B1572" t="s">
        <v>269</v>
      </c>
      <c r="C1572" s="216">
        <v>45187</v>
      </c>
      <c r="D1572">
        <v>17.3</v>
      </c>
      <c r="E1572" s="116">
        <v>7.9</v>
      </c>
      <c r="F1572" s="101">
        <v>83</v>
      </c>
      <c r="G1572">
        <v>8</v>
      </c>
      <c r="H1572" s="116">
        <v>2.8</v>
      </c>
      <c r="I1572">
        <v>65.599999999999994</v>
      </c>
      <c r="J1572">
        <v>0.86</v>
      </c>
      <c r="K1572">
        <v>37</v>
      </c>
      <c r="L1572">
        <v>73</v>
      </c>
      <c r="M1572">
        <v>2900</v>
      </c>
      <c r="N1572">
        <v>23</v>
      </c>
      <c r="O1572">
        <v>3400</v>
      </c>
      <c r="Q1572">
        <f t="shared" si="48"/>
        <v>2023</v>
      </c>
      <c r="R1572">
        <f t="shared" si="49"/>
        <v>9</v>
      </c>
    </row>
    <row r="1573" spans="1:18">
      <c r="A1573">
        <v>24</v>
      </c>
      <c r="B1573" t="s">
        <v>269</v>
      </c>
      <c r="C1573" s="216">
        <v>45244</v>
      </c>
      <c r="D1573">
        <v>7.7</v>
      </c>
      <c r="E1573" s="116">
        <v>11.1</v>
      </c>
      <c r="F1573" s="101">
        <v>95</v>
      </c>
      <c r="G1573">
        <v>8</v>
      </c>
      <c r="H1573" s="116">
        <v>21</v>
      </c>
      <c r="I1573">
        <v>53.6</v>
      </c>
      <c r="J1573">
        <v>1.6</v>
      </c>
      <c r="K1573">
        <v>21</v>
      </c>
      <c r="L1573">
        <v>59</v>
      </c>
      <c r="M1573">
        <v>5900</v>
      </c>
      <c r="N1573">
        <v>14</v>
      </c>
      <c r="O1573">
        <v>6200</v>
      </c>
      <c r="Q1573">
        <f t="shared" si="48"/>
        <v>2023</v>
      </c>
      <c r="R1573">
        <f t="shared" si="49"/>
        <v>11</v>
      </c>
    </row>
    <row r="1574" spans="1:18">
      <c r="A1574">
        <v>25</v>
      </c>
      <c r="B1574" t="s">
        <v>263</v>
      </c>
      <c r="C1574" s="216">
        <v>44223</v>
      </c>
      <c r="D1574">
        <v>1.2</v>
      </c>
      <c r="E1574" s="116">
        <v>11.7</v>
      </c>
      <c r="F1574" s="101">
        <v>87</v>
      </c>
      <c r="G1574">
        <v>7.7</v>
      </c>
      <c r="H1574" s="116">
        <v>7</v>
      </c>
      <c r="I1574">
        <v>43.6</v>
      </c>
      <c r="J1574">
        <v>2.2000000000000002</v>
      </c>
      <c r="K1574">
        <v>44</v>
      </c>
      <c r="L1574">
        <v>90</v>
      </c>
      <c r="M1574">
        <v>1900</v>
      </c>
      <c r="N1574">
        <v>140</v>
      </c>
      <c r="O1574">
        <v>2700</v>
      </c>
      <c r="Q1574">
        <f t="shared" si="48"/>
        <v>2021</v>
      </c>
      <c r="R1574">
        <f t="shared" si="49"/>
        <v>1</v>
      </c>
    </row>
    <row r="1575" spans="1:18">
      <c r="A1575">
        <v>25</v>
      </c>
      <c r="B1575" t="s">
        <v>263</v>
      </c>
      <c r="C1575" s="216">
        <v>44284</v>
      </c>
      <c r="D1575">
        <v>7.9</v>
      </c>
      <c r="E1575" s="116">
        <v>12.3</v>
      </c>
      <c r="F1575" s="101">
        <v>103</v>
      </c>
      <c r="G1575">
        <v>8</v>
      </c>
      <c r="H1575" s="116">
        <v>7.1</v>
      </c>
      <c r="I1575">
        <v>41.7</v>
      </c>
      <c r="J1575">
        <v>3.2</v>
      </c>
      <c r="K1575">
        <v>7</v>
      </c>
      <c r="L1575">
        <v>56</v>
      </c>
      <c r="M1575">
        <v>920</v>
      </c>
      <c r="N1575" t="s">
        <v>148</v>
      </c>
      <c r="O1575">
        <v>1900</v>
      </c>
      <c r="Q1575">
        <f t="shared" si="48"/>
        <v>2021</v>
      </c>
      <c r="R1575">
        <f t="shared" si="49"/>
        <v>3</v>
      </c>
    </row>
    <row r="1576" spans="1:18">
      <c r="A1576">
        <v>25</v>
      </c>
      <c r="B1576" t="s">
        <v>263</v>
      </c>
      <c r="C1576" s="216">
        <v>44315</v>
      </c>
      <c r="D1576">
        <v>10.1</v>
      </c>
      <c r="E1576" s="116">
        <v>11.9</v>
      </c>
      <c r="F1576" s="101">
        <v>100</v>
      </c>
      <c r="G1576">
        <v>8.3000000000000007</v>
      </c>
      <c r="H1576" s="116">
        <v>16</v>
      </c>
      <c r="I1576">
        <v>41</v>
      </c>
      <c r="J1576">
        <v>6</v>
      </c>
      <c r="K1576">
        <v>10</v>
      </c>
      <c r="L1576">
        <v>98</v>
      </c>
      <c r="M1576">
        <v>350</v>
      </c>
      <c r="N1576" t="s">
        <v>148</v>
      </c>
      <c r="O1576">
        <v>1700</v>
      </c>
      <c r="Q1576">
        <f t="shared" si="48"/>
        <v>2021</v>
      </c>
      <c r="R1576">
        <f t="shared" si="49"/>
        <v>4</v>
      </c>
    </row>
    <row r="1577" spans="1:18">
      <c r="A1577">
        <v>25</v>
      </c>
      <c r="B1577" t="s">
        <v>263</v>
      </c>
      <c r="C1577" s="216">
        <v>44344</v>
      </c>
      <c r="D1577">
        <v>15</v>
      </c>
      <c r="E1577" s="116">
        <v>11.6</v>
      </c>
      <c r="F1577" s="101">
        <v>115</v>
      </c>
      <c r="G1577">
        <v>8.1</v>
      </c>
      <c r="H1577" s="116">
        <v>9</v>
      </c>
      <c r="I1577">
        <v>41.2</v>
      </c>
      <c r="J1577">
        <v>5.4</v>
      </c>
      <c r="K1577">
        <v>8.8000000000000007</v>
      </c>
      <c r="L1577">
        <v>83</v>
      </c>
      <c r="M1577">
        <v>230</v>
      </c>
      <c r="N1577" t="s">
        <v>148</v>
      </c>
      <c r="O1577">
        <v>1300</v>
      </c>
      <c r="Q1577">
        <f t="shared" si="48"/>
        <v>2021</v>
      </c>
      <c r="R1577">
        <f t="shared" si="49"/>
        <v>5</v>
      </c>
    </row>
    <row r="1578" spans="1:18">
      <c r="A1578">
        <v>25</v>
      </c>
      <c r="B1578" t="s">
        <v>263</v>
      </c>
      <c r="C1578" s="216">
        <v>44365</v>
      </c>
      <c r="D1578">
        <v>24</v>
      </c>
      <c r="E1578" s="116">
        <v>8.6999999999999993</v>
      </c>
      <c r="F1578" s="101">
        <v>118</v>
      </c>
      <c r="G1578">
        <v>8.4</v>
      </c>
      <c r="H1578" s="116">
        <v>9.1999999999999993</v>
      </c>
      <c r="I1578">
        <v>41.1</v>
      </c>
      <c r="J1578">
        <v>2.8</v>
      </c>
      <c r="K1578">
        <v>21</v>
      </c>
      <c r="L1578">
        <v>83</v>
      </c>
      <c r="M1578">
        <v>120</v>
      </c>
      <c r="N1578">
        <v>48</v>
      </c>
      <c r="O1578">
        <v>1100</v>
      </c>
      <c r="Q1578">
        <f t="shared" si="48"/>
        <v>2021</v>
      </c>
      <c r="R1578">
        <f t="shared" si="49"/>
        <v>6</v>
      </c>
    </row>
    <row r="1579" spans="1:18">
      <c r="A1579">
        <v>25</v>
      </c>
      <c r="B1579" t="s">
        <v>263</v>
      </c>
      <c r="C1579" s="216">
        <v>44390</v>
      </c>
      <c r="D1579">
        <v>22.1</v>
      </c>
      <c r="E1579" s="116">
        <v>10</v>
      </c>
      <c r="F1579" s="101">
        <v>115</v>
      </c>
      <c r="G1579">
        <v>8.1999999999999993</v>
      </c>
      <c r="H1579" s="116">
        <v>4.4000000000000004</v>
      </c>
      <c r="I1579">
        <v>41.8</v>
      </c>
      <c r="J1579">
        <v>1.5</v>
      </c>
      <c r="K1579">
        <v>23</v>
      </c>
      <c r="L1579">
        <v>60</v>
      </c>
      <c r="M1579">
        <v>100</v>
      </c>
      <c r="N1579">
        <v>26</v>
      </c>
      <c r="O1579">
        <v>830</v>
      </c>
      <c r="Q1579">
        <f t="shared" ref="Q1579:Q1642" si="50">YEAR(C1579)</f>
        <v>2021</v>
      </c>
      <c r="R1579">
        <f t="shared" ref="R1579:R1642" si="51">MONTH(C1579)</f>
        <v>7</v>
      </c>
    </row>
    <row r="1580" spans="1:18">
      <c r="A1580">
        <v>25</v>
      </c>
      <c r="B1580" t="s">
        <v>263</v>
      </c>
      <c r="C1580" s="216">
        <v>44431</v>
      </c>
      <c r="D1580">
        <v>17.600000000000001</v>
      </c>
      <c r="E1580" s="116">
        <v>9.4</v>
      </c>
      <c r="F1580" s="101">
        <v>97</v>
      </c>
      <c r="G1580">
        <v>7.9</v>
      </c>
      <c r="H1580" s="116">
        <v>13</v>
      </c>
      <c r="I1580">
        <v>43.2</v>
      </c>
      <c r="J1580">
        <v>2.7</v>
      </c>
      <c r="K1580">
        <v>20</v>
      </c>
      <c r="L1580">
        <v>22</v>
      </c>
      <c r="M1580">
        <v>100</v>
      </c>
      <c r="N1580">
        <v>99</v>
      </c>
      <c r="O1580">
        <v>1100</v>
      </c>
      <c r="Q1580">
        <f t="shared" si="50"/>
        <v>2021</v>
      </c>
      <c r="R1580">
        <f t="shared" si="51"/>
        <v>8</v>
      </c>
    </row>
    <row r="1581" spans="1:18">
      <c r="A1581">
        <v>25</v>
      </c>
      <c r="B1581" t="s">
        <v>263</v>
      </c>
      <c r="C1581" s="216">
        <v>44459</v>
      </c>
      <c r="D1581">
        <v>14.4</v>
      </c>
      <c r="E1581" s="116">
        <v>12.2</v>
      </c>
      <c r="F1581" s="101">
        <v>119</v>
      </c>
      <c r="G1581">
        <v>8.1999999999999993</v>
      </c>
      <c r="H1581" s="116">
        <v>3</v>
      </c>
      <c r="I1581">
        <v>47.5</v>
      </c>
      <c r="J1581">
        <v>0.98</v>
      </c>
      <c r="K1581">
        <v>24</v>
      </c>
      <c r="L1581">
        <v>39</v>
      </c>
      <c r="M1581">
        <v>200</v>
      </c>
      <c r="N1581">
        <v>25</v>
      </c>
      <c r="O1581">
        <v>830</v>
      </c>
      <c r="Q1581">
        <f t="shared" si="50"/>
        <v>2021</v>
      </c>
      <c r="R1581">
        <f t="shared" si="51"/>
        <v>9</v>
      </c>
    </row>
    <row r="1582" spans="1:18">
      <c r="A1582">
        <v>25</v>
      </c>
      <c r="B1582" t="s">
        <v>263</v>
      </c>
      <c r="C1582" s="216">
        <v>44489</v>
      </c>
      <c r="D1582">
        <v>12</v>
      </c>
      <c r="E1582" s="116">
        <v>8.3000000000000007</v>
      </c>
      <c r="F1582" s="101">
        <v>78</v>
      </c>
      <c r="G1582">
        <v>7.8</v>
      </c>
      <c r="H1582" s="116">
        <v>4.8</v>
      </c>
      <c r="I1582">
        <v>47</v>
      </c>
      <c r="J1582">
        <v>1.3</v>
      </c>
      <c r="K1582">
        <v>19</v>
      </c>
      <c r="L1582">
        <v>46</v>
      </c>
      <c r="M1582">
        <v>730</v>
      </c>
      <c r="N1582">
        <v>66</v>
      </c>
      <c r="O1582">
        <v>1400</v>
      </c>
      <c r="Q1582">
        <f t="shared" si="50"/>
        <v>2021</v>
      </c>
      <c r="R1582">
        <f t="shared" si="51"/>
        <v>10</v>
      </c>
    </row>
    <row r="1583" spans="1:18">
      <c r="A1583">
        <v>25</v>
      </c>
      <c r="B1583" t="s">
        <v>263</v>
      </c>
      <c r="C1583" s="216">
        <v>44530</v>
      </c>
      <c r="D1583">
        <v>1.6</v>
      </c>
      <c r="E1583" s="116">
        <v>11.7</v>
      </c>
      <c r="F1583" s="101">
        <v>86</v>
      </c>
      <c r="G1583">
        <v>7.9</v>
      </c>
      <c r="H1583" s="116">
        <v>8.1999999999999993</v>
      </c>
      <c r="I1583">
        <v>42.9</v>
      </c>
      <c r="J1583">
        <v>1.9</v>
      </c>
      <c r="K1583">
        <v>10</v>
      </c>
      <c r="L1583">
        <v>64</v>
      </c>
      <c r="M1583">
        <v>1300</v>
      </c>
      <c r="N1583">
        <v>100</v>
      </c>
      <c r="O1583">
        <v>2100</v>
      </c>
      <c r="Q1583">
        <f t="shared" si="50"/>
        <v>2021</v>
      </c>
      <c r="R1583">
        <f t="shared" si="51"/>
        <v>11</v>
      </c>
    </row>
    <row r="1584" spans="1:18">
      <c r="A1584">
        <v>25</v>
      </c>
      <c r="B1584" t="s">
        <v>263</v>
      </c>
      <c r="C1584" s="216">
        <v>44550</v>
      </c>
      <c r="D1584">
        <v>1.2</v>
      </c>
      <c r="E1584" s="116">
        <v>11.8</v>
      </c>
      <c r="F1584" s="101">
        <v>83</v>
      </c>
      <c r="G1584">
        <v>7.9</v>
      </c>
      <c r="H1584" s="116">
        <v>1.8</v>
      </c>
      <c r="I1584">
        <v>41.8</v>
      </c>
      <c r="J1584">
        <v>1.2</v>
      </c>
      <c r="K1584">
        <v>18</v>
      </c>
      <c r="L1584">
        <v>35</v>
      </c>
      <c r="M1584">
        <v>1100</v>
      </c>
      <c r="N1584">
        <v>69</v>
      </c>
      <c r="O1584">
        <v>1600</v>
      </c>
      <c r="Q1584">
        <f t="shared" si="50"/>
        <v>2021</v>
      </c>
      <c r="R1584">
        <f t="shared" si="51"/>
        <v>12</v>
      </c>
    </row>
    <row r="1585" spans="1:18">
      <c r="A1585">
        <v>25</v>
      </c>
      <c r="B1585" t="s">
        <v>263</v>
      </c>
      <c r="C1585" s="216">
        <v>44580</v>
      </c>
      <c r="D1585">
        <v>2.1</v>
      </c>
      <c r="E1585" s="116">
        <v>12.4</v>
      </c>
      <c r="F1585" s="101">
        <v>89</v>
      </c>
      <c r="G1585">
        <v>7.9</v>
      </c>
      <c r="H1585" s="116">
        <v>8.1999999999999993</v>
      </c>
      <c r="I1585">
        <v>43.1</v>
      </c>
      <c r="J1585">
        <v>1.5</v>
      </c>
      <c r="K1585">
        <v>27</v>
      </c>
      <c r="L1585">
        <v>58</v>
      </c>
      <c r="M1585">
        <v>1200</v>
      </c>
      <c r="N1585">
        <v>140</v>
      </c>
      <c r="O1585">
        <v>2000</v>
      </c>
      <c r="Q1585">
        <f t="shared" si="50"/>
        <v>2022</v>
      </c>
      <c r="R1585">
        <f t="shared" si="51"/>
        <v>1</v>
      </c>
    </row>
    <row r="1586" spans="1:18">
      <c r="A1586">
        <v>25</v>
      </c>
      <c r="B1586" t="s">
        <v>263</v>
      </c>
      <c r="C1586" s="216">
        <v>44607</v>
      </c>
      <c r="D1586">
        <v>2.9</v>
      </c>
      <c r="E1586" s="116">
        <v>12.1</v>
      </c>
      <c r="F1586" s="101">
        <v>93</v>
      </c>
      <c r="G1586">
        <v>8</v>
      </c>
      <c r="H1586" s="116">
        <v>3</v>
      </c>
      <c r="I1586">
        <v>42.2</v>
      </c>
      <c r="J1586">
        <v>1.6</v>
      </c>
      <c r="K1586">
        <v>16</v>
      </c>
      <c r="L1586">
        <v>40</v>
      </c>
      <c r="M1586">
        <v>1400</v>
      </c>
      <c r="N1586">
        <v>22</v>
      </c>
      <c r="O1586">
        <v>1800</v>
      </c>
      <c r="Q1586">
        <f t="shared" si="50"/>
        <v>2022</v>
      </c>
      <c r="R1586">
        <f t="shared" si="51"/>
        <v>2</v>
      </c>
    </row>
    <row r="1587" spans="1:18">
      <c r="A1587">
        <v>25</v>
      </c>
      <c r="B1587" t="s">
        <v>263</v>
      </c>
      <c r="C1587" s="216">
        <v>44637</v>
      </c>
      <c r="D1587">
        <v>5.4</v>
      </c>
      <c r="E1587" s="116">
        <v>12.9</v>
      </c>
      <c r="F1587" s="101">
        <v>100</v>
      </c>
      <c r="G1587">
        <v>8.1</v>
      </c>
      <c r="H1587" s="116">
        <v>5.5</v>
      </c>
      <c r="I1587">
        <v>38.299999999999997</v>
      </c>
      <c r="J1587">
        <v>3.6</v>
      </c>
      <c r="K1587">
        <v>6.1</v>
      </c>
      <c r="L1587">
        <v>67</v>
      </c>
      <c r="M1587">
        <v>800</v>
      </c>
      <c r="N1587" t="s">
        <v>148</v>
      </c>
      <c r="O1587">
        <v>1800</v>
      </c>
      <c r="Q1587">
        <f t="shared" si="50"/>
        <v>2022</v>
      </c>
      <c r="R1587">
        <f t="shared" si="51"/>
        <v>3</v>
      </c>
    </row>
    <row r="1588" spans="1:18">
      <c r="A1588">
        <v>25</v>
      </c>
      <c r="B1588" t="s">
        <v>263</v>
      </c>
      <c r="C1588" s="216">
        <v>44670</v>
      </c>
      <c r="D1588">
        <v>14</v>
      </c>
      <c r="E1588" s="116">
        <v>12.9</v>
      </c>
      <c r="F1588" s="101">
        <v>124</v>
      </c>
      <c r="G1588">
        <v>8.3000000000000007</v>
      </c>
      <c r="H1588" s="116">
        <v>3.6</v>
      </c>
      <c r="I1588">
        <v>41.3</v>
      </c>
      <c r="J1588">
        <v>2.4</v>
      </c>
      <c r="K1588">
        <v>6.5</v>
      </c>
      <c r="L1588">
        <v>59</v>
      </c>
      <c r="M1588">
        <v>740</v>
      </c>
      <c r="N1588">
        <v>11</v>
      </c>
      <c r="O1588">
        <v>1600</v>
      </c>
      <c r="Q1588">
        <f t="shared" si="50"/>
        <v>2022</v>
      </c>
      <c r="R1588">
        <f t="shared" si="51"/>
        <v>4</v>
      </c>
    </row>
    <row r="1589" spans="1:18">
      <c r="A1589">
        <v>25</v>
      </c>
      <c r="B1589" t="s">
        <v>263</v>
      </c>
      <c r="C1589" s="216">
        <v>44698</v>
      </c>
      <c r="D1589">
        <v>15.1</v>
      </c>
      <c r="E1589" s="116">
        <v>13.3</v>
      </c>
      <c r="F1589" s="101">
        <v>131</v>
      </c>
      <c r="G1589">
        <v>8.4</v>
      </c>
      <c r="H1589" s="116">
        <v>6.7</v>
      </c>
      <c r="I1589">
        <v>42.9</v>
      </c>
      <c r="J1589">
        <v>2.5</v>
      </c>
      <c r="K1589">
        <v>13</v>
      </c>
      <c r="L1589">
        <v>52</v>
      </c>
      <c r="M1589">
        <v>420</v>
      </c>
      <c r="N1589">
        <v>23</v>
      </c>
      <c r="O1589">
        <v>1100</v>
      </c>
      <c r="Q1589">
        <f t="shared" si="50"/>
        <v>2022</v>
      </c>
      <c r="R1589">
        <f t="shared" si="51"/>
        <v>5</v>
      </c>
    </row>
    <row r="1590" spans="1:18">
      <c r="A1590">
        <v>25</v>
      </c>
      <c r="B1590" t="s">
        <v>263</v>
      </c>
      <c r="C1590" s="216">
        <v>44735</v>
      </c>
      <c r="D1590">
        <v>17.7</v>
      </c>
      <c r="E1590" s="116">
        <v>10</v>
      </c>
      <c r="F1590" s="101">
        <v>104</v>
      </c>
      <c r="G1590">
        <v>8</v>
      </c>
      <c r="H1590" s="116">
        <v>3.2</v>
      </c>
      <c r="I1590">
        <v>41.5</v>
      </c>
      <c r="J1590">
        <v>1.6</v>
      </c>
      <c r="K1590">
        <v>28</v>
      </c>
      <c r="L1590">
        <v>54</v>
      </c>
      <c r="M1590">
        <v>530</v>
      </c>
      <c r="N1590">
        <v>28</v>
      </c>
      <c r="O1590">
        <v>1300</v>
      </c>
      <c r="Q1590">
        <f t="shared" si="50"/>
        <v>2022</v>
      </c>
      <c r="R1590">
        <f t="shared" si="51"/>
        <v>6</v>
      </c>
    </row>
    <row r="1591" spans="1:18">
      <c r="A1591">
        <v>25</v>
      </c>
      <c r="B1591" t="s">
        <v>263</v>
      </c>
      <c r="C1591" s="216">
        <v>44761</v>
      </c>
      <c r="D1591">
        <v>19.3</v>
      </c>
      <c r="E1591" s="116">
        <v>11.1</v>
      </c>
      <c r="F1591" s="101">
        <v>120</v>
      </c>
      <c r="G1591">
        <v>8</v>
      </c>
      <c r="H1591" s="116">
        <v>7.8</v>
      </c>
      <c r="I1591">
        <v>41.3</v>
      </c>
      <c r="J1591">
        <v>1.4</v>
      </c>
      <c r="K1591">
        <v>16</v>
      </c>
      <c r="L1591">
        <v>59</v>
      </c>
      <c r="M1591">
        <v>230</v>
      </c>
      <c r="N1591">
        <v>44</v>
      </c>
      <c r="O1591">
        <v>920</v>
      </c>
      <c r="Q1591">
        <f t="shared" si="50"/>
        <v>2022</v>
      </c>
      <c r="R1591">
        <f t="shared" si="51"/>
        <v>7</v>
      </c>
    </row>
    <row r="1592" spans="1:18">
      <c r="A1592">
        <v>25</v>
      </c>
      <c r="B1592" t="s">
        <v>263</v>
      </c>
      <c r="C1592" s="216">
        <v>44795</v>
      </c>
      <c r="D1592">
        <v>18.7</v>
      </c>
      <c r="E1592" s="116">
        <v>7.6</v>
      </c>
      <c r="F1592" s="101">
        <v>81</v>
      </c>
      <c r="G1592">
        <v>7.8</v>
      </c>
      <c r="H1592" s="116">
        <v>19</v>
      </c>
      <c r="I1592">
        <v>46.6</v>
      </c>
      <c r="J1592">
        <v>1.5</v>
      </c>
      <c r="K1592">
        <v>30</v>
      </c>
      <c r="L1592">
        <v>97</v>
      </c>
      <c r="M1592">
        <v>450</v>
      </c>
      <c r="N1592">
        <v>82</v>
      </c>
      <c r="O1592">
        <v>1100</v>
      </c>
      <c r="Q1592">
        <f t="shared" si="50"/>
        <v>2022</v>
      </c>
      <c r="R1592">
        <f t="shared" si="51"/>
        <v>8</v>
      </c>
    </row>
    <row r="1593" spans="1:18">
      <c r="A1593">
        <v>25</v>
      </c>
      <c r="B1593" t="s">
        <v>263</v>
      </c>
      <c r="C1593" s="216">
        <v>44826</v>
      </c>
      <c r="D1593">
        <v>12.5</v>
      </c>
      <c r="E1593" s="116">
        <v>13.1</v>
      </c>
      <c r="F1593" s="101">
        <v>123</v>
      </c>
      <c r="G1593">
        <v>8.1999999999999993</v>
      </c>
      <c r="H1593" s="116">
        <v>3</v>
      </c>
      <c r="I1593">
        <v>48</v>
      </c>
      <c r="J1593">
        <v>1.3</v>
      </c>
      <c r="K1593">
        <v>13</v>
      </c>
      <c r="L1593">
        <v>33</v>
      </c>
      <c r="M1593">
        <v>590</v>
      </c>
      <c r="N1593">
        <v>32</v>
      </c>
      <c r="O1593">
        <v>920</v>
      </c>
      <c r="Q1593">
        <f t="shared" si="50"/>
        <v>2022</v>
      </c>
      <c r="R1593">
        <f t="shared" si="51"/>
        <v>9</v>
      </c>
    </row>
    <row r="1594" spans="1:18">
      <c r="A1594">
        <v>25</v>
      </c>
      <c r="B1594" t="s">
        <v>263</v>
      </c>
      <c r="C1594" s="216">
        <v>44858</v>
      </c>
      <c r="D1594">
        <v>12.4</v>
      </c>
      <c r="E1594" s="116">
        <v>10.4</v>
      </c>
      <c r="F1594" s="101">
        <v>100</v>
      </c>
      <c r="G1594">
        <v>8.1</v>
      </c>
      <c r="H1594" s="116">
        <v>11</v>
      </c>
      <c r="I1594">
        <v>49</v>
      </c>
      <c r="J1594">
        <v>1.7</v>
      </c>
      <c r="K1594">
        <v>3.8</v>
      </c>
      <c r="L1594">
        <v>60</v>
      </c>
      <c r="M1594">
        <v>240</v>
      </c>
      <c r="N1594">
        <v>110</v>
      </c>
      <c r="O1594">
        <v>1100</v>
      </c>
      <c r="Q1594">
        <f t="shared" si="50"/>
        <v>2022</v>
      </c>
      <c r="R1594">
        <f t="shared" si="51"/>
        <v>10</v>
      </c>
    </row>
    <row r="1595" spans="1:18">
      <c r="A1595">
        <v>25</v>
      </c>
      <c r="B1595" t="s">
        <v>263</v>
      </c>
      <c r="C1595" s="216">
        <v>44881</v>
      </c>
      <c r="D1595">
        <v>7.5</v>
      </c>
      <c r="E1595" s="116">
        <v>10.9</v>
      </c>
      <c r="F1595" s="101">
        <v>90</v>
      </c>
      <c r="G1595">
        <v>8</v>
      </c>
      <c r="H1595" s="116">
        <v>43</v>
      </c>
      <c r="I1595">
        <v>48.5</v>
      </c>
      <c r="J1595">
        <v>3.6</v>
      </c>
      <c r="K1595">
        <v>22</v>
      </c>
      <c r="L1595">
        <v>160</v>
      </c>
      <c r="M1595">
        <v>490</v>
      </c>
      <c r="N1595">
        <v>290</v>
      </c>
      <c r="O1595">
        <v>1800</v>
      </c>
      <c r="Q1595">
        <f t="shared" si="50"/>
        <v>2022</v>
      </c>
      <c r="R1595">
        <f t="shared" si="51"/>
        <v>11</v>
      </c>
    </row>
    <row r="1596" spans="1:18">
      <c r="A1596">
        <v>25</v>
      </c>
      <c r="B1596" t="s">
        <v>263</v>
      </c>
      <c r="C1596" s="216">
        <v>44917</v>
      </c>
      <c r="D1596">
        <v>2.8</v>
      </c>
      <c r="E1596" s="116">
        <v>12.3</v>
      </c>
      <c r="F1596" s="101">
        <v>92</v>
      </c>
      <c r="G1596">
        <v>7.9</v>
      </c>
      <c r="H1596" s="116">
        <v>14</v>
      </c>
      <c r="I1596">
        <v>44.4</v>
      </c>
      <c r="J1596">
        <v>3.4</v>
      </c>
      <c r="K1596">
        <v>30</v>
      </c>
      <c r="L1596">
        <v>91</v>
      </c>
      <c r="M1596">
        <v>1200</v>
      </c>
      <c r="N1596">
        <v>210</v>
      </c>
      <c r="O1596">
        <v>2100</v>
      </c>
      <c r="Q1596">
        <f t="shared" si="50"/>
        <v>2022</v>
      </c>
      <c r="R1596">
        <f t="shared" si="51"/>
        <v>12</v>
      </c>
    </row>
    <row r="1597" spans="1:18">
      <c r="A1597">
        <v>25</v>
      </c>
      <c r="B1597" t="s">
        <v>263</v>
      </c>
      <c r="C1597" s="216">
        <v>44944</v>
      </c>
      <c r="D1597">
        <v>2.5</v>
      </c>
      <c r="E1597" s="116">
        <v>11.5</v>
      </c>
      <c r="F1597" s="101">
        <v>85</v>
      </c>
      <c r="G1597">
        <v>7.8</v>
      </c>
      <c r="H1597" s="116">
        <v>2.6</v>
      </c>
      <c r="I1597">
        <v>38.5</v>
      </c>
      <c r="J1597">
        <v>1.6</v>
      </c>
      <c r="K1597">
        <v>24</v>
      </c>
      <c r="L1597">
        <v>47</v>
      </c>
      <c r="M1597">
        <v>1900</v>
      </c>
      <c r="N1597">
        <v>74</v>
      </c>
      <c r="O1597">
        <v>2600</v>
      </c>
      <c r="Q1597">
        <f t="shared" si="50"/>
        <v>2023</v>
      </c>
      <c r="R1597">
        <f t="shared" si="51"/>
        <v>1</v>
      </c>
    </row>
    <row r="1598" spans="1:18">
      <c r="A1598">
        <v>25</v>
      </c>
      <c r="B1598" t="s">
        <v>263</v>
      </c>
      <c r="C1598" s="216">
        <v>44970</v>
      </c>
      <c r="D1598">
        <v>6.4</v>
      </c>
      <c r="E1598" s="116">
        <v>13</v>
      </c>
      <c r="F1598" s="101">
        <v>103</v>
      </c>
      <c r="G1598">
        <v>8</v>
      </c>
      <c r="H1598" s="116">
        <v>5.6</v>
      </c>
      <c r="I1598">
        <v>41.8</v>
      </c>
      <c r="J1598">
        <v>2.2000000000000002</v>
      </c>
      <c r="K1598">
        <v>6.5</v>
      </c>
      <c r="L1598">
        <v>44</v>
      </c>
      <c r="M1598">
        <v>1200</v>
      </c>
      <c r="N1598">
        <v>27</v>
      </c>
      <c r="O1598">
        <v>1800</v>
      </c>
      <c r="Q1598">
        <f t="shared" si="50"/>
        <v>2023</v>
      </c>
      <c r="R1598">
        <f t="shared" si="51"/>
        <v>2</v>
      </c>
    </row>
    <row r="1599" spans="1:18">
      <c r="A1599">
        <v>25</v>
      </c>
      <c r="B1599" t="s">
        <v>263</v>
      </c>
      <c r="C1599" s="216">
        <v>45006</v>
      </c>
      <c r="D1599">
        <v>6.1</v>
      </c>
      <c r="E1599" s="116">
        <v>12.6</v>
      </c>
      <c r="F1599" s="101">
        <v>100</v>
      </c>
      <c r="G1599">
        <v>8</v>
      </c>
      <c r="H1599" s="116">
        <v>3.3</v>
      </c>
      <c r="I1599">
        <v>41</v>
      </c>
      <c r="J1599">
        <v>2.2000000000000002</v>
      </c>
      <c r="K1599">
        <v>7</v>
      </c>
      <c r="L1599">
        <v>30</v>
      </c>
      <c r="M1599">
        <v>1100</v>
      </c>
      <c r="N1599">
        <v>18</v>
      </c>
      <c r="O1599">
        <v>1900</v>
      </c>
      <c r="Q1599">
        <f t="shared" si="50"/>
        <v>2023</v>
      </c>
      <c r="R1599">
        <f t="shared" si="51"/>
        <v>3</v>
      </c>
    </row>
    <row r="1600" spans="1:18">
      <c r="A1600">
        <v>25</v>
      </c>
      <c r="B1600" t="s">
        <v>263</v>
      </c>
      <c r="C1600" s="216">
        <v>45034</v>
      </c>
      <c r="D1600">
        <v>13.7</v>
      </c>
      <c r="E1600" s="116">
        <v>13.3</v>
      </c>
      <c r="F1600" s="101">
        <v>125</v>
      </c>
      <c r="G1600">
        <v>8.3000000000000007</v>
      </c>
      <c r="H1600" s="116">
        <v>5.6</v>
      </c>
      <c r="I1600">
        <v>40.5</v>
      </c>
      <c r="J1600">
        <v>3.2</v>
      </c>
      <c r="K1600">
        <v>6.5</v>
      </c>
      <c r="L1600">
        <v>44</v>
      </c>
      <c r="M1600">
        <v>910</v>
      </c>
      <c r="N1600">
        <v>13</v>
      </c>
      <c r="O1600">
        <v>1800</v>
      </c>
      <c r="Q1600">
        <f t="shared" si="50"/>
        <v>2023</v>
      </c>
      <c r="R1600">
        <f t="shared" si="51"/>
        <v>4</v>
      </c>
    </row>
    <row r="1601" spans="1:18">
      <c r="A1601">
        <v>25</v>
      </c>
      <c r="B1601" t="s">
        <v>263</v>
      </c>
      <c r="C1601" s="216">
        <v>45061</v>
      </c>
      <c r="D1601">
        <v>17</v>
      </c>
      <c r="E1601" s="116">
        <v>13.1</v>
      </c>
      <c r="F1601" s="101">
        <v>136</v>
      </c>
      <c r="G1601">
        <v>8.6</v>
      </c>
      <c r="H1601" s="116">
        <v>4.5</v>
      </c>
      <c r="I1601">
        <v>41.4</v>
      </c>
      <c r="J1601">
        <v>2</v>
      </c>
      <c r="K1601">
        <v>8.6999999999999993</v>
      </c>
      <c r="L1601">
        <v>48</v>
      </c>
      <c r="M1601">
        <v>520</v>
      </c>
      <c r="N1601">
        <v>18</v>
      </c>
      <c r="O1601">
        <v>1700</v>
      </c>
      <c r="Q1601">
        <f t="shared" si="50"/>
        <v>2023</v>
      </c>
      <c r="R1601">
        <f t="shared" si="51"/>
        <v>5</v>
      </c>
    </row>
    <row r="1602" spans="1:18">
      <c r="A1602">
        <v>25</v>
      </c>
      <c r="B1602" t="s">
        <v>263</v>
      </c>
      <c r="C1602" s="216">
        <v>45096</v>
      </c>
      <c r="D1602">
        <v>22.4</v>
      </c>
      <c r="E1602" s="116">
        <v>11.4</v>
      </c>
      <c r="F1602" s="101">
        <v>131</v>
      </c>
      <c r="G1602">
        <v>8.1999999999999993</v>
      </c>
      <c r="H1602" s="116">
        <v>6.9</v>
      </c>
      <c r="I1602">
        <v>42.5</v>
      </c>
      <c r="J1602">
        <v>2.1</v>
      </c>
      <c r="K1602">
        <v>22</v>
      </c>
      <c r="L1602">
        <v>67</v>
      </c>
      <c r="M1602">
        <v>360</v>
      </c>
      <c r="N1602">
        <v>70</v>
      </c>
      <c r="O1602">
        <v>1100</v>
      </c>
      <c r="Q1602">
        <f t="shared" si="50"/>
        <v>2023</v>
      </c>
      <c r="R1602">
        <f t="shared" si="51"/>
        <v>6</v>
      </c>
    </row>
    <row r="1603" spans="1:18">
      <c r="A1603">
        <v>25</v>
      </c>
      <c r="B1603" t="s">
        <v>263</v>
      </c>
      <c r="C1603" s="216">
        <v>45125</v>
      </c>
      <c r="D1603">
        <v>20</v>
      </c>
      <c r="E1603" s="116">
        <v>9.3000000000000007</v>
      </c>
      <c r="F1603" s="101">
        <v>101</v>
      </c>
      <c r="G1603">
        <v>8</v>
      </c>
      <c r="H1603" s="116">
        <v>15</v>
      </c>
      <c r="I1603">
        <v>42.5</v>
      </c>
      <c r="J1603">
        <v>1.8</v>
      </c>
      <c r="K1603">
        <v>25</v>
      </c>
      <c r="L1603">
        <v>93</v>
      </c>
      <c r="M1603">
        <v>170</v>
      </c>
      <c r="N1603">
        <v>59</v>
      </c>
      <c r="O1603">
        <v>1000</v>
      </c>
      <c r="Q1603">
        <f t="shared" si="50"/>
        <v>2023</v>
      </c>
      <c r="R1603">
        <f t="shared" si="51"/>
        <v>7</v>
      </c>
    </row>
    <row r="1604" spans="1:18">
      <c r="A1604">
        <v>25</v>
      </c>
      <c r="B1604" t="s">
        <v>263</v>
      </c>
      <c r="C1604" s="216">
        <v>45155</v>
      </c>
      <c r="D1604">
        <v>19.600000000000001</v>
      </c>
      <c r="E1604" s="116">
        <v>8.9</v>
      </c>
      <c r="F1604" s="101">
        <v>96</v>
      </c>
      <c r="G1604">
        <v>7.8</v>
      </c>
      <c r="H1604" s="116">
        <v>3</v>
      </c>
      <c r="I1604">
        <v>46.9</v>
      </c>
      <c r="J1604">
        <v>1.6</v>
      </c>
      <c r="K1604">
        <v>19</v>
      </c>
      <c r="L1604">
        <v>50</v>
      </c>
      <c r="M1604">
        <v>50</v>
      </c>
      <c r="N1604">
        <v>20</v>
      </c>
      <c r="O1604">
        <v>1200</v>
      </c>
      <c r="Q1604">
        <f t="shared" si="50"/>
        <v>2023</v>
      </c>
      <c r="R1604">
        <f t="shared" si="51"/>
        <v>8</v>
      </c>
    </row>
    <row r="1605" spans="1:18">
      <c r="A1605">
        <v>25</v>
      </c>
      <c r="B1605" t="s">
        <v>263</v>
      </c>
      <c r="C1605" s="216">
        <v>45187</v>
      </c>
      <c r="D1605">
        <v>19.2</v>
      </c>
      <c r="E1605" s="116">
        <v>8.9</v>
      </c>
      <c r="F1605" s="101">
        <v>97</v>
      </c>
      <c r="G1605">
        <v>8</v>
      </c>
      <c r="H1605" s="116">
        <v>26</v>
      </c>
      <c r="I1605">
        <v>45.1</v>
      </c>
      <c r="J1605">
        <v>2.1</v>
      </c>
      <c r="K1605">
        <v>21</v>
      </c>
      <c r="L1605">
        <v>110</v>
      </c>
      <c r="M1605">
        <v>290</v>
      </c>
      <c r="N1605">
        <v>130</v>
      </c>
      <c r="O1605">
        <v>1500</v>
      </c>
      <c r="Q1605">
        <f t="shared" si="50"/>
        <v>2023</v>
      </c>
      <c r="R1605">
        <f t="shared" si="51"/>
        <v>9</v>
      </c>
    </row>
    <row r="1606" spans="1:18">
      <c r="A1606">
        <v>25</v>
      </c>
      <c r="B1606" t="s">
        <v>263</v>
      </c>
      <c r="C1606" s="216">
        <v>45210</v>
      </c>
      <c r="D1606">
        <v>13</v>
      </c>
      <c r="E1606" s="116">
        <v>9.5</v>
      </c>
      <c r="F1606" s="101">
        <v>90</v>
      </c>
      <c r="G1606">
        <v>7.9</v>
      </c>
      <c r="H1606" s="116">
        <v>5.6</v>
      </c>
      <c r="I1606">
        <v>48</v>
      </c>
      <c r="J1606">
        <v>1.1000000000000001</v>
      </c>
      <c r="K1606">
        <v>32</v>
      </c>
      <c r="L1606">
        <v>53</v>
      </c>
      <c r="M1606">
        <v>660</v>
      </c>
      <c r="N1606">
        <v>71</v>
      </c>
      <c r="O1606">
        <v>1200</v>
      </c>
      <c r="Q1606">
        <f t="shared" si="50"/>
        <v>2023</v>
      </c>
      <c r="R1606">
        <f t="shared" si="51"/>
        <v>10</v>
      </c>
    </row>
    <row r="1607" spans="1:18">
      <c r="A1607">
        <v>25</v>
      </c>
      <c r="B1607" t="s">
        <v>263</v>
      </c>
      <c r="C1607" s="216">
        <v>45244</v>
      </c>
      <c r="D1607">
        <v>6.5</v>
      </c>
      <c r="E1607" s="116">
        <v>11.2</v>
      </c>
      <c r="F1607" s="101">
        <v>92</v>
      </c>
      <c r="G1607">
        <v>7.9</v>
      </c>
      <c r="H1607" s="116">
        <v>4.8</v>
      </c>
      <c r="I1607">
        <v>41.7</v>
      </c>
      <c r="J1607">
        <v>1.3</v>
      </c>
      <c r="K1607">
        <v>16</v>
      </c>
      <c r="L1607">
        <v>44</v>
      </c>
      <c r="M1607">
        <v>1100</v>
      </c>
      <c r="N1607">
        <v>59</v>
      </c>
      <c r="O1607">
        <v>2100</v>
      </c>
      <c r="Q1607">
        <f t="shared" si="50"/>
        <v>2023</v>
      </c>
      <c r="R1607">
        <f t="shared" si="51"/>
        <v>11</v>
      </c>
    </row>
    <row r="1608" spans="1:18">
      <c r="A1608">
        <v>27</v>
      </c>
      <c r="B1608" t="s">
        <v>264</v>
      </c>
      <c r="C1608" s="216">
        <v>44223</v>
      </c>
      <c r="G1608">
        <v>8</v>
      </c>
      <c r="H1608" s="116">
        <v>2</v>
      </c>
      <c r="J1608">
        <v>1.7</v>
      </c>
      <c r="K1608">
        <v>15</v>
      </c>
      <c r="L1608">
        <v>36</v>
      </c>
      <c r="M1608">
        <v>1100</v>
      </c>
      <c r="N1608">
        <v>85</v>
      </c>
      <c r="O1608">
        <v>1800</v>
      </c>
      <c r="Q1608">
        <f t="shared" si="50"/>
        <v>2021</v>
      </c>
      <c r="R1608">
        <f t="shared" si="51"/>
        <v>1</v>
      </c>
    </row>
    <row r="1609" spans="1:18">
      <c r="A1609">
        <v>27</v>
      </c>
      <c r="B1609" t="s">
        <v>264</v>
      </c>
      <c r="C1609" s="216">
        <v>44284</v>
      </c>
      <c r="D1609">
        <v>6.4</v>
      </c>
      <c r="E1609" s="116">
        <v>13.1</v>
      </c>
      <c r="F1609" s="101">
        <v>106</v>
      </c>
      <c r="G1609">
        <v>8.4</v>
      </c>
      <c r="H1609" s="116">
        <v>5</v>
      </c>
      <c r="I1609">
        <v>32.799999999999997</v>
      </c>
      <c r="J1609">
        <v>5.0999999999999996</v>
      </c>
      <c r="K1609">
        <v>6.6</v>
      </c>
      <c r="L1609">
        <v>40</v>
      </c>
      <c r="M1609">
        <v>940</v>
      </c>
      <c r="N1609" t="s">
        <v>148</v>
      </c>
      <c r="O1609">
        <v>2100</v>
      </c>
      <c r="Q1609">
        <f t="shared" si="50"/>
        <v>2021</v>
      </c>
      <c r="R1609">
        <f t="shared" si="51"/>
        <v>3</v>
      </c>
    </row>
    <row r="1610" spans="1:18">
      <c r="A1610">
        <v>27</v>
      </c>
      <c r="B1610" t="s">
        <v>264</v>
      </c>
      <c r="C1610" s="216">
        <v>44344</v>
      </c>
      <c r="D1610">
        <v>14.9</v>
      </c>
      <c r="E1610" s="116">
        <v>10.6</v>
      </c>
      <c r="F1610" s="101">
        <v>104</v>
      </c>
      <c r="G1610">
        <v>8.6999999999999993</v>
      </c>
      <c r="H1610" s="116">
        <v>11</v>
      </c>
      <c r="I1610">
        <v>34.700000000000003</v>
      </c>
      <c r="J1610">
        <v>7.8</v>
      </c>
      <c r="K1610">
        <v>3.5</v>
      </c>
      <c r="L1610">
        <v>66</v>
      </c>
      <c r="M1610" t="s">
        <v>290</v>
      </c>
      <c r="N1610" t="s">
        <v>290</v>
      </c>
      <c r="O1610">
        <v>1500</v>
      </c>
      <c r="Q1610">
        <f t="shared" si="50"/>
        <v>2021</v>
      </c>
      <c r="R1610">
        <f t="shared" si="51"/>
        <v>5</v>
      </c>
    </row>
    <row r="1611" spans="1:18">
      <c r="A1611">
        <v>27</v>
      </c>
      <c r="B1611" t="s">
        <v>264</v>
      </c>
      <c r="C1611" s="216">
        <v>44390</v>
      </c>
      <c r="D1611">
        <v>23.8</v>
      </c>
      <c r="E1611" s="116">
        <v>7</v>
      </c>
      <c r="F1611" s="101">
        <v>84</v>
      </c>
      <c r="G1611">
        <v>8.1</v>
      </c>
      <c r="H1611" s="116">
        <v>6.4</v>
      </c>
      <c r="I1611">
        <v>33.9</v>
      </c>
      <c r="J1611">
        <v>4.5</v>
      </c>
      <c r="K1611">
        <v>38</v>
      </c>
      <c r="L1611">
        <v>120</v>
      </c>
      <c r="M1611" t="s">
        <v>148</v>
      </c>
      <c r="N1611" t="s">
        <v>148</v>
      </c>
      <c r="O1611">
        <v>1100</v>
      </c>
      <c r="Q1611">
        <f t="shared" si="50"/>
        <v>2021</v>
      </c>
      <c r="R1611">
        <f t="shared" si="51"/>
        <v>7</v>
      </c>
    </row>
    <row r="1612" spans="1:18">
      <c r="A1612">
        <v>27</v>
      </c>
      <c r="B1612" t="s">
        <v>264</v>
      </c>
      <c r="C1612" s="216">
        <v>44460</v>
      </c>
      <c r="D1612">
        <v>15.9</v>
      </c>
      <c r="E1612" s="116">
        <v>4.8</v>
      </c>
      <c r="F1612" s="101">
        <v>48</v>
      </c>
      <c r="G1612">
        <v>7.8</v>
      </c>
      <c r="H1612" s="116">
        <v>1.6</v>
      </c>
      <c r="I1612">
        <v>35.200000000000003</v>
      </c>
      <c r="J1612">
        <v>2.5</v>
      </c>
      <c r="K1612">
        <v>25</v>
      </c>
      <c r="L1612">
        <v>69</v>
      </c>
      <c r="M1612">
        <v>32</v>
      </c>
      <c r="N1612">
        <v>74</v>
      </c>
      <c r="O1612">
        <v>870</v>
      </c>
      <c r="Q1612">
        <f t="shared" si="50"/>
        <v>2021</v>
      </c>
      <c r="R1612">
        <f t="shared" si="51"/>
        <v>9</v>
      </c>
    </row>
    <row r="1613" spans="1:18">
      <c r="A1613">
        <v>27</v>
      </c>
      <c r="B1613" t="s">
        <v>264</v>
      </c>
      <c r="C1613" s="216">
        <v>44530</v>
      </c>
      <c r="D1613">
        <v>4.8</v>
      </c>
      <c r="E1613" s="116">
        <v>10.7</v>
      </c>
      <c r="F1613" s="101">
        <v>85</v>
      </c>
      <c r="G1613">
        <v>7.9</v>
      </c>
      <c r="H1613" s="116">
        <v>1.8</v>
      </c>
      <c r="I1613">
        <v>37.200000000000003</v>
      </c>
      <c r="J1613">
        <v>2</v>
      </c>
      <c r="K1613">
        <v>18</v>
      </c>
      <c r="L1613">
        <v>29</v>
      </c>
      <c r="M1613">
        <v>390</v>
      </c>
      <c r="N1613">
        <v>150</v>
      </c>
      <c r="O1613">
        <v>1100</v>
      </c>
      <c r="Q1613">
        <f t="shared" si="50"/>
        <v>2021</v>
      </c>
      <c r="R1613">
        <f t="shared" si="51"/>
        <v>11</v>
      </c>
    </row>
    <row r="1614" spans="1:18">
      <c r="A1614">
        <v>27</v>
      </c>
      <c r="B1614" t="s">
        <v>264</v>
      </c>
      <c r="C1614" s="216">
        <v>44580</v>
      </c>
      <c r="D1614">
        <v>2.5</v>
      </c>
      <c r="E1614" s="116">
        <v>12.7</v>
      </c>
      <c r="F1614" s="101">
        <v>93</v>
      </c>
      <c r="G1614">
        <v>8</v>
      </c>
      <c r="H1614" s="116">
        <v>1.7</v>
      </c>
      <c r="I1614">
        <v>37.9</v>
      </c>
      <c r="J1614">
        <v>1.7</v>
      </c>
      <c r="K1614">
        <v>18</v>
      </c>
      <c r="L1614">
        <v>36</v>
      </c>
      <c r="M1614">
        <v>1100</v>
      </c>
      <c r="N1614">
        <v>310</v>
      </c>
      <c r="O1614">
        <v>1900</v>
      </c>
      <c r="Q1614">
        <f t="shared" si="50"/>
        <v>2022</v>
      </c>
      <c r="R1614">
        <f t="shared" si="51"/>
        <v>1</v>
      </c>
    </row>
    <row r="1615" spans="1:18">
      <c r="A1615">
        <v>27</v>
      </c>
      <c r="B1615" t="s">
        <v>264</v>
      </c>
      <c r="C1615" s="216">
        <v>44637</v>
      </c>
      <c r="D1615">
        <v>4.9000000000000004</v>
      </c>
      <c r="E1615" s="116">
        <v>12.6</v>
      </c>
      <c r="F1615" s="101">
        <v>97</v>
      </c>
      <c r="G1615">
        <v>8.1</v>
      </c>
      <c r="H1615" s="116">
        <v>3.1</v>
      </c>
      <c r="I1615">
        <v>36</v>
      </c>
      <c r="J1615">
        <v>3.2</v>
      </c>
      <c r="K1615">
        <v>3</v>
      </c>
      <c r="L1615">
        <v>32</v>
      </c>
      <c r="M1615">
        <v>1200</v>
      </c>
      <c r="N1615">
        <v>86</v>
      </c>
      <c r="O1615">
        <v>2400</v>
      </c>
      <c r="Q1615">
        <f t="shared" si="50"/>
        <v>2022</v>
      </c>
      <c r="R1615">
        <f t="shared" si="51"/>
        <v>3</v>
      </c>
    </row>
    <row r="1616" spans="1:18">
      <c r="A1616">
        <v>27</v>
      </c>
      <c r="B1616" t="s">
        <v>264</v>
      </c>
      <c r="C1616" s="216">
        <v>44698</v>
      </c>
      <c r="D1616">
        <v>15.6</v>
      </c>
      <c r="E1616" s="116">
        <v>11.9</v>
      </c>
      <c r="F1616" s="101">
        <v>119</v>
      </c>
      <c r="G1616">
        <v>8.5</v>
      </c>
      <c r="H1616" s="116">
        <v>2.5</v>
      </c>
      <c r="I1616">
        <v>36.700000000000003</v>
      </c>
      <c r="J1616">
        <v>3.5</v>
      </c>
      <c r="K1616" t="s">
        <v>149</v>
      </c>
      <c r="L1616">
        <v>30</v>
      </c>
      <c r="M1616">
        <v>600</v>
      </c>
      <c r="N1616">
        <v>26</v>
      </c>
      <c r="O1616">
        <v>1400</v>
      </c>
      <c r="Q1616">
        <f t="shared" si="50"/>
        <v>2022</v>
      </c>
      <c r="R1616">
        <f t="shared" si="51"/>
        <v>5</v>
      </c>
    </row>
    <row r="1617" spans="1:18">
      <c r="A1617">
        <v>27</v>
      </c>
      <c r="B1617" t="s">
        <v>264</v>
      </c>
      <c r="C1617" s="216">
        <v>44761</v>
      </c>
      <c r="D1617">
        <v>20.2</v>
      </c>
      <c r="E1617" s="116">
        <v>7.4</v>
      </c>
      <c r="F1617" s="101">
        <v>82</v>
      </c>
      <c r="G1617">
        <v>8</v>
      </c>
      <c r="H1617" s="116">
        <v>4.0999999999999996</v>
      </c>
      <c r="I1617">
        <v>34.1</v>
      </c>
      <c r="J1617">
        <v>1.8</v>
      </c>
      <c r="K1617">
        <v>13</v>
      </c>
      <c r="L1617">
        <v>48</v>
      </c>
      <c r="M1617">
        <v>10</v>
      </c>
      <c r="N1617">
        <v>28</v>
      </c>
      <c r="O1617">
        <v>740</v>
      </c>
      <c r="Q1617">
        <f t="shared" si="50"/>
        <v>2022</v>
      </c>
      <c r="R1617">
        <f t="shared" si="51"/>
        <v>7</v>
      </c>
    </row>
    <row r="1618" spans="1:18">
      <c r="A1618">
        <v>27</v>
      </c>
      <c r="B1618" t="s">
        <v>264</v>
      </c>
      <c r="C1618" s="216">
        <v>44826</v>
      </c>
      <c r="D1618">
        <v>14</v>
      </c>
      <c r="E1618" s="116">
        <v>10.8</v>
      </c>
      <c r="F1618" s="101">
        <v>104</v>
      </c>
      <c r="G1618">
        <v>8.6999999999999993</v>
      </c>
      <c r="H1618" s="116">
        <v>12</v>
      </c>
      <c r="I1618">
        <v>34.6</v>
      </c>
      <c r="J1618">
        <v>5.8</v>
      </c>
      <c r="K1618">
        <v>9.8000000000000007</v>
      </c>
      <c r="L1618">
        <v>100</v>
      </c>
      <c r="M1618" t="s">
        <v>148</v>
      </c>
      <c r="N1618">
        <v>17</v>
      </c>
      <c r="O1618">
        <v>1500</v>
      </c>
      <c r="Q1618">
        <f t="shared" si="50"/>
        <v>2022</v>
      </c>
      <c r="R1618">
        <f t="shared" si="51"/>
        <v>9</v>
      </c>
    </row>
    <row r="1619" spans="1:18">
      <c r="A1619">
        <v>27</v>
      </c>
      <c r="B1619" t="s">
        <v>264</v>
      </c>
      <c r="C1619" s="216">
        <v>44881</v>
      </c>
      <c r="D1619">
        <v>9.5</v>
      </c>
      <c r="E1619" s="116">
        <v>8.5</v>
      </c>
      <c r="F1619" s="101">
        <v>74</v>
      </c>
      <c r="G1619">
        <v>7.9</v>
      </c>
      <c r="H1619" s="116">
        <v>4.9000000000000004</v>
      </c>
      <c r="I1619">
        <v>36.9</v>
      </c>
      <c r="J1619">
        <v>1.8</v>
      </c>
      <c r="K1619">
        <v>10</v>
      </c>
      <c r="L1619">
        <v>57</v>
      </c>
      <c r="M1619">
        <v>63</v>
      </c>
      <c r="N1619">
        <v>63</v>
      </c>
      <c r="O1619">
        <v>870</v>
      </c>
      <c r="Q1619">
        <f t="shared" si="50"/>
        <v>2022</v>
      </c>
      <c r="R1619">
        <f t="shared" si="51"/>
        <v>11</v>
      </c>
    </row>
    <row r="1620" spans="1:18">
      <c r="A1620">
        <v>27</v>
      </c>
      <c r="B1620" t="s">
        <v>264</v>
      </c>
      <c r="C1620" s="216">
        <v>44944</v>
      </c>
      <c r="D1620">
        <v>4.2</v>
      </c>
      <c r="E1620" s="116">
        <v>13.3</v>
      </c>
      <c r="F1620" s="101">
        <v>95</v>
      </c>
      <c r="G1620">
        <v>8.1</v>
      </c>
      <c r="H1620" s="116">
        <v>1.5</v>
      </c>
      <c r="I1620">
        <v>36.4</v>
      </c>
      <c r="J1620">
        <v>2</v>
      </c>
      <c r="K1620">
        <v>9.6</v>
      </c>
      <c r="L1620">
        <v>32</v>
      </c>
      <c r="M1620">
        <v>1300</v>
      </c>
      <c r="N1620">
        <v>120</v>
      </c>
      <c r="O1620">
        <v>1800</v>
      </c>
      <c r="Q1620">
        <f t="shared" si="50"/>
        <v>2023</v>
      </c>
      <c r="R1620">
        <f t="shared" si="51"/>
        <v>1</v>
      </c>
    </row>
    <row r="1621" spans="1:18">
      <c r="A1621">
        <v>27</v>
      </c>
      <c r="B1621" t="s">
        <v>264</v>
      </c>
      <c r="C1621" s="216">
        <v>45006</v>
      </c>
      <c r="D1621">
        <v>5.0999999999999996</v>
      </c>
      <c r="E1621" s="116">
        <v>13.4</v>
      </c>
      <c r="F1621" s="101">
        <v>104</v>
      </c>
      <c r="G1621">
        <v>8.3000000000000007</v>
      </c>
      <c r="H1621" s="116">
        <v>1.9</v>
      </c>
      <c r="I1621">
        <v>36.200000000000003</v>
      </c>
      <c r="J1621">
        <v>2.8</v>
      </c>
      <c r="K1621" t="s">
        <v>149</v>
      </c>
      <c r="L1621">
        <v>21</v>
      </c>
      <c r="M1621">
        <v>1100</v>
      </c>
      <c r="N1621">
        <v>19</v>
      </c>
      <c r="O1621">
        <v>1900</v>
      </c>
      <c r="Q1621">
        <f t="shared" si="50"/>
        <v>2023</v>
      </c>
      <c r="R1621">
        <f t="shared" si="51"/>
        <v>3</v>
      </c>
    </row>
    <row r="1622" spans="1:18">
      <c r="A1622">
        <v>27</v>
      </c>
      <c r="B1622" t="s">
        <v>264</v>
      </c>
      <c r="C1622" s="216">
        <v>45061</v>
      </c>
      <c r="D1622">
        <v>17.600000000000001</v>
      </c>
      <c r="E1622" s="116">
        <v>8.9</v>
      </c>
      <c r="F1622" s="101">
        <v>93</v>
      </c>
      <c r="G1622">
        <v>8.1</v>
      </c>
      <c r="H1622" s="116">
        <v>3.2</v>
      </c>
      <c r="I1622">
        <v>36.799999999999997</v>
      </c>
      <c r="J1622">
        <v>2.7</v>
      </c>
      <c r="K1622">
        <v>4.8</v>
      </c>
      <c r="L1622">
        <v>46</v>
      </c>
      <c r="M1622">
        <v>750</v>
      </c>
      <c r="N1622">
        <v>130</v>
      </c>
      <c r="O1622">
        <v>1700</v>
      </c>
      <c r="Q1622">
        <f t="shared" si="50"/>
        <v>2023</v>
      </c>
      <c r="R1622">
        <f t="shared" si="51"/>
        <v>5</v>
      </c>
    </row>
    <row r="1623" spans="1:18">
      <c r="A1623">
        <v>27</v>
      </c>
      <c r="B1623" t="s">
        <v>264</v>
      </c>
      <c r="C1623" s="216">
        <v>45125</v>
      </c>
      <c r="D1623">
        <v>19.8</v>
      </c>
      <c r="E1623" s="116">
        <v>7.2</v>
      </c>
      <c r="F1623" s="101">
        <v>79</v>
      </c>
      <c r="G1623">
        <v>8.1999999999999993</v>
      </c>
      <c r="H1623" s="116">
        <v>5.0999999999999996</v>
      </c>
      <c r="I1623">
        <v>34.799999999999997</v>
      </c>
      <c r="J1623">
        <v>2.2999999999999998</v>
      </c>
      <c r="K1623">
        <v>25</v>
      </c>
      <c r="L1623">
        <v>79</v>
      </c>
      <c r="M1623" t="s">
        <v>148</v>
      </c>
      <c r="N1623">
        <v>24</v>
      </c>
      <c r="O1623">
        <v>1100</v>
      </c>
      <c r="Q1623">
        <f t="shared" si="50"/>
        <v>2023</v>
      </c>
      <c r="R1623">
        <f t="shared" si="51"/>
        <v>7</v>
      </c>
    </row>
    <row r="1624" spans="1:18">
      <c r="A1624">
        <v>27</v>
      </c>
      <c r="B1624" t="s">
        <v>264</v>
      </c>
      <c r="C1624" s="216">
        <v>45187</v>
      </c>
      <c r="D1624">
        <v>19.899999999999999</v>
      </c>
      <c r="E1624" s="116">
        <v>7.3</v>
      </c>
      <c r="F1624" s="101">
        <v>81</v>
      </c>
      <c r="G1624">
        <v>8.1999999999999993</v>
      </c>
      <c r="H1624" s="116">
        <v>37</v>
      </c>
      <c r="I1624">
        <v>29.6</v>
      </c>
      <c r="J1624" t="s">
        <v>288</v>
      </c>
      <c r="K1624">
        <v>16</v>
      </c>
      <c r="L1624">
        <v>210</v>
      </c>
      <c r="M1624" t="s">
        <v>290</v>
      </c>
      <c r="N1624">
        <v>15</v>
      </c>
      <c r="O1624">
        <v>1900</v>
      </c>
      <c r="Q1624">
        <f t="shared" si="50"/>
        <v>2023</v>
      </c>
      <c r="R1624">
        <f t="shared" si="51"/>
        <v>9</v>
      </c>
    </row>
    <row r="1625" spans="1:18">
      <c r="A1625">
        <v>27</v>
      </c>
      <c r="B1625" t="s">
        <v>264</v>
      </c>
      <c r="C1625" s="216">
        <v>45244</v>
      </c>
      <c r="D1625">
        <v>7.6</v>
      </c>
      <c r="E1625" s="116">
        <v>9.8000000000000007</v>
      </c>
      <c r="F1625" s="101">
        <v>84</v>
      </c>
      <c r="G1625">
        <v>7.9</v>
      </c>
      <c r="H1625" s="116">
        <v>3.5</v>
      </c>
      <c r="I1625">
        <v>33.200000000000003</v>
      </c>
      <c r="J1625">
        <v>2.4</v>
      </c>
      <c r="K1625">
        <v>27</v>
      </c>
      <c r="L1625">
        <v>58</v>
      </c>
      <c r="M1625">
        <v>660</v>
      </c>
      <c r="N1625">
        <v>220</v>
      </c>
      <c r="O1625">
        <v>1700</v>
      </c>
      <c r="Q1625">
        <f t="shared" si="50"/>
        <v>2023</v>
      </c>
      <c r="R1625">
        <f t="shared" si="51"/>
        <v>11</v>
      </c>
    </row>
    <row r="1626" spans="1:18">
      <c r="A1626">
        <v>29</v>
      </c>
      <c r="B1626" t="s">
        <v>295</v>
      </c>
      <c r="C1626" s="216">
        <v>44222</v>
      </c>
      <c r="D1626">
        <v>1.5</v>
      </c>
      <c r="E1626" s="116">
        <v>13.2</v>
      </c>
      <c r="F1626" s="101">
        <v>94.1</v>
      </c>
      <c r="G1626">
        <v>8.1</v>
      </c>
      <c r="I1626">
        <v>40</v>
      </c>
      <c r="K1626">
        <v>45</v>
      </c>
      <c r="L1626">
        <v>72</v>
      </c>
      <c r="M1626">
        <v>3200</v>
      </c>
      <c r="N1626">
        <v>100</v>
      </c>
      <c r="O1626">
        <v>3800</v>
      </c>
      <c r="Q1626">
        <f t="shared" si="50"/>
        <v>2021</v>
      </c>
      <c r="R1626">
        <f t="shared" si="51"/>
        <v>1</v>
      </c>
    </row>
    <row r="1627" spans="1:18">
      <c r="A1627">
        <v>29</v>
      </c>
      <c r="B1627" t="s">
        <v>295</v>
      </c>
      <c r="C1627" s="216">
        <v>44242</v>
      </c>
      <c r="D1627">
        <v>1.3</v>
      </c>
      <c r="E1627" s="116">
        <v>13.5</v>
      </c>
      <c r="F1627" s="101">
        <v>94</v>
      </c>
      <c r="G1627">
        <v>8.1</v>
      </c>
      <c r="H1627" s="116">
        <v>3.5</v>
      </c>
      <c r="I1627">
        <v>43.2</v>
      </c>
      <c r="K1627">
        <v>44</v>
      </c>
      <c r="L1627">
        <v>63</v>
      </c>
      <c r="M1627">
        <v>3700</v>
      </c>
      <c r="N1627">
        <v>100</v>
      </c>
      <c r="O1627">
        <v>3700</v>
      </c>
      <c r="Q1627">
        <f t="shared" si="50"/>
        <v>2021</v>
      </c>
      <c r="R1627">
        <f t="shared" si="51"/>
        <v>2</v>
      </c>
    </row>
    <row r="1628" spans="1:18">
      <c r="A1628">
        <v>29</v>
      </c>
      <c r="B1628" t="s">
        <v>295</v>
      </c>
      <c r="C1628" s="216">
        <v>44284</v>
      </c>
      <c r="D1628">
        <v>5.0999999999999996</v>
      </c>
      <c r="E1628" s="116">
        <v>15.6</v>
      </c>
      <c r="F1628" s="101">
        <v>121</v>
      </c>
      <c r="G1628">
        <v>8.8000000000000007</v>
      </c>
      <c r="H1628" s="116">
        <v>4.0999999999999996</v>
      </c>
      <c r="I1628">
        <v>41.4</v>
      </c>
      <c r="K1628" t="s">
        <v>149</v>
      </c>
      <c r="L1628">
        <v>51</v>
      </c>
      <c r="M1628">
        <v>3500</v>
      </c>
      <c r="N1628">
        <v>30</v>
      </c>
      <c r="O1628">
        <v>4700</v>
      </c>
      <c r="Q1628">
        <f t="shared" si="50"/>
        <v>2021</v>
      </c>
      <c r="R1628">
        <f t="shared" si="51"/>
        <v>3</v>
      </c>
    </row>
    <row r="1629" spans="1:18">
      <c r="A1629">
        <v>29</v>
      </c>
      <c r="B1629" t="s">
        <v>295</v>
      </c>
      <c r="C1629" s="216">
        <v>44315</v>
      </c>
      <c r="D1629">
        <v>8.5</v>
      </c>
      <c r="E1629" s="116">
        <v>12.8</v>
      </c>
      <c r="F1629" s="101">
        <v>111</v>
      </c>
      <c r="G1629">
        <v>8.6</v>
      </c>
      <c r="H1629" s="116">
        <v>1.6</v>
      </c>
      <c r="I1629">
        <v>42.1</v>
      </c>
      <c r="K1629">
        <v>3.3</v>
      </c>
      <c r="L1629">
        <v>22</v>
      </c>
      <c r="M1629">
        <v>3200</v>
      </c>
      <c r="N1629">
        <v>22</v>
      </c>
      <c r="O1629">
        <v>4000</v>
      </c>
      <c r="Q1629">
        <f t="shared" si="50"/>
        <v>2021</v>
      </c>
      <c r="R1629">
        <f t="shared" si="51"/>
        <v>4</v>
      </c>
    </row>
    <row r="1630" spans="1:18">
      <c r="A1630">
        <v>29</v>
      </c>
      <c r="B1630" t="s">
        <v>295</v>
      </c>
      <c r="C1630" s="216">
        <v>44335</v>
      </c>
      <c r="D1630">
        <v>13.8</v>
      </c>
      <c r="E1630" s="116">
        <v>10.1</v>
      </c>
      <c r="F1630" s="101">
        <v>98</v>
      </c>
      <c r="H1630" s="116">
        <v>1</v>
      </c>
      <c r="I1630">
        <v>43</v>
      </c>
      <c r="K1630" t="s">
        <v>149</v>
      </c>
      <c r="L1630">
        <v>16</v>
      </c>
      <c r="M1630">
        <v>2800</v>
      </c>
      <c r="N1630">
        <v>50</v>
      </c>
      <c r="O1630">
        <v>3600</v>
      </c>
      <c r="Q1630">
        <f t="shared" si="50"/>
        <v>2021</v>
      </c>
      <c r="R1630">
        <f t="shared" si="51"/>
        <v>5</v>
      </c>
    </row>
    <row r="1631" spans="1:18">
      <c r="A1631">
        <v>29</v>
      </c>
      <c r="B1631" t="s">
        <v>295</v>
      </c>
      <c r="C1631" s="216">
        <v>44358</v>
      </c>
      <c r="D1631">
        <v>20.3</v>
      </c>
      <c r="E1631" s="116">
        <v>10.4</v>
      </c>
      <c r="F1631" s="101">
        <v>115</v>
      </c>
      <c r="Q1631">
        <f t="shared" si="50"/>
        <v>2021</v>
      </c>
      <c r="R1631">
        <f t="shared" si="51"/>
        <v>6</v>
      </c>
    </row>
    <row r="1632" spans="1:18">
      <c r="A1632">
        <v>29</v>
      </c>
      <c r="B1632" t="s">
        <v>295</v>
      </c>
      <c r="C1632" s="216">
        <v>44396</v>
      </c>
      <c r="D1632">
        <v>23</v>
      </c>
      <c r="E1632" s="116">
        <v>10</v>
      </c>
      <c r="F1632" s="101">
        <v>116</v>
      </c>
      <c r="I1632">
        <v>38.700000000000003</v>
      </c>
      <c r="K1632">
        <v>15</v>
      </c>
      <c r="L1632">
        <v>61</v>
      </c>
      <c r="M1632">
        <v>1600</v>
      </c>
      <c r="N1632" t="s">
        <v>148</v>
      </c>
      <c r="O1632">
        <v>2300</v>
      </c>
      <c r="Q1632">
        <f t="shared" si="50"/>
        <v>2021</v>
      </c>
      <c r="R1632">
        <f t="shared" si="51"/>
        <v>7</v>
      </c>
    </row>
    <row r="1633" spans="1:18">
      <c r="A1633">
        <v>29</v>
      </c>
      <c r="B1633" t="s">
        <v>295</v>
      </c>
      <c r="C1633" s="216">
        <v>44438</v>
      </c>
      <c r="D1633">
        <v>17.600000000000001</v>
      </c>
      <c r="E1633" s="116">
        <v>10.199999999999999</v>
      </c>
      <c r="F1633" s="101">
        <v>107</v>
      </c>
      <c r="Q1633">
        <f t="shared" si="50"/>
        <v>2021</v>
      </c>
      <c r="R1633">
        <f t="shared" si="51"/>
        <v>8</v>
      </c>
    </row>
    <row r="1634" spans="1:18">
      <c r="A1634">
        <v>29</v>
      </c>
      <c r="B1634" t="s">
        <v>295</v>
      </c>
      <c r="C1634" s="216">
        <v>44476</v>
      </c>
      <c r="D1634">
        <v>14.6</v>
      </c>
      <c r="E1634" s="116">
        <v>9.4</v>
      </c>
      <c r="F1634" s="101">
        <v>91</v>
      </c>
      <c r="G1634">
        <v>8.1999999999999993</v>
      </c>
      <c r="H1634" s="116">
        <v>5.8</v>
      </c>
      <c r="I1634">
        <v>35.9</v>
      </c>
      <c r="K1634">
        <v>48</v>
      </c>
      <c r="L1634">
        <v>100</v>
      </c>
      <c r="M1634">
        <v>120</v>
      </c>
      <c r="N1634">
        <v>48</v>
      </c>
      <c r="O1634">
        <v>980</v>
      </c>
      <c r="Q1634">
        <f t="shared" si="50"/>
        <v>2021</v>
      </c>
      <c r="R1634">
        <f t="shared" si="51"/>
        <v>10</v>
      </c>
    </row>
    <row r="1635" spans="1:18">
      <c r="A1635">
        <v>29</v>
      </c>
      <c r="B1635" t="s">
        <v>295</v>
      </c>
      <c r="C1635" s="216">
        <v>44509</v>
      </c>
      <c r="D1635">
        <v>8.9</v>
      </c>
      <c r="E1635" s="116">
        <v>10.4</v>
      </c>
      <c r="F1635" s="101">
        <v>88</v>
      </c>
      <c r="G1635">
        <v>8.1</v>
      </c>
      <c r="H1635" s="116">
        <v>4.5999999999999996</v>
      </c>
      <c r="I1635">
        <v>38.799999999999997</v>
      </c>
      <c r="K1635">
        <v>59</v>
      </c>
      <c r="L1635">
        <v>82</v>
      </c>
      <c r="M1635">
        <v>1200</v>
      </c>
      <c r="N1635">
        <v>160</v>
      </c>
      <c r="O1635">
        <v>2100</v>
      </c>
      <c r="Q1635">
        <f t="shared" si="50"/>
        <v>2021</v>
      </c>
      <c r="R1635">
        <f t="shared" si="51"/>
        <v>11</v>
      </c>
    </row>
    <row r="1636" spans="1:18">
      <c r="A1636">
        <v>29</v>
      </c>
      <c r="B1636" t="s">
        <v>295</v>
      </c>
      <c r="C1636" s="216">
        <v>44582</v>
      </c>
      <c r="D1636">
        <v>1.7</v>
      </c>
      <c r="E1636" s="116">
        <v>13.7</v>
      </c>
      <c r="F1636" s="101">
        <v>97</v>
      </c>
      <c r="G1636">
        <v>8.1999999999999993</v>
      </c>
      <c r="H1636" s="116">
        <v>3</v>
      </c>
      <c r="I1636">
        <v>41.7</v>
      </c>
      <c r="K1636">
        <v>50</v>
      </c>
      <c r="L1636">
        <v>77</v>
      </c>
      <c r="M1636">
        <v>3300</v>
      </c>
      <c r="N1636">
        <v>95</v>
      </c>
      <c r="O1636">
        <v>4000</v>
      </c>
      <c r="Q1636">
        <f t="shared" si="50"/>
        <v>2022</v>
      </c>
      <c r="R1636">
        <f t="shared" si="51"/>
        <v>1</v>
      </c>
    </row>
    <row r="1637" spans="1:18">
      <c r="A1637">
        <v>29</v>
      </c>
      <c r="B1637" t="s">
        <v>295</v>
      </c>
      <c r="C1637" s="216">
        <v>44621</v>
      </c>
      <c r="D1637">
        <v>3.3</v>
      </c>
      <c r="G1637">
        <v>8.1999999999999993</v>
      </c>
      <c r="H1637" s="116">
        <v>7.9</v>
      </c>
      <c r="I1637">
        <v>39.5</v>
      </c>
      <c r="K1637">
        <v>42</v>
      </c>
      <c r="L1637">
        <v>57</v>
      </c>
      <c r="M1637">
        <v>3800</v>
      </c>
      <c r="N1637">
        <v>56</v>
      </c>
      <c r="O1637">
        <v>4000</v>
      </c>
      <c r="Q1637">
        <f t="shared" si="50"/>
        <v>2022</v>
      </c>
      <c r="R1637">
        <f t="shared" si="51"/>
        <v>3</v>
      </c>
    </row>
    <row r="1638" spans="1:18">
      <c r="A1638">
        <v>29</v>
      </c>
      <c r="B1638" t="s">
        <v>295</v>
      </c>
      <c r="C1638" s="216">
        <v>44644</v>
      </c>
      <c r="D1638">
        <v>4.8</v>
      </c>
      <c r="E1638" s="116">
        <v>14.1</v>
      </c>
      <c r="F1638" s="101">
        <v>109</v>
      </c>
      <c r="G1638">
        <v>8.3000000000000007</v>
      </c>
      <c r="H1638" s="116">
        <v>3.3</v>
      </c>
      <c r="I1638">
        <v>39.5</v>
      </c>
      <c r="K1638">
        <v>23</v>
      </c>
      <c r="L1638">
        <v>58</v>
      </c>
      <c r="M1638">
        <v>3500</v>
      </c>
      <c r="N1638" t="s">
        <v>148</v>
      </c>
      <c r="O1638">
        <v>3800</v>
      </c>
      <c r="Q1638">
        <f t="shared" si="50"/>
        <v>2022</v>
      </c>
      <c r="R1638">
        <f t="shared" si="51"/>
        <v>3</v>
      </c>
    </row>
    <row r="1639" spans="1:18">
      <c r="A1639">
        <v>29</v>
      </c>
      <c r="B1639" t="s">
        <v>295</v>
      </c>
      <c r="C1639" s="216">
        <v>44670</v>
      </c>
      <c r="D1639">
        <v>8.4</v>
      </c>
      <c r="E1639" s="116">
        <v>12.6</v>
      </c>
      <c r="F1639" s="101">
        <v>108</v>
      </c>
      <c r="K1639">
        <v>3</v>
      </c>
      <c r="L1639">
        <v>31</v>
      </c>
      <c r="Q1639">
        <f t="shared" si="50"/>
        <v>2022</v>
      </c>
      <c r="R1639">
        <f t="shared" si="51"/>
        <v>4</v>
      </c>
    </row>
    <row r="1640" spans="1:18">
      <c r="A1640">
        <v>29</v>
      </c>
      <c r="B1640" t="s">
        <v>295</v>
      </c>
      <c r="C1640" s="216">
        <v>44711</v>
      </c>
      <c r="D1640">
        <v>14.9</v>
      </c>
      <c r="E1640" s="116">
        <v>11.9</v>
      </c>
      <c r="F1640" s="101">
        <v>120</v>
      </c>
      <c r="G1640">
        <v>8.6999999999999993</v>
      </c>
      <c r="H1640" s="116">
        <v>6.1</v>
      </c>
      <c r="I1640">
        <v>40.200000000000003</v>
      </c>
      <c r="K1640" t="s">
        <v>149</v>
      </c>
      <c r="L1640">
        <v>37</v>
      </c>
      <c r="M1640">
        <v>2100</v>
      </c>
      <c r="N1640">
        <v>32</v>
      </c>
      <c r="O1640">
        <v>3000</v>
      </c>
      <c r="Q1640">
        <f t="shared" si="50"/>
        <v>2022</v>
      </c>
      <c r="R1640">
        <f t="shared" si="51"/>
        <v>5</v>
      </c>
    </row>
    <row r="1641" spans="1:18">
      <c r="A1641">
        <v>29</v>
      </c>
      <c r="B1641" t="s">
        <v>295</v>
      </c>
      <c r="C1641" s="216">
        <v>44740</v>
      </c>
      <c r="D1641">
        <v>17.7</v>
      </c>
      <c r="E1641" s="116">
        <v>10.8</v>
      </c>
      <c r="F1641" s="101">
        <v>122</v>
      </c>
      <c r="K1641" t="s">
        <v>149</v>
      </c>
      <c r="L1641">
        <v>28</v>
      </c>
      <c r="Q1641">
        <f t="shared" si="50"/>
        <v>2022</v>
      </c>
      <c r="R1641">
        <f t="shared" si="51"/>
        <v>6</v>
      </c>
    </row>
    <row r="1642" spans="1:18">
      <c r="A1642">
        <v>29</v>
      </c>
      <c r="B1642" t="s">
        <v>295</v>
      </c>
      <c r="C1642" s="216">
        <v>44762</v>
      </c>
      <c r="D1642">
        <v>20.399999999999999</v>
      </c>
      <c r="E1642" s="116">
        <v>15.3</v>
      </c>
      <c r="F1642" s="101">
        <v>168</v>
      </c>
      <c r="G1642">
        <v>8.9</v>
      </c>
      <c r="H1642" s="116">
        <v>8.5</v>
      </c>
      <c r="I1642">
        <v>35.200000000000003</v>
      </c>
      <c r="K1642" t="s">
        <v>149</v>
      </c>
      <c r="L1642">
        <v>48</v>
      </c>
      <c r="M1642">
        <v>310</v>
      </c>
      <c r="N1642">
        <v>12</v>
      </c>
      <c r="O1642">
        <v>1200</v>
      </c>
      <c r="Q1642">
        <f t="shared" si="50"/>
        <v>2022</v>
      </c>
      <c r="R1642">
        <f t="shared" si="51"/>
        <v>7</v>
      </c>
    </row>
    <row r="1643" spans="1:18">
      <c r="A1643">
        <v>29</v>
      </c>
      <c r="B1643" t="s">
        <v>295</v>
      </c>
      <c r="C1643" s="216">
        <v>44791</v>
      </c>
      <c r="D1643">
        <v>23.3</v>
      </c>
      <c r="E1643" s="116">
        <v>11.9</v>
      </c>
      <c r="F1643" s="101">
        <v>140</v>
      </c>
      <c r="K1643" t="s">
        <v>149</v>
      </c>
      <c r="L1643">
        <v>77</v>
      </c>
      <c r="Q1643">
        <f t="shared" ref="Q1643:Q1680" si="52">YEAR(C1643)</f>
        <v>2022</v>
      </c>
      <c r="R1643">
        <f t="shared" ref="R1643:R1680" si="53">MONTH(C1643)</f>
        <v>8</v>
      </c>
    </row>
    <row r="1644" spans="1:18">
      <c r="A1644">
        <v>29</v>
      </c>
      <c r="B1644" t="s">
        <v>295</v>
      </c>
      <c r="C1644" s="216">
        <v>44833</v>
      </c>
      <c r="D1644">
        <v>14.4</v>
      </c>
      <c r="E1644" s="116">
        <v>8.8000000000000007</v>
      </c>
      <c r="F1644" s="101">
        <v>87</v>
      </c>
      <c r="G1644">
        <v>8.4</v>
      </c>
      <c r="H1644" s="116">
        <v>4.4000000000000004</v>
      </c>
      <c r="I1644">
        <v>33.4</v>
      </c>
      <c r="K1644">
        <v>63</v>
      </c>
      <c r="L1644">
        <v>100</v>
      </c>
      <c r="M1644">
        <v>12</v>
      </c>
      <c r="N1644">
        <v>46</v>
      </c>
      <c r="O1644">
        <v>710</v>
      </c>
      <c r="Q1644">
        <f t="shared" si="52"/>
        <v>2022</v>
      </c>
      <c r="R1644">
        <f t="shared" si="53"/>
        <v>9</v>
      </c>
    </row>
    <row r="1645" spans="1:18">
      <c r="A1645">
        <v>29</v>
      </c>
      <c r="B1645" t="s">
        <v>295</v>
      </c>
      <c r="C1645" s="216">
        <v>44868</v>
      </c>
      <c r="D1645">
        <v>11.7</v>
      </c>
      <c r="E1645" s="116">
        <v>9.1999999999999993</v>
      </c>
      <c r="F1645" s="101">
        <v>83</v>
      </c>
      <c r="K1645">
        <v>34</v>
      </c>
      <c r="L1645">
        <v>70</v>
      </c>
      <c r="Q1645">
        <f t="shared" si="52"/>
        <v>2022</v>
      </c>
      <c r="R1645">
        <f t="shared" si="53"/>
        <v>11</v>
      </c>
    </row>
    <row r="1646" spans="1:18">
      <c r="A1646">
        <v>29</v>
      </c>
      <c r="B1646" t="s">
        <v>295</v>
      </c>
      <c r="C1646" s="216">
        <v>44939</v>
      </c>
      <c r="D1646">
        <v>4.2</v>
      </c>
      <c r="E1646" s="116">
        <v>12.5</v>
      </c>
      <c r="F1646" s="101">
        <v>98</v>
      </c>
      <c r="G1646">
        <v>8.1</v>
      </c>
      <c r="H1646" s="116">
        <v>2.7</v>
      </c>
      <c r="I1646">
        <v>40.299999999999997</v>
      </c>
      <c r="K1646">
        <v>36</v>
      </c>
      <c r="L1646">
        <v>58</v>
      </c>
      <c r="M1646">
        <v>3200</v>
      </c>
      <c r="N1646">
        <v>62</v>
      </c>
      <c r="O1646">
        <v>3300</v>
      </c>
      <c r="Q1646">
        <f t="shared" si="52"/>
        <v>2023</v>
      </c>
      <c r="R1646">
        <f t="shared" si="53"/>
        <v>1</v>
      </c>
    </row>
    <row r="1647" spans="1:18">
      <c r="A1647">
        <v>29</v>
      </c>
      <c r="B1647" t="s">
        <v>295</v>
      </c>
      <c r="C1647" s="216">
        <v>44971</v>
      </c>
      <c r="D1647">
        <v>2.5</v>
      </c>
      <c r="E1647" s="116">
        <v>13.5</v>
      </c>
      <c r="F1647" s="101">
        <v>96</v>
      </c>
      <c r="K1647">
        <v>34</v>
      </c>
      <c r="L1647">
        <v>46</v>
      </c>
      <c r="Q1647">
        <f t="shared" si="52"/>
        <v>2023</v>
      </c>
      <c r="R1647">
        <f t="shared" si="53"/>
        <v>2</v>
      </c>
    </row>
    <row r="1648" spans="1:18">
      <c r="A1648">
        <v>29</v>
      </c>
      <c r="B1648" t="s">
        <v>295</v>
      </c>
      <c r="C1648" s="216">
        <v>45001</v>
      </c>
      <c r="D1648">
        <v>2.9</v>
      </c>
      <c r="E1648" s="116">
        <v>14.5</v>
      </c>
      <c r="F1648" s="101">
        <v>107</v>
      </c>
      <c r="G1648">
        <v>8.5</v>
      </c>
      <c r="H1648" s="116">
        <v>2.9</v>
      </c>
      <c r="I1648">
        <v>41.7</v>
      </c>
      <c r="K1648">
        <v>2.8</v>
      </c>
      <c r="L1648">
        <v>41</v>
      </c>
      <c r="M1648">
        <v>4000</v>
      </c>
      <c r="N1648" t="s">
        <v>148</v>
      </c>
      <c r="O1648">
        <v>4400</v>
      </c>
      <c r="Q1648">
        <f t="shared" si="52"/>
        <v>2023</v>
      </c>
      <c r="R1648">
        <f t="shared" si="53"/>
        <v>3</v>
      </c>
    </row>
    <row r="1649" spans="1:18">
      <c r="A1649">
        <v>29</v>
      </c>
      <c r="B1649" t="s">
        <v>295</v>
      </c>
      <c r="C1649" s="216">
        <v>45033</v>
      </c>
      <c r="D1649">
        <v>7.9</v>
      </c>
      <c r="Q1649">
        <f t="shared" si="52"/>
        <v>2023</v>
      </c>
      <c r="R1649">
        <f t="shared" si="53"/>
        <v>4</v>
      </c>
    </row>
    <row r="1650" spans="1:18">
      <c r="A1650">
        <v>29</v>
      </c>
      <c r="B1650" t="s">
        <v>295</v>
      </c>
      <c r="C1650" s="216">
        <v>45058</v>
      </c>
      <c r="D1650">
        <v>12.2</v>
      </c>
      <c r="E1650" s="116">
        <v>10.8</v>
      </c>
      <c r="F1650" s="101">
        <v>99</v>
      </c>
      <c r="G1650">
        <v>8.1999999999999993</v>
      </c>
      <c r="H1650" s="116">
        <v>0.89</v>
      </c>
      <c r="I1650">
        <v>42.6</v>
      </c>
      <c r="K1650">
        <v>6.4</v>
      </c>
      <c r="L1650">
        <v>24</v>
      </c>
      <c r="M1650">
        <v>3300</v>
      </c>
      <c r="N1650">
        <v>31</v>
      </c>
      <c r="O1650">
        <v>4200</v>
      </c>
      <c r="Q1650">
        <f t="shared" si="52"/>
        <v>2023</v>
      </c>
      <c r="R1650">
        <f t="shared" si="53"/>
        <v>5</v>
      </c>
    </row>
    <row r="1651" spans="1:18">
      <c r="A1651">
        <v>29</v>
      </c>
      <c r="B1651" t="s">
        <v>295</v>
      </c>
      <c r="C1651" s="216">
        <v>45093</v>
      </c>
      <c r="D1651">
        <v>20</v>
      </c>
      <c r="E1651" s="116">
        <v>6.6</v>
      </c>
      <c r="F1651" s="101">
        <v>70</v>
      </c>
      <c r="Q1651">
        <f t="shared" si="52"/>
        <v>2023</v>
      </c>
      <c r="R1651">
        <f t="shared" si="53"/>
        <v>6</v>
      </c>
    </row>
    <row r="1652" spans="1:18">
      <c r="A1652">
        <v>29</v>
      </c>
      <c r="B1652" t="s">
        <v>295</v>
      </c>
      <c r="C1652" s="216">
        <v>45120</v>
      </c>
      <c r="D1652">
        <v>20.2</v>
      </c>
      <c r="E1652" s="116">
        <v>10.199999999999999</v>
      </c>
      <c r="F1652" s="101">
        <v>113</v>
      </c>
      <c r="G1652">
        <v>7.3</v>
      </c>
      <c r="H1652" s="116">
        <v>2.4</v>
      </c>
      <c r="I1652">
        <v>44.4</v>
      </c>
      <c r="L1652">
        <v>27</v>
      </c>
      <c r="M1652">
        <v>1100</v>
      </c>
      <c r="N1652">
        <v>29</v>
      </c>
      <c r="O1652">
        <v>1700</v>
      </c>
      <c r="Q1652">
        <f t="shared" si="52"/>
        <v>2023</v>
      </c>
      <c r="R1652">
        <f t="shared" si="53"/>
        <v>7</v>
      </c>
    </row>
    <row r="1653" spans="1:18">
      <c r="A1653">
        <v>29</v>
      </c>
      <c r="B1653" t="s">
        <v>295</v>
      </c>
      <c r="C1653" s="216">
        <v>45161</v>
      </c>
      <c r="D1653">
        <v>19.8</v>
      </c>
      <c r="E1653" s="116">
        <v>12.2</v>
      </c>
      <c r="F1653" s="101">
        <v>134</v>
      </c>
      <c r="Q1653">
        <f t="shared" si="52"/>
        <v>2023</v>
      </c>
      <c r="R1653">
        <f t="shared" si="53"/>
        <v>8</v>
      </c>
    </row>
    <row r="1654" spans="1:18">
      <c r="A1654">
        <v>29</v>
      </c>
      <c r="B1654" t="s">
        <v>295</v>
      </c>
      <c r="C1654" s="216">
        <v>45198</v>
      </c>
      <c r="D1654">
        <v>18</v>
      </c>
      <c r="E1654" s="116">
        <v>14.9</v>
      </c>
      <c r="F1654" s="101">
        <v>159</v>
      </c>
      <c r="G1654">
        <v>9</v>
      </c>
      <c r="H1654" s="116">
        <v>25</v>
      </c>
      <c r="I1654">
        <v>35</v>
      </c>
      <c r="K1654">
        <v>23</v>
      </c>
      <c r="L1654">
        <v>300</v>
      </c>
      <c r="M1654" t="s">
        <v>148</v>
      </c>
      <c r="N1654" t="s">
        <v>148</v>
      </c>
      <c r="O1654">
        <v>2300</v>
      </c>
      <c r="Q1654">
        <f t="shared" si="52"/>
        <v>2023</v>
      </c>
      <c r="R1654">
        <f t="shared" si="53"/>
        <v>9</v>
      </c>
    </row>
    <row r="1655" spans="1:18">
      <c r="A1655">
        <v>29</v>
      </c>
      <c r="B1655" t="s">
        <v>295</v>
      </c>
      <c r="C1655" s="216">
        <v>45237</v>
      </c>
      <c r="D1655">
        <v>8.8000000000000007</v>
      </c>
      <c r="E1655" s="116">
        <v>10.9</v>
      </c>
      <c r="F1655" s="101">
        <v>77</v>
      </c>
      <c r="G1655">
        <v>8.1999999999999993</v>
      </c>
      <c r="H1655" s="116">
        <v>4.4000000000000004</v>
      </c>
      <c r="I1655">
        <v>38.799999999999997</v>
      </c>
      <c r="K1655">
        <v>40</v>
      </c>
      <c r="L1655">
        <v>72</v>
      </c>
      <c r="M1655">
        <v>1300</v>
      </c>
      <c r="N1655">
        <v>89</v>
      </c>
      <c r="O1655">
        <v>1900</v>
      </c>
      <c r="Q1655">
        <f t="shared" si="52"/>
        <v>2023</v>
      </c>
      <c r="R1655">
        <f t="shared" si="53"/>
        <v>11</v>
      </c>
    </row>
    <row r="1656" spans="1:18">
      <c r="A1656">
        <v>30</v>
      </c>
      <c r="B1656" t="s">
        <v>296</v>
      </c>
      <c r="C1656" s="216">
        <v>44242</v>
      </c>
      <c r="D1656">
        <v>2.2999999999999998</v>
      </c>
      <c r="E1656" s="116">
        <v>7.6</v>
      </c>
      <c r="F1656" s="101">
        <v>55</v>
      </c>
      <c r="K1656">
        <v>36</v>
      </c>
      <c r="L1656">
        <v>53</v>
      </c>
      <c r="M1656">
        <v>4600</v>
      </c>
      <c r="N1656">
        <v>140</v>
      </c>
      <c r="O1656">
        <v>4600</v>
      </c>
      <c r="Q1656">
        <f t="shared" si="52"/>
        <v>2021</v>
      </c>
      <c r="R1656">
        <f t="shared" si="53"/>
        <v>2</v>
      </c>
    </row>
    <row r="1657" spans="1:18">
      <c r="A1657">
        <v>30</v>
      </c>
      <c r="B1657" t="s">
        <v>296</v>
      </c>
      <c r="C1657" s="216">
        <v>44284</v>
      </c>
      <c r="D1657">
        <v>5</v>
      </c>
      <c r="E1657" s="116">
        <v>15.2</v>
      </c>
      <c r="F1657" s="101">
        <v>117</v>
      </c>
      <c r="K1657" t="s">
        <v>149</v>
      </c>
      <c r="L1657">
        <v>48</v>
      </c>
      <c r="M1657">
        <v>3600</v>
      </c>
      <c r="N1657">
        <v>27</v>
      </c>
      <c r="O1657">
        <v>4600</v>
      </c>
      <c r="Q1657">
        <f t="shared" si="52"/>
        <v>2021</v>
      </c>
      <c r="R1657">
        <f t="shared" si="53"/>
        <v>3</v>
      </c>
    </row>
    <row r="1658" spans="1:18">
      <c r="A1658">
        <v>30</v>
      </c>
      <c r="B1658" t="s">
        <v>296</v>
      </c>
      <c r="C1658" s="216">
        <v>44315</v>
      </c>
      <c r="D1658">
        <v>8.5</v>
      </c>
      <c r="E1658" s="116">
        <v>12.4</v>
      </c>
      <c r="F1658" s="101">
        <v>107</v>
      </c>
      <c r="K1658">
        <v>3</v>
      </c>
      <c r="L1658">
        <v>23</v>
      </c>
      <c r="M1658">
        <v>3200</v>
      </c>
      <c r="N1658">
        <v>16</v>
      </c>
      <c r="O1658">
        <v>4000</v>
      </c>
      <c r="Q1658">
        <f t="shared" si="52"/>
        <v>2021</v>
      </c>
      <c r="R1658">
        <f t="shared" si="53"/>
        <v>4</v>
      </c>
    </row>
    <row r="1659" spans="1:18">
      <c r="A1659">
        <v>30</v>
      </c>
      <c r="B1659" t="s">
        <v>296</v>
      </c>
      <c r="C1659" s="216">
        <v>44335</v>
      </c>
      <c r="D1659">
        <v>10.4</v>
      </c>
      <c r="E1659" s="116">
        <v>6.6</v>
      </c>
      <c r="F1659" s="101">
        <v>59</v>
      </c>
      <c r="K1659">
        <v>4.4000000000000004</v>
      </c>
      <c r="L1659">
        <v>32</v>
      </c>
      <c r="M1659">
        <v>2700</v>
      </c>
      <c r="N1659">
        <v>97</v>
      </c>
      <c r="O1659">
        <v>3400</v>
      </c>
      <c r="Q1659">
        <f t="shared" si="52"/>
        <v>2021</v>
      </c>
      <c r="R1659">
        <f t="shared" si="53"/>
        <v>5</v>
      </c>
    </row>
    <row r="1660" spans="1:18">
      <c r="A1660">
        <v>30</v>
      </c>
      <c r="B1660" t="s">
        <v>296</v>
      </c>
      <c r="C1660" s="216">
        <v>44396</v>
      </c>
      <c r="D1660">
        <v>17.399999999999999</v>
      </c>
      <c r="E1660" s="116" t="s">
        <v>298</v>
      </c>
      <c r="F1660" s="101" t="s">
        <v>149</v>
      </c>
      <c r="K1660">
        <v>80</v>
      </c>
      <c r="L1660">
        <v>96</v>
      </c>
      <c r="M1660">
        <v>1100</v>
      </c>
      <c r="N1660">
        <v>700</v>
      </c>
      <c r="O1660">
        <v>2100</v>
      </c>
      <c r="Q1660">
        <f t="shared" si="52"/>
        <v>2021</v>
      </c>
      <c r="R1660">
        <f t="shared" si="53"/>
        <v>7</v>
      </c>
    </row>
    <row r="1661" spans="1:18">
      <c r="A1661">
        <v>30</v>
      </c>
      <c r="B1661" t="s">
        <v>296</v>
      </c>
      <c r="C1661" s="216">
        <v>44476</v>
      </c>
      <c r="D1661">
        <v>13.8</v>
      </c>
      <c r="E1661" s="116">
        <v>8.3000000000000007</v>
      </c>
      <c r="F1661" s="101">
        <v>79</v>
      </c>
      <c r="K1661">
        <v>48</v>
      </c>
      <c r="L1661">
        <v>100</v>
      </c>
      <c r="M1661">
        <v>110</v>
      </c>
      <c r="N1661">
        <v>65</v>
      </c>
      <c r="O1661">
        <v>920</v>
      </c>
      <c r="Q1661">
        <f t="shared" si="52"/>
        <v>2021</v>
      </c>
      <c r="R1661">
        <f t="shared" si="53"/>
        <v>10</v>
      </c>
    </row>
    <row r="1662" spans="1:18">
      <c r="A1662">
        <v>30</v>
      </c>
      <c r="B1662" t="s">
        <v>296</v>
      </c>
      <c r="C1662" s="216">
        <v>44509</v>
      </c>
      <c r="D1662">
        <v>8.9</v>
      </c>
      <c r="E1662" s="116">
        <v>10.199999999999999</v>
      </c>
      <c r="F1662" s="101">
        <v>87</v>
      </c>
      <c r="K1662">
        <v>60</v>
      </c>
      <c r="L1662">
        <v>79</v>
      </c>
      <c r="M1662">
        <v>1200</v>
      </c>
      <c r="N1662">
        <v>130</v>
      </c>
      <c r="O1662">
        <v>2200</v>
      </c>
      <c r="Q1662">
        <f t="shared" si="52"/>
        <v>2021</v>
      </c>
      <c r="R1662">
        <f t="shared" si="53"/>
        <v>11</v>
      </c>
    </row>
    <row r="1663" spans="1:18">
      <c r="A1663">
        <v>30</v>
      </c>
      <c r="B1663" t="s">
        <v>296</v>
      </c>
      <c r="C1663" s="216">
        <v>44582</v>
      </c>
      <c r="D1663">
        <v>1.9</v>
      </c>
      <c r="E1663" s="116">
        <v>13.6</v>
      </c>
      <c r="F1663" s="101">
        <v>96</v>
      </c>
      <c r="K1663">
        <v>47</v>
      </c>
      <c r="L1663">
        <v>100</v>
      </c>
      <c r="M1663">
        <v>3300</v>
      </c>
      <c r="N1663">
        <v>92</v>
      </c>
      <c r="O1663">
        <v>4000</v>
      </c>
      <c r="Q1663">
        <f t="shared" si="52"/>
        <v>2022</v>
      </c>
      <c r="R1663">
        <f t="shared" si="53"/>
        <v>1</v>
      </c>
    </row>
    <row r="1664" spans="1:18">
      <c r="A1664">
        <v>30</v>
      </c>
      <c r="B1664" t="s">
        <v>296</v>
      </c>
      <c r="C1664" s="216">
        <v>44621</v>
      </c>
      <c r="D1664">
        <v>3.3</v>
      </c>
      <c r="K1664">
        <v>43</v>
      </c>
      <c r="L1664">
        <v>67</v>
      </c>
      <c r="Q1664">
        <f t="shared" si="52"/>
        <v>2022</v>
      </c>
      <c r="R1664">
        <f t="shared" si="53"/>
        <v>3</v>
      </c>
    </row>
    <row r="1665" spans="1:18">
      <c r="A1665">
        <v>30</v>
      </c>
      <c r="B1665" t="s">
        <v>296</v>
      </c>
      <c r="C1665" s="216">
        <v>44644</v>
      </c>
      <c r="D1665">
        <v>4.3</v>
      </c>
      <c r="E1665" s="116">
        <v>12.7</v>
      </c>
      <c r="F1665" s="101">
        <v>98</v>
      </c>
      <c r="K1665">
        <v>28</v>
      </c>
      <c r="L1665">
        <v>56</v>
      </c>
      <c r="M1665">
        <v>3400</v>
      </c>
      <c r="N1665">
        <v>11</v>
      </c>
      <c r="O1665">
        <v>3800</v>
      </c>
      <c r="Q1665">
        <f t="shared" si="52"/>
        <v>2022</v>
      </c>
      <c r="R1665">
        <f t="shared" si="53"/>
        <v>3</v>
      </c>
    </row>
    <row r="1666" spans="1:18">
      <c r="A1666">
        <v>30</v>
      </c>
      <c r="B1666" t="s">
        <v>296</v>
      </c>
      <c r="C1666" s="216">
        <v>44670</v>
      </c>
      <c r="D1666">
        <v>6.6</v>
      </c>
      <c r="E1666" s="116">
        <v>9.8000000000000007</v>
      </c>
      <c r="F1666" s="101">
        <v>80</v>
      </c>
      <c r="K1666">
        <v>2.4</v>
      </c>
      <c r="L1666">
        <v>24</v>
      </c>
      <c r="Q1666">
        <f t="shared" si="52"/>
        <v>2022</v>
      </c>
      <c r="R1666">
        <f t="shared" si="53"/>
        <v>4</v>
      </c>
    </row>
    <row r="1667" spans="1:18">
      <c r="A1667">
        <v>30</v>
      </c>
      <c r="B1667" t="s">
        <v>296</v>
      </c>
      <c r="C1667" s="216">
        <v>44711</v>
      </c>
      <c r="D1667">
        <v>14.4</v>
      </c>
      <c r="E1667" s="116">
        <v>9.4</v>
      </c>
      <c r="F1667" s="101">
        <v>93</v>
      </c>
      <c r="K1667" t="s">
        <v>149</v>
      </c>
      <c r="L1667">
        <v>24</v>
      </c>
      <c r="M1667">
        <v>2000</v>
      </c>
      <c r="N1667">
        <v>12</v>
      </c>
      <c r="O1667">
        <v>2700</v>
      </c>
      <c r="Q1667">
        <f t="shared" si="52"/>
        <v>2022</v>
      </c>
      <c r="R1667">
        <f t="shared" si="53"/>
        <v>5</v>
      </c>
    </row>
    <row r="1668" spans="1:18">
      <c r="A1668">
        <v>30</v>
      </c>
      <c r="B1668" t="s">
        <v>296</v>
      </c>
      <c r="C1668" s="216">
        <v>44740</v>
      </c>
      <c r="D1668">
        <v>21.5</v>
      </c>
      <c r="K1668">
        <v>3.2</v>
      </c>
      <c r="L1668">
        <v>48</v>
      </c>
      <c r="Q1668">
        <f t="shared" si="52"/>
        <v>2022</v>
      </c>
      <c r="R1668">
        <f t="shared" si="53"/>
        <v>6</v>
      </c>
    </row>
    <row r="1669" spans="1:18">
      <c r="A1669">
        <v>30</v>
      </c>
      <c r="B1669" t="s">
        <v>296</v>
      </c>
      <c r="C1669" s="216">
        <v>44762</v>
      </c>
      <c r="D1669">
        <v>19</v>
      </c>
      <c r="E1669" s="116">
        <v>8.3000000000000007</v>
      </c>
      <c r="F1669" s="101">
        <v>88</v>
      </c>
      <c r="K1669" t="s">
        <v>149</v>
      </c>
      <c r="L1669">
        <v>60</v>
      </c>
      <c r="M1669">
        <v>340</v>
      </c>
      <c r="N1669">
        <v>81</v>
      </c>
      <c r="O1669">
        <v>1300</v>
      </c>
      <c r="Q1669">
        <f t="shared" si="52"/>
        <v>2022</v>
      </c>
      <c r="R1669">
        <f t="shared" si="53"/>
        <v>7</v>
      </c>
    </row>
    <row r="1670" spans="1:18">
      <c r="A1670">
        <v>30</v>
      </c>
      <c r="B1670" t="s">
        <v>296</v>
      </c>
      <c r="C1670" s="216">
        <v>44791</v>
      </c>
      <c r="D1670">
        <v>19.399999999999999</v>
      </c>
      <c r="E1670" s="116" t="s">
        <v>298</v>
      </c>
      <c r="F1670" s="101" t="s">
        <v>149</v>
      </c>
      <c r="K1670">
        <v>120</v>
      </c>
      <c r="L1670">
        <v>170</v>
      </c>
      <c r="Q1670">
        <f t="shared" si="52"/>
        <v>2022</v>
      </c>
      <c r="R1670">
        <f t="shared" si="53"/>
        <v>8</v>
      </c>
    </row>
    <row r="1671" spans="1:18">
      <c r="A1671">
        <v>30</v>
      </c>
      <c r="B1671" t="s">
        <v>296</v>
      </c>
      <c r="C1671" s="216">
        <v>44833</v>
      </c>
      <c r="D1671">
        <v>14.2</v>
      </c>
      <c r="E1671" s="116">
        <v>7.9</v>
      </c>
      <c r="F1671" s="101">
        <v>78</v>
      </c>
      <c r="K1671">
        <v>59</v>
      </c>
      <c r="L1671">
        <v>100</v>
      </c>
      <c r="M1671">
        <v>15</v>
      </c>
      <c r="N1671">
        <v>54</v>
      </c>
      <c r="O1671">
        <v>670</v>
      </c>
      <c r="Q1671">
        <f t="shared" si="52"/>
        <v>2022</v>
      </c>
      <c r="R1671">
        <f t="shared" si="53"/>
        <v>9</v>
      </c>
    </row>
    <row r="1672" spans="1:18">
      <c r="A1672">
        <v>30</v>
      </c>
      <c r="B1672" t="s">
        <v>296</v>
      </c>
      <c r="C1672" s="216">
        <v>44868</v>
      </c>
      <c r="D1672">
        <v>11.8</v>
      </c>
      <c r="E1672" s="116">
        <v>9</v>
      </c>
      <c r="F1672" s="101">
        <v>81</v>
      </c>
      <c r="K1672">
        <v>51</v>
      </c>
      <c r="L1672">
        <v>73</v>
      </c>
      <c r="Q1672">
        <f t="shared" si="52"/>
        <v>2022</v>
      </c>
      <c r="R1672">
        <f t="shared" si="53"/>
        <v>11</v>
      </c>
    </row>
    <row r="1673" spans="1:18">
      <c r="A1673">
        <v>30</v>
      </c>
      <c r="B1673" t="s">
        <v>296</v>
      </c>
      <c r="C1673" s="216">
        <v>44939</v>
      </c>
      <c r="D1673">
        <v>4.2</v>
      </c>
      <c r="E1673" s="116">
        <v>12.3</v>
      </c>
      <c r="F1673" s="101">
        <v>96</v>
      </c>
      <c r="K1673">
        <v>37</v>
      </c>
      <c r="L1673">
        <v>58</v>
      </c>
      <c r="M1673">
        <v>3100</v>
      </c>
      <c r="N1673">
        <v>66</v>
      </c>
      <c r="O1673">
        <v>3800</v>
      </c>
      <c r="Q1673">
        <f t="shared" si="52"/>
        <v>2023</v>
      </c>
      <c r="R1673">
        <f t="shared" si="53"/>
        <v>1</v>
      </c>
    </row>
    <row r="1674" spans="1:18">
      <c r="A1674">
        <v>30</v>
      </c>
      <c r="B1674" t="s">
        <v>296</v>
      </c>
      <c r="C1674" s="216">
        <v>44971</v>
      </c>
      <c r="D1674">
        <v>2.7</v>
      </c>
      <c r="E1674" s="116">
        <v>13.2</v>
      </c>
      <c r="F1674" s="101">
        <v>95</v>
      </c>
      <c r="K1674">
        <v>35</v>
      </c>
      <c r="L1674">
        <v>46</v>
      </c>
      <c r="Q1674">
        <f t="shared" si="52"/>
        <v>2023</v>
      </c>
      <c r="R1674">
        <f t="shared" si="53"/>
        <v>2</v>
      </c>
    </row>
    <row r="1675" spans="1:18">
      <c r="A1675">
        <v>30</v>
      </c>
      <c r="B1675" t="s">
        <v>296</v>
      </c>
      <c r="C1675" s="216">
        <v>45001</v>
      </c>
      <c r="D1675">
        <v>2.9</v>
      </c>
      <c r="E1675" s="116">
        <v>14.5</v>
      </c>
      <c r="F1675" s="101">
        <v>107</v>
      </c>
      <c r="K1675" t="s">
        <v>149</v>
      </c>
      <c r="L1675">
        <v>40</v>
      </c>
      <c r="M1675">
        <v>3800</v>
      </c>
      <c r="N1675" t="s">
        <v>148</v>
      </c>
      <c r="O1675">
        <v>4300</v>
      </c>
      <c r="Q1675">
        <f t="shared" si="52"/>
        <v>2023</v>
      </c>
      <c r="R1675">
        <f t="shared" si="53"/>
        <v>3</v>
      </c>
    </row>
    <row r="1676" spans="1:18">
      <c r="A1676">
        <v>30</v>
      </c>
      <c r="B1676" t="s">
        <v>296</v>
      </c>
      <c r="C1676" s="216">
        <v>45058</v>
      </c>
      <c r="D1676">
        <v>11.1</v>
      </c>
      <c r="E1676" s="116">
        <v>9.4</v>
      </c>
      <c r="F1676" s="101">
        <v>84</v>
      </c>
      <c r="K1676">
        <v>7.7</v>
      </c>
      <c r="L1676">
        <v>28</v>
      </c>
      <c r="M1676">
        <v>3100</v>
      </c>
      <c r="N1676">
        <v>42</v>
      </c>
      <c r="O1676">
        <v>3900</v>
      </c>
      <c r="Q1676">
        <f t="shared" si="52"/>
        <v>2023</v>
      </c>
      <c r="R1676">
        <f t="shared" si="53"/>
        <v>5</v>
      </c>
    </row>
    <row r="1677" spans="1:18">
      <c r="A1677">
        <v>30</v>
      </c>
      <c r="B1677" t="s">
        <v>296</v>
      </c>
      <c r="C1677" s="216">
        <v>45120</v>
      </c>
      <c r="D1677">
        <v>18.7</v>
      </c>
      <c r="E1677" s="116">
        <v>3.8</v>
      </c>
      <c r="F1677" s="101">
        <v>41</v>
      </c>
      <c r="L1677">
        <v>27</v>
      </c>
      <c r="M1677">
        <v>1100</v>
      </c>
      <c r="N1677">
        <v>47</v>
      </c>
      <c r="O1677">
        <v>1700</v>
      </c>
      <c r="Q1677">
        <f t="shared" si="52"/>
        <v>2023</v>
      </c>
      <c r="R1677">
        <f t="shared" si="53"/>
        <v>7</v>
      </c>
    </row>
    <row r="1678" spans="1:18">
      <c r="A1678">
        <v>30</v>
      </c>
      <c r="B1678" t="s">
        <v>296</v>
      </c>
      <c r="C1678" s="216">
        <v>45161</v>
      </c>
      <c r="D1678">
        <v>17.600000000000001</v>
      </c>
      <c r="E1678" s="116">
        <v>1.4</v>
      </c>
      <c r="F1678" s="101">
        <v>15</v>
      </c>
      <c r="Q1678">
        <f t="shared" si="52"/>
        <v>2023</v>
      </c>
      <c r="R1678">
        <f t="shared" si="53"/>
        <v>8</v>
      </c>
    </row>
    <row r="1679" spans="1:18">
      <c r="A1679">
        <v>30</v>
      </c>
      <c r="B1679" t="s">
        <v>296</v>
      </c>
      <c r="C1679" s="216">
        <v>45198</v>
      </c>
      <c r="D1679">
        <v>17.2</v>
      </c>
      <c r="E1679" s="116">
        <v>7.6</v>
      </c>
      <c r="F1679" s="101">
        <v>79</v>
      </c>
      <c r="K1679">
        <v>59</v>
      </c>
      <c r="L1679">
        <v>110</v>
      </c>
      <c r="M1679">
        <v>22</v>
      </c>
      <c r="N1679">
        <v>140</v>
      </c>
      <c r="O1679">
        <v>850</v>
      </c>
      <c r="Q1679">
        <f t="shared" si="52"/>
        <v>2023</v>
      </c>
      <c r="R1679">
        <f t="shared" si="53"/>
        <v>9</v>
      </c>
    </row>
    <row r="1680" spans="1:18">
      <c r="A1680">
        <v>30</v>
      </c>
      <c r="B1680" t="s">
        <v>296</v>
      </c>
      <c r="C1680" s="216">
        <v>45237</v>
      </c>
      <c r="D1680">
        <v>8.6999999999999993</v>
      </c>
      <c r="E1680" s="116">
        <v>10.8</v>
      </c>
      <c r="F1680" s="101">
        <v>76</v>
      </c>
      <c r="K1680">
        <v>34</v>
      </c>
      <c r="L1680">
        <v>100</v>
      </c>
      <c r="M1680">
        <v>1200</v>
      </c>
      <c r="N1680">
        <v>89</v>
      </c>
      <c r="O1680">
        <v>2100</v>
      </c>
      <c r="Q1680">
        <f t="shared" si="52"/>
        <v>2023</v>
      </c>
      <c r="R1680">
        <f t="shared" si="53"/>
        <v>11</v>
      </c>
    </row>
    <row r="1681" spans="1:18">
      <c r="A1681">
        <v>3</v>
      </c>
      <c r="B1681" t="s">
        <v>252</v>
      </c>
      <c r="C1681" s="216">
        <v>45279</v>
      </c>
      <c r="D1681">
        <v>5.4</v>
      </c>
      <c r="E1681" s="116">
        <v>12.1</v>
      </c>
      <c r="F1681" s="101">
        <v>95.2</v>
      </c>
      <c r="G1681">
        <v>8</v>
      </c>
      <c r="H1681" s="116">
        <v>3.7</v>
      </c>
      <c r="I1681">
        <v>46.9</v>
      </c>
      <c r="J1681">
        <v>2.2999999999999998</v>
      </c>
      <c r="K1681">
        <v>38</v>
      </c>
      <c r="L1681">
        <v>75</v>
      </c>
      <c r="M1681">
        <v>4400</v>
      </c>
      <c r="N1681">
        <v>83</v>
      </c>
      <c r="O1681">
        <v>4700</v>
      </c>
      <c r="Q1681">
        <f t="shared" ref="Q1681:Q1686" si="54">YEAR(C1681)</f>
        <v>2023</v>
      </c>
      <c r="R1681">
        <f t="shared" ref="R1681:R1686" si="55">MONTH(C1681)</f>
        <v>12</v>
      </c>
    </row>
    <row r="1682" spans="1:18">
      <c r="A1682">
        <v>7</v>
      </c>
      <c r="B1682" t="s">
        <v>254</v>
      </c>
      <c r="C1682" s="216">
        <v>45279</v>
      </c>
      <c r="D1682">
        <v>3</v>
      </c>
      <c r="E1682" s="116">
        <v>13.3</v>
      </c>
      <c r="F1682" s="101">
        <v>99</v>
      </c>
      <c r="G1682">
        <v>8.1</v>
      </c>
      <c r="H1682" s="116">
        <v>2.2000000000000002</v>
      </c>
      <c r="I1682">
        <v>41.1</v>
      </c>
      <c r="J1682">
        <v>2.7</v>
      </c>
      <c r="K1682">
        <v>41</v>
      </c>
      <c r="L1682">
        <v>64</v>
      </c>
      <c r="M1682">
        <v>3000</v>
      </c>
      <c r="N1682">
        <v>140</v>
      </c>
      <c r="O1682">
        <v>3500</v>
      </c>
      <c r="Q1682">
        <f t="shared" si="54"/>
        <v>2023</v>
      </c>
      <c r="R1682">
        <f t="shared" si="55"/>
        <v>12</v>
      </c>
    </row>
    <row r="1683" spans="1:18">
      <c r="A1683">
        <v>11</v>
      </c>
      <c r="B1683" t="s">
        <v>256</v>
      </c>
      <c r="C1683" s="216">
        <v>45279</v>
      </c>
      <c r="D1683">
        <v>6.6</v>
      </c>
      <c r="E1683" s="116">
        <v>15.5</v>
      </c>
      <c r="F1683" s="101">
        <v>94.4</v>
      </c>
      <c r="G1683">
        <v>8</v>
      </c>
      <c r="H1683" s="116">
        <v>5.5</v>
      </c>
      <c r="I1683">
        <v>43.8</v>
      </c>
      <c r="J1683">
        <v>2</v>
      </c>
      <c r="K1683">
        <v>33</v>
      </c>
      <c r="L1683">
        <v>61</v>
      </c>
      <c r="M1683">
        <v>5900</v>
      </c>
      <c r="N1683">
        <v>42</v>
      </c>
      <c r="O1683">
        <v>6100</v>
      </c>
      <c r="Q1683">
        <f t="shared" si="54"/>
        <v>2023</v>
      </c>
      <c r="R1683">
        <f t="shared" si="55"/>
        <v>12</v>
      </c>
    </row>
    <row r="1684" spans="1:18">
      <c r="A1684">
        <v>19</v>
      </c>
      <c r="B1684" t="s">
        <v>260</v>
      </c>
      <c r="C1684" s="216">
        <v>45279</v>
      </c>
      <c r="D1684">
        <v>6.1</v>
      </c>
      <c r="E1684" s="116">
        <v>11.8</v>
      </c>
      <c r="F1684" s="101">
        <v>94.7</v>
      </c>
      <c r="G1684">
        <v>7.9</v>
      </c>
      <c r="H1684" s="116">
        <v>20</v>
      </c>
      <c r="I1684">
        <v>43.8</v>
      </c>
      <c r="J1684">
        <v>2.5</v>
      </c>
      <c r="K1684">
        <v>37</v>
      </c>
      <c r="L1684">
        <v>94</v>
      </c>
      <c r="M1684">
        <v>7600</v>
      </c>
      <c r="N1684">
        <v>22</v>
      </c>
      <c r="O1684">
        <v>7600</v>
      </c>
      <c r="Q1684">
        <f t="shared" si="54"/>
        <v>2023</v>
      </c>
      <c r="R1684">
        <f t="shared" si="55"/>
        <v>12</v>
      </c>
    </row>
    <row r="1685" spans="1:18">
      <c r="A1685">
        <v>21</v>
      </c>
      <c r="B1685" t="s">
        <v>261</v>
      </c>
      <c r="C1685" s="216">
        <v>45279</v>
      </c>
      <c r="D1685">
        <v>6.3</v>
      </c>
      <c r="E1685" s="116">
        <v>11.6</v>
      </c>
      <c r="F1685" s="101">
        <v>94</v>
      </c>
      <c r="G1685">
        <v>7.9</v>
      </c>
      <c r="H1685" s="116">
        <v>15</v>
      </c>
      <c r="I1685">
        <v>47.7</v>
      </c>
      <c r="J1685">
        <v>2.4</v>
      </c>
      <c r="K1685">
        <v>37</v>
      </c>
      <c r="L1685">
        <v>94</v>
      </c>
      <c r="M1685">
        <v>7200</v>
      </c>
      <c r="N1685">
        <v>49</v>
      </c>
      <c r="O1685">
        <v>7400</v>
      </c>
      <c r="Q1685">
        <f t="shared" si="54"/>
        <v>2023</v>
      </c>
      <c r="R1685">
        <f t="shared" si="55"/>
        <v>12</v>
      </c>
    </row>
    <row r="1686" spans="1:18">
      <c r="A1686">
        <v>18.5</v>
      </c>
      <c r="B1686" t="s">
        <v>267</v>
      </c>
      <c r="C1686" s="216">
        <v>45279</v>
      </c>
      <c r="D1686">
        <v>6.2</v>
      </c>
      <c r="E1686" s="116">
        <v>11.7</v>
      </c>
      <c r="F1686" s="101">
        <v>95</v>
      </c>
      <c r="G1686">
        <v>7.8</v>
      </c>
      <c r="H1686" s="116">
        <v>12</v>
      </c>
      <c r="I1686">
        <v>44</v>
      </c>
      <c r="J1686">
        <v>2.7</v>
      </c>
      <c r="K1686">
        <v>36</v>
      </c>
      <c r="L1686">
        <v>96</v>
      </c>
      <c r="M1686">
        <v>7300</v>
      </c>
      <c r="N1686">
        <v>46</v>
      </c>
      <c r="O1686">
        <v>7300</v>
      </c>
      <c r="Q1686">
        <f t="shared" si="54"/>
        <v>2023</v>
      </c>
      <c r="R1686">
        <f t="shared" si="55"/>
        <v>12</v>
      </c>
    </row>
    <row r="1687" spans="1:18">
      <c r="A1687">
        <v>3</v>
      </c>
      <c r="B1687" t="s">
        <v>252</v>
      </c>
      <c r="C1687" s="216">
        <v>45309</v>
      </c>
      <c r="D1687">
        <v>0.2</v>
      </c>
      <c r="E1687" s="116">
        <v>13.9</v>
      </c>
      <c r="F1687" s="101">
        <v>95</v>
      </c>
      <c r="G1687">
        <v>7.9</v>
      </c>
      <c r="H1687" s="116">
        <v>4.5999999999999996</v>
      </c>
      <c r="I1687">
        <v>44</v>
      </c>
      <c r="J1687" t="s">
        <v>367</v>
      </c>
      <c r="K1687">
        <v>38</v>
      </c>
      <c r="L1687">
        <v>63</v>
      </c>
      <c r="M1687">
        <v>3800</v>
      </c>
      <c r="N1687">
        <v>110</v>
      </c>
      <c r="O1687">
        <v>4500</v>
      </c>
      <c r="P1687" t="s">
        <v>415</v>
      </c>
      <c r="Q1687">
        <f t="shared" ref="Q1687:Q1750" si="56">YEAR(C1687)</f>
        <v>2024</v>
      </c>
      <c r="R1687">
        <f t="shared" ref="R1687:R1750" si="57">MONTH(C1687)</f>
        <v>1</v>
      </c>
    </row>
    <row r="1688" spans="1:18">
      <c r="A1688">
        <v>3</v>
      </c>
      <c r="B1688" t="s">
        <v>252</v>
      </c>
      <c r="C1688" s="216">
        <v>45346</v>
      </c>
      <c r="D1688">
        <v>5</v>
      </c>
      <c r="E1688" s="116">
        <v>12.7</v>
      </c>
      <c r="F1688" s="101">
        <v>100</v>
      </c>
      <c r="G1688">
        <v>7.8</v>
      </c>
      <c r="H1688" s="116">
        <v>8.9</v>
      </c>
      <c r="I1688">
        <v>36.6</v>
      </c>
      <c r="J1688">
        <v>1.3</v>
      </c>
      <c r="K1688">
        <v>29</v>
      </c>
      <c r="L1688">
        <v>58</v>
      </c>
      <c r="M1688">
        <v>3700</v>
      </c>
      <c r="N1688" t="s">
        <v>148</v>
      </c>
      <c r="O1688">
        <v>4000</v>
      </c>
      <c r="P1688" t="s">
        <v>18</v>
      </c>
      <c r="Q1688">
        <f t="shared" si="56"/>
        <v>2024</v>
      </c>
      <c r="R1688">
        <f t="shared" si="57"/>
        <v>2</v>
      </c>
    </row>
    <row r="1689" spans="1:18">
      <c r="A1689">
        <v>3</v>
      </c>
      <c r="B1689" t="s">
        <v>252</v>
      </c>
      <c r="C1689" s="216">
        <v>45371</v>
      </c>
      <c r="D1689">
        <v>6.6</v>
      </c>
      <c r="E1689" s="116">
        <v>11.3</v>
      </c>
      <c r="F1689" s="101">
        <v>92</v>
      </c>
      <c r="G1689">
        <v>8</v>
      </c>
      <c r="H1689" s="116">
        <v>2</v>
      </c>
      <c r="I1689">
        <v>43.9</v>
      </c>
      <c r="J1689">
        <v>1.9</v>
      </c>
      <c r="K1689">
        <v>22</v>
      </c>
      <c r="L1689">
        <v>48</v>
      </c>
      <c r="M1689">
        <v>2600</v>
      </c>
      <c r="N1689">
        <v>48</v>
      </c>
      <c r="O1689">
        <v>3200</v>
      </c>
      <c r="P1689" t="s">
        <v>18</v>
      </c>
      <c r="Q1689">
        <f t="shared" si="56"/>
        <v>2024</v>
      </c>
      <c r="R1689">
        <f t="shared" si="57"/>
        <v>3</v>
      </c>
    </row>
    <row r="1690" spans="1:18">
      <c r="A1690">
        <v>3</v>
      </c>
      <c r="B1690" t="s">
        <v>252</v>
      </c>
      <c r="C1690" s="216">
        <v>45398</v>
      </c>
      <c r="D1690">
        <v>11</v>
      </c>
      <c r="E1690" s="116">
        <v>11.1</v>
      </c>
      <c r="F1690" s="101">
        <v>101</v>
      </c>
      <c r="G1690">
        <v>8.1</v>
      </c>
      <c r="H1690" s="116">
        <v>4.5999999999999996</v>
      </c>
      <c r="I1690">
        <v>45.3</v>
      </c>
      <c r="J1690">
        <v>2.4</v>
      </c>
      <c r="K1690">
        <v>6.6</v>
      </c>
      <c r="L1690">
        <v>42</v>
      </c>
      <c r="M1690">
        <v>2700</v>
      </c>
      <c r="N1690">
        <v>14</v>
      </c>
      <c r="O1690">
        <v>3900</v>
      </c>
      <c r="P1690" t="s">
        <v>18</v>
      </c>
      <c r="Q1690">
        <f t="shared" si="56"/>
        <v>2024</v>
      </c>
      <c r="R1690">
        <f t="shared" si="57"/>
        <v>4</v>
      </c>
    </row>
    <row r="1691" spans="1:18">
      <c r="A1691">
        <v>3</v>
      </c>
      <c r="B1691" t="s">
        <v>252</v>
      </c>
      <c r="C1691" s="216">
        <v>45427</v>
      </c>
      <c r="D1691">
        <v>16.7</v>
      </c>
      <c r="E1691" s="116">
        <v>8.6</v>
      </c>
      <c r="F1691" s="101">
        <v>89</v>
      </c>
      <c r="G1691">
        <v>8</v>
      </c>
      <c r="H1691" s="116">
        <v>2.2999999999999998</v>
      </c>
      <c r="I1691">
        <v>46.5</v>
      </c>
      <c r="J1691">
        <v>1.4</v>
      </c>
      <c r="K1691">
        <v>17</v>
      </c>
      <c r="L1691">
        <v>48</v>
      </c>
      <c r="M1691">
        <v>2000</v>
      </c>
      <c r="N1691">
        <v>23</v>
      </c>
      <c r="O1691">
        <v>2600</v>
      </c>
      <c r="P1691" t="s">
        <v>18</v>
      </c>
      <c r="Q1691">
        <f t="shared" si="56"/>
        <v>2024</v>
      </c>
      <c r="R1691">
        <f t="shared" si="57"/>
        <v>5</v>
      </c>
    </row>
    <row r="1692" spans="1:18">
      <c r="A1692">
        <v>3</v>
      </c>
      <c r="B1692" t="s">
        <v>252</v>
      </c>
      <c r="C1692" s="216">
        <v>45456</v>
      </c>
      <c r="D1692">
        <v>16.5</v>
      </c>
      <c r="E1692" s="116">
        <v>8.6</v>
      </c>
      <c r="F1692" s="101">
        <v>88</v>
      </c>
      <c r="G1692">
        <v>8</v>
      </c>
      <c r="H1692" s="116">
        <v>1.2</v>
      </c>
      <c r="I1692">
        <v>47.3</v>
      </c>
      <c r="J1692">
        <v>1.1000000000000001</v>
      </c>
      <c r="K1692">
        <v>42</v>
      </c>
      <c r="L1692">
        <v>60</v>
      </c>
      <c r="M1692">
        <v>1200</v>
      </c>
      <c r="N1692">
        <v>27</v>
      </c>
      <c r="O1692">
        <v>1800</v>
      </c>
      <c r="P1692" t="s">
        <v>18</v>
      </c>
      <c r="Q1692">
        <f t="shared" si="56"/>
        <v>2024</v>
      </c>
      <c r="R1692">
        <f t="shared" si="57"/>
        <v>6</v>
      </c>
    </row>
    <row r="1693" spans="1:18">
      <c r="A1693">
        <v>3</v>
      </c>
      <c r="B1693" t="s">
        <v>252</v>
      </c>
      <c r="C1693" s="216">
        <v>45483</v>
      </c>
      <c r="D1693">
        <v>18.8</v>
      </c>
      <c r="E1693" s="116">
        <v>8.35</v>
      </c>
      <c r="F1693" s="101">
        <v>90</v>
      </c>
      <c r="G1693">
        <v>7.9</v>
      </c>
      <c r="H1693" s="116">
        <v>0.82</v>
      </c>
      <c r="I1693">
        <v>42.8</v>
      </c>
      <c r="J1693">
        <v>0.86</v>
      </c>
      <c r="K1693">
        <v>40</v>
      </c>
      <c r="L1693">
        <v>65</v>
      </c>
      <c r="M1693">
        <v>1200</v>
      </c>
      <c r="N1693">
        <v>22</v>
      </c>
      <c r="O1693">
        <v>1400</v>
      </c>
      <c r="P1693" t="s">
        <v>18</v>
      </c>
      <c r="Q1693">
        <f t="shared" si="56"/>
        <v>2024</v>
      </c>
      <c r="R1693">
        <f t="shared" si="57"/>
        <v>7</v>
      </c>
    </row>
    <row r="1694" spans="1:18">
      <c r="A1694">
        <v>3</v>
      </c>
      <c r="B1694" t="s">
        <v>252</v>
      </c>
      <c r="C1694" s="216">
        <v>45524</v>
      </c>
      <c r="D1694">
        <v>19.8</v>
      </c>
      <c r="E1694" s="116">
        <v>8.1</v>
      </c>
      <c r="F1694" s="101">
        <v>89</v>
      </c>
      <c r="G1694">
        <v>7.8</v>
      </c>
      <c r="H1694" s="116">
        <v>1.4</v>
      </c>
      <c r="I1694">
        <v>45.5</v>
      </c>
      <c r="J1694">
        <v>0.72</v>
      </c>
      <c r="K1694">
        <v>9.6999999999999993</v>
      </c>
      <c r="L1694">
        <v>70</v>
      </c>
      <c r="M1694">
        <v>660</v>
      </c>
      <c r="N1694">
        <v>15</v>
      </c>
      <c r="O1694">
        <v>1100</v>
      </c>
      <c r="P1694" t="s">
        <v>18</v>
      </c>
      <c r="Q1694">
        <f t="shared" si="56"/>
        <v>2024</v>
      </c>
      <c r="R1694">
        <f t="shared" si="57"/>
        <v>8</v>
      </c>
    </row>
    <row r="1695" spans="1:18">
      <c r="A1695">
        <v>3</v>
      </c>
      <c r="B1695" t="s">
        <v>252</v>
      </c>
      <c r="C1695" s="216">
        <v>45552</v>
      </c>
      <c r="D1695">
        <v>15.4</v>
      </c>
      <c r="E1695" s="116">
        <v>8.89</v>
      </c>
      <c r="F1695" s="101">
        <v>89</v>
      </c>
      <c r="G1695">
        <v>7.8</v>
      </c>
      <c r="H1695" s="116">
        <v>1.3</v>
      </c>
      <c r="I1695">
        <v>42.2</v>
      </c>
      <c r="J1695">
        <v>0.93</v>
      </c>
      <c r="K1695">
        <v>74</v>
      </c>
      <c r="L1695">
        <v>98</v>
      </c>
      <c r="M1695">
        <v>990</v>
      </c>
      <c r="N1695" t="s">
        <v>148</v>
      </c>
      <c r="O1695">
        <v>1400</v>
      </c>
      <c r="P1695" t="s">
        <v>18</v>
      </c>
      <c r="Q1695">
        <f t="shared" si="56"/>
        <v>2024</v>
      </c>
      <c r="R1695">
        <f t="shared" si="57"/>
        <v>9</v>
      </c>
    </row>
    <row r="1696" spans="1:18">
      <c r="A1696">
        <v>3</v>
      </c>
      <c r="B1696" t="s">
        <v>252</v>
      </c>
      <c r="C1696" s="216">
        <v>45575</v>
      </c>
      <c r="D1696">
        <v>12.4</v>
      </c>
      <c r="E1696" s="116">
        <v>9.19</v>
      </c>
      <c r="F1696" s="101">
        <v>86</v>
      </c>
      <c r="G1696">
        <v>7.7</v>
      </c>
      <c r="H1696" s="116">
        <v>2.5</v>
      </c>
      <c r="I1696">
        <v>44.3</v>
      </c>
      <c r="J1696">
        <v>1.8</v>
      </c>
      <c r="K1696">
        <v>60</v>
      </c>
      <c r="L1696">
        <v>74</v>
      </c>
      <c r="M1696">
        <v>1900</v>
      </c>
      <c r="N1696">
        <v>39</v>
      </c>
      <c r="O1696">
        <v>1900</v>
      </c>
      <c r="P1696" t="s">
        <v>18</v>
      </c>
      <c r="Q1696">
        <f t="shared" si="56"/>
        <v>2024</v>
      </c>
      <c r="R1696">
        <f t="shared" si="57"/>
        <v>10</v>
      </c>
    </row>
    <row r="1697" spans="1:18">
      <c r="A1697">
        <v>3</v>
      </c>
      <c r="B1697" t="s">
        <v>252</v>
      </c>
      <c r="C1697" s="216">
        <v>45610</v>
      </c>
      <c r="D1697">
        <v>8.3000000000000007</v>
      </c>
      <c r="E1697" s="116">
        <v>11.26</v>
      </c>
      <c r="F1697" s="101">
        <v>96</v>
      </c>
      <c r="G1697">
        <v>7.9</v>
      </c>
      <c r="H1697" s="116">
        <v>2.1</v>
      </c>
      <c r="I1697">
        <v>46.7</v>
      </c>
      <c r="J1697">
        <v>1.7</v>
      </c>
      <c r="K1697">
        <v>54</v>
      </c>
      <c r="L1697">
        <v>75</v>
      </c>
      <c r="M1697">
        <v>1800</v>
      </c>
      <c r="N1697">
        <v>37</v>
      </c>
      <c r="O1697">
        <v>2100</v>
      </c>
      <c r="P1697" t="s">
        <v>18</v>
      </c>
      <c r="Q1697">
        <f t="shared" si="56"/>
        <v>2024</v>
      </c>
      <c r="R1697">
        <f t="shared" si="57"/>
        <v>11</v>
      </c>
    </row>
    <row r="1698" spans="1:18">
      <c r="A1698">
        <v>3</v>
      </c>
      <c r="B1698" t="s">
        <v>252</v>
      </c>
      <c r="C1698" s="216">
        <v>45642</v>
      </c>
      <c r="D1698">
        <v>5.3</v>
      </c>
      <c r="E1698" s="116">
        <v>12.12</v>
      </c>
      <c r="F1698" s="101">
        <v>96</v>
      </c>
      <c r="G1698">
        <v>8</v>
      </c>
      <c r="H1698" s="116">
        <v>2.6</v>
      </c>
      <c r="I1698">
        <v>52</v>
      </c>
      <c r="J1698">
        <v>1.4</v>
      </c>
      <c r="K1698">
        <v>44</v>
      </c>
      <c r="L1698">
        <v>63</v>
      </c>
      <c r="M1698">
        <v>3000</v>
      </c>
      <c r="N1698">
        <v>61</v>
      </c>
      <c r="O1698">
        <v>3500</v>
      </c>
      <c r="P1698" t="s">
        <v>18</v>
      </c>
      <c r="Q1698">
        <f t="shared" si="56"/>
        <v>2024</v>
      </c>
      <c r="R1698">
        <f t="shared" si="57"/>
        <v>12</v>
      </c>
    </row>
    <row r="1699" spans="1:18">
      <c r="A1699">
        <v>5</v>
      </c>
      <c r="B1699" t="s">
        <v>253</v>
      </c>
      <c r="C1699" s="216">
        <v>45309</v>
      </c>
      <c r="D1699">
        <v>0.5</v>
      </c>
      <c r="E1699" s="116">
        <v>12.6</v>
      </c>
      <c r="F1699" s="101">
        <v>87</v>
      </c>
      <c r="G1699">
        <v>7.7</v>
      </c>
      <c r="H1699" s="116">
        <v>6</v>
      </c>
      <c r="I1699">
        <v>42.6</v>
      </c>
      <c r="J1699" t="s">
        <v>367</v>
      </c>
      <c r="K1699">
        <v>37</v>
      </c>
      <c r="L1699">
        <v>61</v>
      </c>
      <c r="M1699">
        <v>3500</v>
      </c>
      <c r="N1699">
        <v>120</v>
      </c>
      <c r="O1699">
        <v>4100</v>
      </c>
      <c r="P1699" t="s">
        <v>415</v>
      </c>
      <c r="Q1699">
        <f t="shared" si="56"/>
        <v>2024</v>
      </c>
      <c r="R1699">
        <f t="shared" si="57"/>
        <v>1</v>
      </c>
    </row>
    <row r="1700" spans="1:18">
      <c r="A1700">
        <v>5</v>
      </c>
      <c r="B1700" t="s">
        <v>253</v>
      </c>
      <c r="C1700" s="216">
        <v>45371</v>
      </c>
      <c r="D1700">
        <v>5.9</v>
      </c>
      <c r="E1700" s="116">
        <v>10.9</v>
      </c>
      <c r="F1700" s="101">
        <v>88</v>
      </c>
      <c r="G1700">
        <v>7.9</v>
      </c>
      <c r="H1700" s="116">
        <v>3.2</v>
      </c>
      <c r="I1700">
        <v>41.7</v>
      </c>
      <c r="J1700">
        <v>1.6</v>
      </c>
      <c r="K1700">
        <v>17</v>
      </c>
      <c r="L1700">
        <v>44</v>
      </c>
      <c r="M1700">
        <v>2400</v>
      </c>
      <c r="N1700">
        <v>53</v>
      </c>
      <c r="O1700">
        <v>3000</v>
      </c>
      <c r="P1700" t="s">
        <v>18</v>
      </c>
      <c r="Q1700">
        <f t="shared" si="56"/>
        <v>2024</v>
      </c>
      <c r="R1700">
        <f t="shared" si="57"/>
        <v>3</v>
      </c>
    </row>
    <row r="1701" spans="1:18">
      <c r="A1701">
        <v>5</v>
      </c>
      <c r="B1701" t="s">
        <v>253</v>
      </c>
      <c r="C1701" s="216">
        <v>45427</v>
      </c>
      <c r="D1701">
        <v>17.399999999999999</v>
      </c>
      <c r="E1701" s="116">
        <v>8.5</v>
      </c>
      <c r="F1701" s="101">
        <v>89</v>
      </c>
      <c r="G1701">
        <v>8</v>
      </c>
      <c r="H1701" s="116">
        <v>2.9</v>
      </c>
      <c r="I1701">
        <v>43.8</v>
      </c>
      <c r="J1701">
        <v>2.4</v>
      </c>
      <c r="K1701">
        <v>12</v>
      </c>
      <c r="L1701">
        <v>47</v>
      </c>
      <c r="M1701">
        <v>1800</v>
      </c>
      <c r="N1701">
        <v>38</v>
      </c>
      <c r="O1701">
        <v>2400</v>
      </c>
      <c r="P1701" t="s">
        <v>18</v>
      </c>
      <c r="Q1701">
        <f t="shared" si="56"/>
        <v>2024</v>
      </c>
      <c r="R1701">
        <f t="shared" si="57"/>
        <v>5</v>
      </c>
    </row>
    <row r="1702" spans="1:18">
      <c r="A1702">
        <v>5</v>
      </c>
      <c r="B1702" t="s">
        <v>253</v>
      </c>
      <c r="C1702" s="216">
        <v>45483</v>
      </c>
      <c r="D1702">
        <v>18</v>
      </c>
      <c r="E1702" s="116">
        <v>9.3000000000000007</v>
      </c>
      <c r="F1702" s="101">
        <v>98</v>
      </c>
      <c r="G1702">
        <v>7.9</v>
      </c>
      <c r="H1702" s="116">
        <v>1.1000000000000001</v>
      </c>
      <c r="I1702">
        <v>40.1</v>
      </c>
      <c r="J1702">
        <v>1.1000000000000001</v>
      </c>
      <c r="K1702">
        <v>24</v>
      </c>
      <c r="L1702">
        <v>48</v>
      </c>
      <c r="M1702">
        <v>830</v>
      </c>
      <c r="N1702">
        <v>27</v>
      </c>
      <c r="O1702">
        <v>1100</v>
      </c>
      <c r="P1702" t="s">
        <v>18</v>
      </c>
      <c r="Q1702">
        <f t="shared" si="56"/>
        <v>2024</v>
      </c>
      <c r="R1702">
        <f t="shared" si="57"/>
        <v>7</v>
      </c>
    </row>
    <row r="1703" spans="1:18">
      <c r="A1703">
        <v>5</v>
      </c>
      <c r="B1703" t="s">
        <v>253</v>
      </c>
      <c r="C1703" s="216">
        <v>45552</v>
      </c>
      <c r="D1703">
        <v>15.5</v>
      </c>
      <c r="E1703" s="116">
        <v>7.36</v>
      </c>
      <c r="F1703" s="101">
        <v>74</v>
      </c>
      <c r="G1703">
        <v>7.6</v>
      </c>
      <c r="H1703" s="116">
        <v>1.4</v>
      </c>
      <c r="I1703">
        <v>40.200000000000003</v>
      </c>
      <c r="J1703">
        <v>1</v>
      </c>
      <c r="K1703">
        <v>59</v>
      </c>
      <c r="L1703">
        <v>84</v>
      </c>
      <c r="M1703">
        <v>1200</v>
      </c>
      <c r="N1703" t="s">
        <v>148</v>
      </c>
      <c r="O1703">
        <v>1600</v>
      </c>
      <c r="P1703" t="s">
        <v>18</v>
      </c>
      <c r="Q1703">
        <f t="shared" si="56"/>
        <v>2024</v>
      </c>
      <c r="R1703">
        <f t="shared" si="57"/>
        <v>9</v>
      </c>
    </row>
    <row r="1704" spans="1:18">
      <c r="A1704">
        <v>5</v>
      </c>
      <c r="B1704" t="s">
        <v>253</v>
      </c>
      <c r="C1704" s="216">
        <v>45610</v>
      </c>
      <c r="D1704">
        <v>8.3000000000000007</v>
      </c>
      <c r="E1704" s="116">
        <v>8.9600000000000009</v>
      </c>
      <c r="F1704" s="101">
        <v>76</v>
      </c>
      <c r="G1704">
        <v>7.8</v>
      </c>
      <c r="H1704" s="116">
        <v>4.7</v>
      </c>
      <c r="I1704">
        <v>42.7</v>
      </c>
      <c r="J1704">
        <v>2</v>
      </c>
      <c r="K1704">
        <v>53</v>
      </c>
      <c r="L1704">
        <v>89</v>
      </c>
      <c r="M1704">
        <v>1300</v>
      </c>
      <c r="N1704">
        <v>57</v>
      </c>
      <c r="O1704">
        <v>1900</v>
      </c>
      <c r="P1704" t="s">
        <v>18</v>
      </c>
      <c r="Q1704">
        <f t="shared" si="56"/>
        <v>2024</v>
      </c>
      <c r="R1704">
        <f t="shared" si="57"/>
        <v>11</v>
      </c>
    </row>
    <row r="1705" spans="1:18">
      <c r="A1705">
        <v>6</v>
      </c>
      <c r="B1705" t="s">
        <v>265</v>
      </c>
      <c r="C1705" s="216">
        <v>45309</v>
      </c>
      <c r="D1705">
        <v>0.6</v>
      </c>
      <c r="E1705" s="116">
        <v>12.8</v>
      </c>
      <c r="F1705" s="101">
        <v>89</v>
      </c>
      <c r="G1705">
        <v>7.7</v>
      </c>
      <c r="H1705" s="116">
        <v>4.0999999999999996</v>
      </c>
      <c r="I1705">
        <v>41.5</v>
      </c>
      <c r="J1705" t="s">
        <v>367</v>
      </c>
      <c r="K1705">
        <v>37</v>
      </c>
      <c r="L1705">
        <v>64</v>
      </c>
      <c r="M1705">
        <v>3200</v>
      </c>
      <c r="N1705">
        <v>140</v>
      </c>
      <c r="O1705">
        <v>3900</v>
      </c>
      <c r="P1705" t="s">
        <v>415</v>
      </c>
      <c r="Q1705">
        <f t="shared" si="56"/>
        <v>2024</v>
      </c>
      <c r="R1705">
        <f t="shared" si="57"/>
        <v>1</v>
      </c>
    </row>
    <row r="1706" spans="1:18">
      <c r="A1706">
        <v>6</v>
      </c>
      <c r="B1706" t="s">
        <v>265</v>
      </c>
      <c r="C1706" s="216">
        <v>45346</v>
      </c>
      <c r="D1706">
        <v>4.7</v>
      </c>
      <c r="E1706" s="116">
        <v>13</v>
      </c>
      <c r="F1706" s="101">
        <v>101</v>
      </c>
      <c r="G1706">
        <v>7.8</v>
      </c>
      <c r="H1706" s="116">
        <v>3.4</v>
      </c>
      <c r="I1706">
        <v>34.5</v>
      </c>
      <c r="J1706">
        <v>1.5</v>
      </c>
      <c r="K1706">
        <v>28</v>
      </c>
      <c r="L1706">
        <v>48</v>
      </c>
      <c r="M1706">
        <v>3000</v>
      </c>
      <c r="N1706">
        <v>18</v>
      </c>
      <c r="O1706">
        <v>3500</v>
      </c>
      <c r="P1706" t="s">
        <v>18</v>
      </c>
      <c r="Q1706">
        <f t="shared" si="56"/>
        <v>2024</v>
      </c>
      <c r="R1706">
        <f t="shared" si="57"/>
        <v>2</v>
      </c>
    </row>
    <row r="1707" spans="1:18">
      <c r="A1707">
        <v>6</v>
      </c>
      <c r="B1707" t="s">
        <v>265</v>
      </c>
      <c r="C1707" s="216">
        <v>45371</v>
      </c>
      <c r="D1707">
        <v>6.2</v>
      </c>
      <c r="E1707" s="116">
        <v>11</v>
      </c>
      <c r="F1707" s="101">
        <v>89</v>
      </c>
      <c r="G1707">
        <v>7.9</v>
      </c>
      <c r="H1707" s="116">
        <v>3.1</v>
      </c>
      <c r="I1707">
        <v>40.799999999999997</v>
      </c>
      <c r="J1707">
        <v>1.8</v>
      </c>
      <c r="K1707">
        <v>21</v>
      </c>
      <c r="L1707">
        <v>49</v>
      </c>
      <c r="M1707">
        <v>2200</v>
      </c>
      <c r="N1707">
        <v>54</v>
      </c>
      <c r="O1707">
        <v>2900</v>
      </c>
      <c r="P1707" t="s">
        <v>18</v>
      </c>
      <c r="Q1707">
        <f t="shared" si="56"/>
        <v>2024</v>
      </c>
      <c r="R1707">
        <f t="shared" si="57"/>
        <v>3</v>
      </c>
    </row>
    <row r="1708" spans="1:18">
      <c r="A1708">
        <v>6</v>
      </c>
      <c r="B1708" t="s">
        <v>265</v>
      </c>
      <c r="C1708" s="216">
        <v>45398</v>
      </c>
      <c r="D1708">
        <v>10.8</v>
      </c>
      <c r="E1708" s="116">
        <v>10.3</v>
      </c>
      <c r="F1708" s="101">
        <v>93</v>
      </c>
      <c r="G1708">
        <v>8</v>
      </c>
      <c r="H1708" s="116">
        <v>3.4</v>
      </c>
      <c r="I1708">
        <v>42.9</v>
      </c>
      <c r="J1708">
        <v>2.2999999999999998</v>
      </c>
      <c r="K1708">
        <v>8.6999999999999993</v>
      </c>
      <c r="L1708">
        <v>40</v>
      </c>
      <c r="M1708">
        <v>2000</v>
      </c>
      <c r="N1708">
        <v>48</v>
      </c>
      <c r="O1708">
        <v>3000</v>
      </c>
      <c r="P1708" t="s">
        <v>18</v>
      </c>
      <c r="Q1708">
        <f t="shared" si="56"/>
        <v>2024</v>
      </c>
      <c r="R1708">
        <f t="shared" si="57"/>
        <v>4</v>
      </c>
    </row>
    <row r="1709" spans="1:18">
      <c r="A1709">
        <v>6</v>
      </c>
      <c r="B1709" t="s">
        <v>265</v>
      </c>
      <c r="C1709" s="216">
        <v>45427</v>
      </c>
      <c r="D1709">
        <v>17.5</v>
      </c>
      <c r="E1709" s="116">
        <v>8.3000000000000007</v>
      </c>
      <c r="F1709" s="101">
        <v>87</v>
      </c>
      <c r="G1709">
        <v>7.9</v>
      </c>
      <c r="H1709" s="116">
        <v>3.2</v>
      </c>
      <c r="I1709">
        <v>41.7</v>
      </c>
      <c r="J1709">
        <v>2.1</v>
      </c>
      <c r="K1709">
        <v>16</v>
      </c>
      <c r="L1709">
        <v>51</v>
      </c>
      <c r="M1709">
        <v>1400</v>
      </c>
      <c r="N1709">
        <v>65</v>
      </c>
      <c r="O1709">
        <v>2000</v>
      </c>
      <c r="P1709" t="s">
        <v>18</v>
      </c>
      <c r="Q1709">
        <f t="shared" si="56"/>
        <v>2024</v>
      </c>
      <c r="R1709">
        <f t="shared" si="57"/>
        <v>5</v>
      </c>
    </row>
    <row r="1710" spans="1:18">
      <c r="A1710">
        <v>6</v>
      </c>
      <c r="B1710" t="s">
        <v>265</v>
      </c>
      <c r="C1710" s="216">
        <v>45456</v>
      </c>
      <c r="D1710">
        <v>16.5</v>
      </c>
      <c r="E1710" s="116">
        <v>9.1</v>
      </c>
      <c r="F1710" s="101">
        <v>93</v>
      </c>
      <c r="G1710">
        <v>8</v>
      </c>
      <c r="H1710" s="116">
        <v>1.4</v>
      </c>
      <c r="I1710">
        <v>42.1</v>
      </c>
      <c r="J1710">
        <v>1.4</v>
      </c>
      <c r="K1710">
        <v>25</v>
      </c>
      <c r="L1710">
        <v>45</v>
      </c>
      <c r="M1710">
        <v>1200</v>
      </c>
      <c r="N1710">
        <v>42</v>
      </c>
      <c r="O1710">
        <v>1600</v>
      </c>
      <c r="P1710" t="s">
        <v>18</v>
      </c>
      <c r="Q1710">
        <f t="shared" si="56"/>
        <v>2024</v>
      </c>
      <c r="R1710">
        <f t="shared" si="57"/>
        <v>6</v>
      </c>
    </row>
    <row r="1711" spans="1:18">
      <c r="A1711">
        <v>6</v>
      </c>
      <c r="B1711" t="s">
        <v>265</v>
      </c>
      <c r="C1711" s="216">
        <v>45483</v>
      </c>
      <c r="D1711">
        <v>19.399999999999999</v>
      </c>
      <c r="E1711" s="116">
        <v>8.73</v>
      </c>
      <c r="F1711" s="101">
        <v>95</v>
      </c>
      <c r="G1711">
        <v>7.8</v>
      </c>
      <c r="H1711" s="116">
        <v>0.85</v>
      </c>
      <c r="I1711">
        <v>40.4</v>
      </c>
      <c r="J1711">
        <v>1.1000000000000001</v>
      </c>
      <c r="K1711">
        <v>27</v>
      </c>
      <c r="L1711">
        <v>52</v>
      </c>
      <c r="M1711">
        <v>720</v>
      </c>
      <c r="N1711">
        <v>20</v>
      </c>
      <c r="O1711">
        <v>1100</v>
      </c>
      <c r="P1711" t="s">
        <v>18</v>
      </c>
      <c r="Q1711">
        <f t="shared" si="56"/>
        <v>2024</v>
      </c>
      <c r="R1711">
        <f t="shared" si="57"/>
        <v>7</v>
      </c>
    </row>
    <row r="1712" spans="1:18">
      <c r="A1712">
        <v>6</v>
      </c>
      <c r="B1712" t="s">
        <v>265</v>
      </c>
      <c r="C1712" s="216">
        <v>45524</v>
      </c>
      <c r="D1712">
        <v>19.399999999999999</v>
      </c>
      <c r="E1712" s="116">
        <v>6.09</v>
      </c>
      <c r="F1712" s="101">
        <v>66</v>
      </c>
      <c r="G1712">
        <v>7.6</v>
      </c>
      <c r="H1712" s="116">
        <v>4.5</v>
      </c>
      <c r="I1712">
        <v>38.9</v>
      </c>
      <c r="J1712">
        <v>1.7</v>
      </c>
      <c r="K1712">
        <v>9.6999999999999993</v>
      </c>
      <c r="L1712">
        <v>97</v>
      </c>
      <c r="M1712">
        <v>240</v>
      </c>
      <c r="N1712">
        <v>24</v>
      </c>
      <c r="O1712">
        <v>930</v>
      </c>
      <c r="P1712" t="s">
        <v>18</v>
      </c>
      <c r="Q1712">
        <f t="shared" si="56"/>
        <v>2024</v>
      </c>
      <c r="R1712">
        <f t="shared" si="57"/>
        <v>8</v>
      </c>
    </row>
    <row r="1713" spans="1:18">
      <c r="A1713">
        <v>6</v>
      </c>
      <c r="B1713" t="s">
        <v>265</v>
      </c>
      <c r="C1713" s="216">
        <v>45552</v>
      </c>
      <c r="D1713">
        <v>15.9</v>
      </c>
      <c r="E1713" s="116">
        <v>6.43</v>
      </c>
      <c r="F1713" s="101">
        <v>65</v>
      </c>
      <c r="G1713">
        <v>7.5</v>
      </c>
      <c r="H1713" s="116">
        <v>1.4</v>
      </c>
      <c r="I1713">
        <v>37.6</v>
      </c>
      <c r="J1713">
        <v>1</v>
      </c>
      <c r="K1713">
        <v>57</v>
      </c>
      <c r="L1713">
        <v>91</v>
      </c>
      <c r="M1713">
        <v>500</v>
      </c>
      <c r="N1713" t="s">
        <v>148</v>
      </c>
      <c r="O1713">
        <v>1000</v>
      </c>
      <c r="P1713" t="s">
        <v>18</v>
      </c>
      <c r="Q1713">
        <f t="shared" si="56"/>
        <v>2024</v>
      </c>
      <c r="R1713">
        <f t="shared" si="57"/>
        <v>9</v>
      </c>
    </row>
    <row r="1714" spans="1:18">
      <c r="A1714">
        <v>6</v>
      </c>
      <c r="B1714" t="s">
        <v>265</v>
      </c>
      <c r="C1714" s="216">
        <v>45575</v>
      </c>
      <c r="D1714">
        <v>13</v>
      </c>
      <c r="E1714" s="116">
        <v>6.85</v>
      </c>
      <c r="F1714" s="101">
        <v>65</v>
      </c>
      <c r="G1714">
        <v>7.5</v>
      </c>
      <c r="H1714" s="116">
        <v>6</v>
      </c>
      <c r="I1714">
        <v>37.299999999999997</v>
      </c>
      <c r="J1714">
        <v>2.2999999999999998</v>
      </c>
      <c r="K1714">
        <v>69</v>
      </c>
      <c r="L1714">
        <v>110</v>
      </c>
      <c r="M1714">
        <v>890</v>
      </c>
      <c r="N1714">
        <v>90</v>
      </c>
      <c r="O1714">
        <v>1200</v>
      </c>
      <c r="P1714" t="s">
        <v>18</v>
      </c>
      <c r="Q1714">
        <f t="shared" si="56"/>
        <v>2024</v>
      </c>
      <c r="R1714">
        <f t="shared" si="57"/>
        <v>10</v>
      </c>
    </row>
    <row r="1715" spans="1:18">
      <c r="A1715">
        <v>6</v>
      </c>
      <c r="B1715" t="s">
        <v>265</v>
      </c>
      <c r="C1715" s="216">
        <v>45610</v>
      </c>
      <c r="D1715">
        <v>8.1999999999999993</v>
      </c>
      <c r="E1715" s="116">
        <v>9.41</v>
      </c>
      <c r="F1715" s="101">
        <v>80</v>
      </c>
      <c r="G1715">
        <v>7.8</v>
      </c>
      <c r="H1715" s="116">
        <v>3.6</v>
      </c>
      <c r="I1715">
        <v>40.799999999999997</v>
      </c>
      <c r="J1715">
        <v>1.7</v>
      </c>
      <c r="K1715">
        <v>53</v>
      </c>
      <c r="L1715">
        <v>83</v>
      </c>
      <c r="M1715">
        <v>940</v>
      </c>
      <c r="N1715">
        <v>66</v>
      </c>
      <c r="O1715">
        <v>1400</v>
      </c>
      <c r="P1715" t="s">
        <v>18</v>
      </c>
      <c r="Q1715">
        <f t="shared" si="56"/>
        <v>2024</v>
      </c>
      <c r="R1715">
        <f t="shared" si="57"/>
        <v>11</v>
      </c>
    </row>
    <row r="1716" spans="1:18">
      <c r="A1716">
        <v>6</v>
      </c>
      <c r="B1716" t="s">
        <v>265</v>
      </c>
      <c r="C1716" s="216">
        <v>45642</v>
      </c>
      <c r="D1716">
        <v>5.7</v>
      </c>
      <c r="E1716" s="116">
        <v>11.45</v>
      </c>
      <c r="F1716" s="101">
        <v>91</v>
      </c>
      <c r="G1716">
        <v>7.9</v>
      </c>
      <c r="H1716" s="116">
        <v>7.7</v>
      </c>
      <c r="I1716">
        <v>45.2</v>
      </c>
      <c r="J1716">
        <v>1.9</v>
      </c>
      <c r="K1716">
        <v>46</v>
      </c>
      <c r="L1716">
        <v>79</v>
      </c>
      <c r="M1716">
        <v>1800</v>
      </c>
      <c r="N1716">
        <v>91</v>
      </c>
      <c r="O1716">
        <v>2200</v>
      </c>
      <c r="P1716" t="s">
        <v>18</v>
      </c>
      <c r="Q1716">
        <f t="shared" si="56"/>
        <v>2024</v>
      </c>
      <c r="R1716">
        <f t="shared" si="57"/>
        <v>12</v>
      </c>
    </row>
    <row r="1717" spans="1:18">
      <c r="A1717">
        <v>7</v>
      </c>
      <c r="B1717" t="s">
        <v>254</v>
      </c>
      <c r="C1717" s="216">
        <v>45309</v>
      </c>
      <c r="D1717">
        <v>0.9</v>
      </c>
      <c r="E1717" s="116">
        <v>13.4</v>
      </c>
      <c r="F1717" s="101">
        <v>94</v>
      </c>
      <c r="G1717">
        <v>8</v>
      </c>
      <c r="H1717" s="116">
        <v>3.6</v>
      </c>
      <c r="I1717">
        <v>39</v>
      </c>
      <c r="J1717" t="s">
        <v>367</v>
      </c>
      <c r="K1717">
        <v>49</v>
      </c>
      <c r="L1717">
        <v>58</v>
      </c>
      <c r="M1717">
        <v>4100</v>
      </c>
      <c r="N1717">
        <v>100</v>
      </c>
      <c r="O1717">
        <v>4600</v>
      </c>
      <c r="P1717" t="s">
        <v>415</v>
      </c>
      <c r="Q1717">
        <f t="shared" si="56"/>
        <v>2024</v>
      </c>
      <c r="R1717">
        <f t="shared" si="57"/>
        <v>1</v>
      </c>
    </row>
    <row r="1718" spans="1:18">
      <c r="A1718">
        <v>7</v>
      </c>
      <c r="B1718" t="s">
        <v>254</v>
      </c>
      <c r="C1718" s="216">
        <v>45346</v>
      </c>
      <c r="D1718">
        <v>4</v>
      </c>
      <c r="E1718" s="116">
        <v>13.1</v>
      </c>
      <c r="F1718" s="101">
        <v>100</v>
      </c>
      <c r="G1718">
        <v>8</v>
      </c>
      <c r="H1718" s="116">
        <v>3.6</v>
      </c>
      <c r="I1718">
        <v>32.299999999999997</v>
      </c>
      <c r="J1718">
        <v>1.5</v>
      </c>
      <c r="K1718">
        <v>47</v>
      </c>
      <c r="L1718">
        <v>58</v>
      </c>
      <c r="M1718">
        <v>3600</v>
      </c>
      <c r="N1718">
        <v>66</v>
      </c>
      <c r="O1718">
        <v>3800</v>
      </c>
      <c r="P1718" t="s">
        <v>18</v>
      </c>
      <c r="Q1718">
        <f t="shared" si="56"/>
        <v>2024</v>
      </c>
      <c r="R1718">
        <f t="shared" si="57"/>
        <v>2</v>
      </c>
    </row>
    <row r="1719" spans="1:18">
      <c r="A1719">
        <v>7</v>
      </c>
      <c r="B1719" t="s">
        <v>254</v>
      </c>
      <c r="C1719" s="216">
        <v>45371</v>
      </c>
      <c r="D1719">
        <v>5</v>
      </c>
      <c r="E1719" s="116">
        <v>12.5</v>
      </c>
      <c r="F1719" s="101">
        <v>98</v>
      </c>
      <c r="G1719">
        <v>8.1999999999999993</v>
      </c>
      <c r="H1719" s="116">
        <v>1.4</v>
      </c>
      <c r="I1719">
        <v>35.5</v>
      </c>
      <c r="J1719">
        <v>1.8</v>
      </c>
      <c r="K1719">
        <v>23</v>
      </c>
      <c r="L1719">
        <v>51</v>
      </c>
      <c r="M1719">
        <v>3600</v>
      </c>
      <c r="N1719" t="s">
        <v>148</v>
      </c>
      <c r="O1719">
        <v>4300</v>
      </c>
      <c r="P1719" t="s">
        <v>18</v>
      </c>
      <c r="Q1719">
        <f t="shared" si="56"/>
        <v>2024</v>
      </c>
      <c r="R1719">
        <f t="shared" si="57"/>
        <v>3</v>
      </c>
    </row>
    <row r="1720" spans="1:18">
      <c r="A1720">
        <v>7</v>
      </c>
      <c r="B1720" t="s">
        <v>254</v>
      </c>
      <c r="C1720" s="216">
        <v>45398</v>
      </c>
      <c r="D1720">
        <v>8.8000000000000007</v>
      </c>
      <c r="E1720" s="116">
        <v>13.5</v>
      </c>
      <c r="F1720" s="101">
        <v>117</v>
      </c>
      <c r="G1720">
        <v>8.8000000000000007</v>
      </c>
      <c r="H1720" s="116">
        <v>3.2</v>
      </c>
      <c r="I1720">
        <v>36.1</v>
      </c>
      <c r="J1720">
        <v>3.3</v>
      </c>
      <c r="K1720">
        <v>2.2000000000000002</v>
      </c>
      <c r="L1720">
        <v>29</v>
      </c>
      <c r="M1720">
        <v>3100</v>
      </c>
      <c r="N1720">
        <v>20</v>
      </c>
      <c r="O1720">
        <v>4300</v>
      </c>
      <c r="P1720" t="s">
        <v>18</v>
      </c>
      <c r="Q1720">
        <f t="shared" si="56"/>
        <v>2024</v>
      </c>
      <c r="R1720">
        <f t="shared" si="57"/>
        <v>4</v>
      </c>
    </row>
    <row r="1721" spans="1:18">
      <c r="A1721">
        <v>7</v>
      </c>
      <c r="B1721" t="s">
        <v>254</v>
      </c>
      <c r="C1721" s="216">
        <v>45427</v>
      </c>
      <c r="D1721">
        <v>16.399999999999999</v>
      </c>
      <c r="E1721" s="116">
        <v>9.5</v>
      </c>
      <c r="F1721" s="101">
        <v>97</v>
      </c>
      <c r="G1721">
        <v>8.6</v>
      </c>
      <c r="H1721" s="116">
        <v>1.4</v>
      </c>
      <c r="I1721">
        <v>35.700000000000003</v>
      </c>
      <c r="J1721">
        <v>1.8</v>
      </c>
      <c r="K1721">
        <v>2.9</v>
      </c>
      <c r="L1721">
        <v>23</v>
      </c>
      <c r="M1721">
        <v>2600</v>
      </c>
      <c r="N1721">
        <v>45</v>
      </c>
      <c r="O1721">
        <v>3100</v>
      </c>
      <c r="P1721" t="s">
        <v>18</v>
      </c>
      <c r="Q1721">
        <f t="shared" si="56"/>
        <v>2024</v>
      </c>
      <c r="R1721">
        <f t="shared" si="57"/>
        <v>5</v>
      </c>
    </row>
    <row r="1722" spans="1:18">
      <c r="A1722">
        <v>7</v>
      </c>
      <c r="B1722" t="s">
        <v>254</v>
      </c>
      <c r="C1722" s="216">
        <v>45456</v>
      </c>
      <c r="D1722">
        <v>16</v>
      </c>
      <c r="E1722" s="116">
        <v>10.3</v>
      </c>
      <c r="F1722" s="101">
        <v>105</v>
      </c>
      <c r="G1722">
        <v>8.5</v>
      </c>
      <c r="H1722" s="116">
        <v>2.7</v>
      </c>
      <c r="I1722">
        <v>36.9</v>
      </c>
      <c r="J1722">
        <v>1.8</v>
      </c>
      <c r="K1722">
        <v>3.4</v>
      </c>
      <c r="L1722">
        <v>28</v>
      </c>
      <c r="M1722">
        <v>1800</v>
      </c>
      <c r="N1722">
        <v>41</v>
      </c>
      <c r="O1722">
        <v>2400</v>
      </c>
      <c r="P1722" t="s">
        <v>18</v>
      </c>
      <c r="Q1722">
        <f t="shared" si="56"/>
        <v>2024</v>
      </c>
      <c r="R1722">
        <f t="shared" si="57"/>
        <v>6</v>
      </c>
    </row>
    <row r="1723" spans="1:18">
      <c r="A1723">
        <v>7</v>
      </c>
      <c r="B1723" t="s">
        <v>254</v>
      </c>
      <c r="C1723" s="216">
        <v>45483</v>
      </c>
      <c r="D1723">
        <v>21</v>
      </c>
      <c r="E1723" s="116">
        <v>11.64</v>
      </c>
      <c r="F1723" s="101">
        <v>130</v>
      </c>
      <c r="G1723">
        <v>8.6999999999999993</v>
      </c>
      <c r="H1723" s="116">
        <v>4.5999999999999996</v>
      </c>
      <c r="I1723">
        <v>34.299999999999997</v>
      </c>
      <c r="J1723">
        <v>2.5</v>
      </c>
      <c r="K1723">
        <v>4.5999999999999996</v>
      </c>
      <c r="L1723">
        <v>46</v>
      </c>
      <c r="M1723">
        <v>1000</v>
      </c>
      <c r="N1723" t="s">
        <v>148</v>
      </c>
      <c r="O1723">
        <v>1600</v>
      </c>
      <c r="P1723" t="s">
        <v>18</v>
      </c>
      <c r="Q1723">
        <f t="shared" si="56"/>
        <v>2024</v>
      </c>
      <c r="R1723">
        <f t="shared" si="57"/>
        <v>7</v>
      </c>
    </row>
    <row r="1724" spans="1:18">
      <c r="A1724">
        <v>7</v>
      </c>
      <c r="B1724" t="s">
        <v>254</v>
      </c>
      <c r="C1724" s="216">
        <v>45524</v>
      </c>
      <c r="D1724">
        <v>21.9</v>
      </c>
      <c r="E1724" s="116">
        <v>12.64</v>
      </c>
      <c r="F1724" s="101">
        <v>144</v>
      </c>
      <c r="G1724">
        <v>9.1</v>
      </c>
      <c r="H1724" s="116">
        <v>37</v>
      </c>
      <c r="I1724">
        <v>29.7</v>
      </c>
      <c r="J1724">
        <v>5.0999999999999996</v>
      </c>
      <c r="K1724">
        <v>4</v>
      </c>
      <c r="L1724">
        <v>160</v>
      </c>
      <c r="M1724" t="s">
        <v>148</v>
      </c>
      <c r="N1724" t="s">
        <v>148</v>
      </c>
      <c r="O1724">
        <v>1500</v>
      </c>
      <c r="P1724" t="s">
        <v>18</v>
      </c>
      <c r="Q1724">
        <f t="shared" si="56"/>
        <v>2024</v>
      </c>
      <c r="R1724">
        <f t="shared" si="57"/>
        <v>8</v>
      </c>
    </row>
    <row r="1725" spans="1:18">
      <c r="A1725">
        <v>7</v>
      </c>
      <c r="B1725" t="s">
        <v>254</v>
      </c>
      <c r="C1725" s="216">
        <v>45552</v>
      </c>
      <c r="D1725">
        <v>17.600000000000001</v>
      </c>
      <c r="E1725" s="116">
        <v>9.8699999999999992</v>
      </c>
      <c r="F1725" s="101">
        <v>104</v>
      </c>
      <c r="G1725">
        <v>8.5</v>
      </c>
      <c r="H1725" s="116">
        <v>12</v>
      </c>
      <c r="I1725">
        <v>29.3</v>
      </c>
      <c r="J1725">
        <v>3.2</v>
      </c>
      <c r="K1725">
        <v>100</v>
      </c>
      <c r="L1725">
        <v>200</v>
      </c>
      <c r="M1725" t="s">
        <v>148</v>
      </c>
      <c r="N1725" t="s">
        <v>148</v>
      </c>
      <c r="O1725">
        <v>1100</v>
      </c>
      <c r="P1725" t="s">
        <v>18</v>
      </c>
      <c r="Q1725">
        <f t="shared" si="56"/>
        <v>2024</v>
      </c>
      <c r="R1725">
        <f t="shared" si="57"/>
        <v>9</v>
      </c>
    </row>
    <row r="1726" spans="1:18">
      <c r="A1726">
        <v>7</v>
      </c>
      <c r="B1726" t="s">
        <v>254</v>
      </c>
      <c r="C1726" s="216">
        <v>45575</v>
      </c>
      <c r="D1726">
        <v>13.5</v>
      </c>
      <c r="E1726" s="116">
        <v>9.7899999999999991</v>
      </c>
      <c r="F1726" s="101">
        <v>94</v>
      </c>
      <c r="G1726">
        <v>8.1</v>
      </c>
      <c r="H1726" s="116">
        <v>10</v>
      </c>
      <c r="I1726">
        <v>29.9</v>
      </c>
      <c r="J1726">
        <v>3.2</v>
      </c>
      <c r="K1726">
        <v>100</v>
      </c>
      <c r="L1726">
        <v>150</v>
      </c>
      <c r="M1726">
        <v>100</v>
      </c>
      <c r="N1726">
        <v>130</v>
      </c>
      <c r="O1726">
        <v>930</v>
      </c>
      <c r="P1726" t="s">
        <v>18</v>
      </c>
      <c r="Q1726">
        <f t="shared" si="56"/>
        <v>2024</v>
      </c>
      <c r="R1726">
        <f t="shared" si="57"/>
        <v>10</v>
      </c>
    </row>
    <row r="1727" spans="1:18">
      <c r="A1727">
        <v>7</v>
      </c>
      <c r="B1727" t="s">
        <v>254</v>
      </c>
      <c r="C1727" s="216">
        <v>45610</v>
      </c>
      <c r="D1727">
        <v>8.8000000000000007</v>
      </c>
      <c r="E1727" s="116">
        <v>11.12</v>
      </c>
      <c r="F1727" s="101">
        <v>96</v>
      </c>
      <c r="G1727">
        <v>8.1</v>
      </c>
      <c r="H1727" s="116">
        <v>3.6</v>
      </c>
      <c r="I1727">
        <v>34.700000000000003</v>
      </c>
      <c r="J1727">
        <v>2.2000000000000002</v>
      </c>
      <c r="K1727">
        <v>68</v>
      </c>
      <c r="L1727">
        <v>110</v>
      </c>
      <c r="M1727">
        <v>580</v>
      </c>
      <c r="N1727">
        <v>58</v>
      </c>
      <c r="O1727">
        <v>1100</v>
      </c>
      <c r="P1727" t="s">
        <v>18</v>
      </c>
      <c r="Q1727">
        <f t="shared" si="56"/>
        <v>2024</v>
      </c>
      <c r="R1727">
        <f t="shared" si="57"/>
        <v>11</v>
      </c>
    </row>
    <row r="1728" spans="1:18">
      <c r="A1728">
        <v>7</v>
      </c>
      <c r="B1728" t="s">
        <v>254</v>
      </c>
      <c r="C1728" s="216">
        <v>45642</v>
      </c>
      <c r="D1728">
        <v>5.0999999999999996</v>
      </c>
      <c r="E1728" s="116">
        <v>12.71</v>
      </c>
      <c r="F1728" s="101">
        <v>100</v>
      </c>
      <c r="G1728">
        <v>8.1999999999999993</v>
      </c>
      <c r="H1728" s="116">
        <v>3.9</v>
      </c>
      <c r="I1728">
        <v>38.5</v>
      </c>
      <c r="J1728">
        <v>1.5</v>
      </c>
      <c r="K1728">
        <v>54</v>
      </c>
      <c r="L1728">
        <v>81</v>
      </c>
      <c r="M1728">
        <v>1300</v>
      </c>
      <c r="N1728">
        <v>10</v>
      </c>
      <c r="O1728">
        <v>1900</v>
      </c>
      <c r="P1728" t="s">
        <v>18</v>
      </c>
      <c r="Q1728">
        <f t="shared" si="56"/>
        <v>2024</v>
      </c>
      <c r="R1728">
        <f t="shared" si="57"/>
        <v>12</v>
      </c>
    </row>
    <row r="1729" spans="1:18">
      <c r="A1729">
        <v>9</v>
      </c>
      <c r="B1729" t="s">
        <v>255</v>
      </c>
      <c r="C1729" s="216">
        <v>45309</v>
      </c>
      <c r="D1729">
        <v>0.6</v>
      </c>
      <c r="E1729" s="116">
        <v>13.7</v>
      </c>
      <c r="F1729" s="101">
        <v>95</v>
      </c>
      <c r="G1729">
        <v>8</v>
      </c>
      <c r="H1729" s="116">
        <v>5.8</v>
      </c>
      <c r="I1729">
        <v>48.1</v>
      </c>
      <c r="J1729" t="s">
        <v>367</v>
      </c>
      <c r="K1729">
        <v>38</v>
      </c>
      <c r="L1729">
        <v>59</v>
      </c>
      <c r="M1729">
        <v>7400</v>
      </c>
      <c r="N1729">
        <v>62</v>
      </c>
      <c r="O1729">
        <v>8000</v>
      </c>
      <c r="P1729" t="s">
        <v>415</v>
      </c>
      <c r="Q1729">
        <f t="shared" si="56"/>
        <v>2024</v>
      </c>
      <c r="R1729">
        <f t="shared" si="57"/>
        <v>1</v>
      </c>
    </row>
    <row r="1730" spans="1:18">
      <c r="A1730">
        <v>9</v>
      </c>
      <c r="B1730" t="s">
        <v>255</v>
      </c>
      <c r="C1730" s="216">
        <v>45371</v>
      </c>
      <c r="D1730">
        <v>6.1</v>
      </c>
      <c r="E1730" s="116">
        <v>10.7</v>
      </c>
      <c r="F1730" s="101">
        <v>86</v>
      </c>
      <c r="G1730">
        <v>8</v>
      </c>
      <c r="H1730" s="116">
        <v>4.4000000000000004</v>
      </c>
      <c r="I1730">
        <v>48.5</v>
      </c>
      <c r="J1730">
        <v>1.7</v>
      </c>
      <c r="K1730">
        <v>25</v>
      </c>
      <c r="L1730">
        <v>49</v>
      </c>
      <c r="M1730">
        <v>4200</v>
      </c>
      <c r="N1730">
        <v>59</v>
      </c>
      <c r="O1730">
        <v>4900</v>
      </c>
      <c r="P1730" t="s">
        <v>18</v>
      </c>
      <c r="Q1730">
        <f t="shared" si="56"/>
        <v>2024</v>
      </c>
      <c r="R1730">
        <f t="shared" si="57"/>
        <v>3</v>
      </c>
    </row>
    <row r="1731" spans="1:18">
      <c r="A1731">
        <v>9</v>
      </c>
      <c r="B1731" t="s">
        <v>255</v>
      </c>
      <c r="C1731" s="216">
        <v>45427</v>
      </c>
      <c r="D1731">
        <v>15.7</v>
      </c>
      <c r="E1731" s="116">
        <v>7.7</v>
      </c>
      <c r="F1731" s="101">
        <v>78</v>
      </c>
      <c r="G1731">
        <v>8</v>
      </c>
      <c r="H1731" s="116">
        <v>3.7</v>
      </c>
      <c r="I1731">
        <v>49.8</v>
      </c>
      <c r="J1731">
        <v>2.7</v>
      </c>
      <c r="K1731">
        <v>26</v>
      </c>
      <c r="L1731">
        <v>62</v>
      </c>
      <c r="M1731">
        <v>2100</v>
      </c>
      <c r="N1731">
        <v>43</v>
      </c>
      <c r="O1731">
        <v>2600</v>
      </c>
      <c r="P1731" t="s">
        <v>18</v>
      </c>
      <c r="Q1731">
        <f t="shared" si="56"/>
        <v>2024</v>
      </c>
      <c r="R1731">
        <f t="shared" si="57"/>
        <v>5</v>
      </c>
    </row>
    <row r="1732" spans="1:18">
      <c r="A1732">
        <v>9</v>
      </c>
      <c r="B1732" t="s">
        <v>255</v>
      </c>
      <c r="C1732" s="216">
        <v>45483</v>
      </c>
      <c r="D1732">
        <v>19.100000000000001</v>
      </c>
      <c r="E1732" s="116">
        <v>7.83</v>
      </c>
      <c r="F1732" s="101">
        <v>85</v>
      </c>
      <c r="G1732">
        <v>7.8</v>
      </c>
      <c r="H1732" s="116">
        <v>2</v>
      </c>
      <c r="I1732">
        <v>40.4</v>
      </c>
      <c r="J1732">
        <v>1.5</v>
      </c>
      <c r="K1732">
        <v>120</v>
      </c>
      <c r="L1732">
        <v>170</v>
      </c>
      <c r="M1732">
        <v>460</v>
      </c>
      <c r="N1732">
        <v>50</v>
      </c>
      <c r="O1732">
        <v>950</v>
      </c>
      <c r="P1732" t="s">
        <v>18</v>
      </c>
      <c r="Q1732">
        <f t="shared" si="56"/>
        <v>2024</v>
      </c>
      <c r="R1732">
        <f t="shared" si="57"/>
        <v>7</v>
      </c>
    </row>
    <row r="1733" spans="1:18">
      <c r="A1733">
        <v>9</v>
      </c>
      <c r="B1733" t="s">
        <v>255</v>
      </c>
      <c r="C1733" s="216">
        <v>45552</v>
      </c>
      <c r="D1733">
        <v>13.2</v>
      </c>
      <c r="E1733" s="116">
        <v>4.3</v>
      </c>
      <c r="F1733" s="101">
        <v>41</v>
      </c>
      <c r="G1733">
        <v>7.3</v>
      </c>
      <c r="H1733" s="116">
        <v>5.8</v>
      </c>
      <c r="I1733">
        <v>46.4</v>
      </c>
      <c r="J1733">
        <v>1.4</v>
      </c>
      <c r="K1733">
        <v>140</v>
      </c>
      <c r="L1733">
        <v>240</v>
      </c>
      <c r="M1733">
        <v>210</v>
      </c>
      <c r="N1733">
        <v>250</v>
      </c>
      <c r="O1733">
        <v>1200</v>
      </c>
      <c r="P1733" t="s">
        <v>18</v>
      </c>
      <c r="Q1733">
        <f t="shared" si="56"/>
        <v>2024</v>
      </c>
      <c r="R1733">
        <f t="shared" si="57"/>
        <v>9</v>
      </c>
    </row>
    <row r="1734" spans="1:18">
      <c r="A1734">
        <v>9</v>
      </c>
      <c r="B1734" t="s">
        <v>255</v>
      </c>
      <c r="C1734" s="216">
        <v>45610</v>
      </c>
      <c r="D1734">
        <v>8.1</v>
      </c>
      <c r="E1734" s="116">
        <v>9.6300000000000008</v>
      </c>
      <c r="F1734" s="101">
        <v>82</v>
      </c>
      <c r="G1734">
        <v>7.8</v>
      </c>
      <c r="H1734" s="116">
        <v>1.2</v>
      </c>
      <c r="I1734">
        <v>54.7</v>
      </c>
      <c r="J1734">
        <v>1.6</v>
      </c>
      <c r="K1734">
        <v>69</v>
      </c>
      <c r="L1734">
        <v>92</v>
      </c>
      <c r="M1734">
        <v>2900</v>
      </c>
      <c r="N1734">
        <v>64</v>
      </c>
      <c r="O1734">
        <v>3100</v>
      </c>
      <c r="P1734" t="s">
        <v>18</v>
      </c>
      <c r="Q1734">
        <f t="shared" si="56"/>
        <v>2024</v>
      </c>
      <c r="R1734">
        <f t="shared" si="57"/>
        <v>11</v>
      </c>
    </row>
    <row r="1735" spans="1:18">
      <c r="A1735">
        <v>11</v>
      </c>
      <c r="B1735" t="s">
        <v>256</v>
      </c>
      <c r="C1735" s="216">
        <v>45309</v>
      </c>
      <c r="D1735">
        <v>0.6</v>
      </c>
      <c r="E1735" s="116">
        <v>13.7</v>
      </c>
      <c r="F1735" s="101">
        <v>95</v>
      </c>
      <c r="G1735">
        <v>7.9</v>
      </c>
      <c r="H1735" s="116">
        <v>3.3</v>
      </c>
      <c r="I1735">
        <v>43.9</v>
      </c>
      <c r="J1735" t="s">
        <v>367</v>
      </c>
      <c r="K1735">
        <v>30</v>
      </c>
      <c r="L1735">
        <v>50</v>
      </c>
      <c r="M1735">
        <v>4900</v>
      </c>
      <c r="N1735">
        <v>78</v>
      </c>
      <c r="O1735">
        <v>5500</v>
      </c>
      <c r="P1735" t="s">
        <v>415</v>
      </c>
      <c r="Q1735">
        <f t="shared" si="56"/>
        <v>2024</v>
      </c>
      <c r="R1735">
        <f t="shared" si="57"/>
        <v>1</v>
      </c>
    </row>
    <row r="1736" spans="1:18">
      <c r="A1736">
        <v>11</v>
      </c>
      <c r="B1736" t="s">
        <v>256</v>
      </c>
      <c r="C1736" s="216">
        <v>45346</v>
      </c>
      <c r="D1736">
        <v>4.8</v>
      </c>
      <c r="E1736" s="116">
        <v>12.6</v>
      </c>
      <c r="F1736" s="101">
        <v>98</v>
      </c>
      <c r="G1736">
        <v>7.9</v>
      </c>
      <c r="H1736" s="116">
        <v>11</v>
      </c>
      <c r="I1736">
        <v>31.8</v>
      </c>
      <c r="J1736">
        <v>1.2</v>
      </c>
      <c r="K1736">
        <v>37</v>
      </c>
      <c r="L1736">
        <v>70</v>
      </c>
      <c r="M1736">
        <v>3400</v>
      </c>
      <c r="N1736">
        <v>35</v>
      </c>
      <c r="O1736">
        <v>3700</v>
      </c>
      <c r="P1736" t="s">
        <v>18</v>
      </c>
      <c r="Q1736">
        <f t="shared" si="56"/>
        <v>2024</v>
      </c>
      <c r="R1736">
        <f t="shared" si="57"/>
        <v>2</v>
      </c>
    </row>
    <row r="1737" spans="1:18">
      <c r="A1737">
        <v>11</v>
      </c>
      <c r="B1737" t="s">
        <v>256</v>
      </c>
      <c r="C1737" s="216">
        <v>45371</v>
      </c>
      <c r="D1737">
        <v>6.1</v>
      </c>
      <c r="E1737" s="116">
        <v>11.2</v>
      </c>
      <c r="F1737" s="101">
        <v>90</v>
      </c>
      <c r="G1737">
        <v>8</v>
      </c>
      <c r="H1737" s="116">
        <v>1.6</v>
      </c>
      <c r="I1737">
        <v>48.7</v>
      </c>
      <c r="J1737">
        <v>1.6</v>
      </c>
      <c r="K1737">
        <v>25</v>
      </c>
      <c r="L1737">
        <v>43</v>
      </c>
      <c r="M1737">
        <v>3500</v>
      </c>
      <c r="N1737">
        <v>52</v>
      </c>
      <c r="O1737">
        <v>4000</v>
      </c>
      <c r="P1737" t="s">
        <v>18</v>
      </c>
      <c r="Q1737">
        <f t="shared" si="56"/>
        <v>2024</v>
      </c>
      <c r="R1737">
        <f t="shared" si="57"/>
        <v>3</v>
      </c>
    </row>
    <row r="1738" spans="1:18">
      <c r="A1738">
        <v>11</v>
      </c>
      <c r="B1738" t="s">
        <v>256</v>
      </c>
      <c r="C1738" s="216">
        <v>45398</v>
      </c>
      <c r="D1738">
        <v>9</v>
      </c>
      <c r="E1738" s="116">
        <v>10.5</v>
      </c>
      <c r="F1738" s="101">
        <v>91</v>
      </c>
      <c r="G1738">
        <v>8.1</v>
      </c>
      <c r="H1738" s="116">
        <v>4</v>
      </c>
      <c r="I1738">
        <v>49.2</v>
      </c>
      <c r="J1738">
        <v>1.5</v>
      </c>
      <c r="K1738">
        <v>27</v>
      </c>
      <c r="L1738">
        <v>45</v>
      </c>
      <c r="M1738">
        <v>3200</v>
      </c>
      <c r="N1738">
        <v>28</v>
      </c>
      <c r="O1738">
        <v>4200</v>
      </c>
      <c r="P1738" t="s">
        <v>18</v>
      </c>
      <c r="Q1738">
        <f t="shared" si="56"/>
        <v>2024</v>
      </c>
      <c r="R1738">
        <f t="shared" si="57"/>
        <v>4</v>
      </c>
    </row>
    <row r="1739" spans="1:18">
      <c r="A1739">
        <v>11</v>
      </c>
      <c r="B1739" t="s">
        <v>256</v>
      </c>
      <c r="C1739" s="216">
        <v>45427</v>
      </c>
      <c r="D1739">
        <v>14.5</v>
      </c>
      <c r="E1739" s="116">
        <v>9.5</v>
      </c>
      <c r="F1739" s="101">
        <v>93</v>
      </c>
      <c r="G1739">
        <v>8.1999999999999993</v>
      </c>
      <c r="H1739" s="116">
        <v>1.6</v>
      </c>
      <c r="I1739">
        <v>50.1</v>
      </c>
      <c r="J1739">
        <v>1.9</v>
      </c>
      <c r="K1739">
        <v>11</v>
      </c>
      <c r="L1739">
        <v>30</v>
      </c>
      <c r="M1739">
        <v>2300</v>
      </c>
      <c r="N1739">
        <v>32</v>
      </c>
      <c r="O1739">
        <v>2700</v>
      </c>
      <c r="P1739" t="s">
        <v>18</v>
      </c>
      <c r="Q1739">
        <f t="shared" si="56"/>
        <v>2024</v>
      </c>
      <c r="R1739">
        <f t="shared" si="57"/>
        <v>5</v>
      </c>
    </row>
    <row r="1740" spans="1:18">
      <c r="A1740">
        <v>11</v>
      </c>
      <c r="B1740" t="s">
        <v>256</v>
      </c>
      <c r="C1740" s="216">
        <v>45456</v>
      </c>
      <c r="D1740">
        <v>13.3</v>
      </c>
      <c r="E1740" s="116">
        <v>10.3</v>
      </c>
      <c r="F1740" s="101">
        <v>99</v>
      </c>
      <c r="G1740">
        <v>8.1999999999999993</v>
      </c>
      <c r="H1740" s="116">
        <v>2</v>
      </c>
      <c r="I1740">
        <v>55.5</v>
      </c>
      <c r="J1740">
        <v>1.3</v>
      </c>
      <c r="K1740">
        <v>39</v>
      </c>
      <c r="L1740">
        <v>58</v>
      </c>
      <c r="M1740">
        <v>2400</v>
      </c>
      <c r="N1740">
        <v>35</v>
      </c>
      <c r="O1740">
        <v>2900</v>
      </c>
      <c r="P1740" t="s">
        <v>18</v>
      </c>
      <c r="Q1740">
        <f t="shared" si="56"/>
        <v>2024</v>
      </c>
      <c r="R1740">
        <f t="shared" si="57"/>
        <v>6</v>
      </c>
    </row>
    <row r="1741" spans="1:18">
      <c r="A1741">
        <v>11</v>
      </c>
      <c r="B1741" t="s">
        <v>256</v>
      </c>
      <c r="C1741" s="216">
        <v>45483</v>
      </c>
      <c r="D1741">
        <v>19.2</v>
      </c>
      <c r="E1741" s="116">
        <v>9.9600000000000009</v>
      </c>
      <c r="F1741" s="101">
        <v>108</v>
      </c>
      <c r="G1741">
        <v>8.1</v>
      </c>
      <c r="H1741" s="116">
        <v>0.83</v>
      </c>
      <c r="I1741">
        <v>52.7</v>
      </c>
      <c r="J1741">
        <v>0.87</v>
      </c>
      <c r="K1741">
        <v>33</v>
      </c>
      <c r="L1741">
        <v>57</v>
      </c>
      <c r="M1741">
        <v>1900</v>
      </c>
      <c r="N1741">
        <v>21</v>
      </c>
      <c r="O1741">
        <v>2200</v>
      </c>
      <c r="P1741" t="s">
        <v>18</v>
      </c>
      <c r="Q1741">
        <f t="shared" si="56"/>
        <v>2024</v>
      </c>
      <c r="R1741">
        <f t="shared" si="57"/>
        <v>7</v>
      </c>
    </row>
    <row r="1742" spans="1:18">
      <c r="A1742">
        <v>11</v>
      </c>
      <c r="B1742" t="s">
        <v>256</v>
      </c>
      <c r="C1742" s="216">
        <v>45524</v>
      </c>
      <c r="D1742">
        <v>17.100000000000001</v>
      </c>
      <c r="E1742" s="116">
        <v>10.17</v>
      </c>
      <c r="F1742" s="101">
        <v>106</v>
      </c>
      <c r="G1742">
        <v>8.1</v>
      </c>
      <c r="H1742" s="116">
        <v>0.78</v>
      </c>
      <c r="I1742">
        <v>59.2</v>
      </c>
      <c r="J1742">
        <v>0.99</v>
      </c>
      <c r="K1742">
        <v>4.9000000000000004</v>
      </c>
      <c r="L1742">
        <v>40</v>
      </c>
      <c r="M1742">
        <v>1900</v>
      </c>
      <c r="N1742">
        <v>15</v>
      </c>
      <c r="O1742">
        <v>2100</v>
      </c>
      <c r="P1742" t="s">
        <v>18</v>
      </c>
      <c r="Q1742">
        <f t="shared" si="56"/>
        <v>2024</v>
      </c>
      <c r="R1742">
        <f t="shared" si="57"/>
        <v>8</v>
      </c>
    </row>
    <row r="1743" spans="1:18">
      <c r="A1743">
        <v>11</v>
      </c>
      <c r="B1743" t="s">
        <v>256</v>
      </c>
      <c r="C1743" s="216">
        <v>45552</v>
      </c>
      <c r="D1743">
        <v>13.5</v>
      </c>
      <c r="E1743" s="116">
        <v>9.8000000000000007</v>
      </c>
      <c r="F1743" s="101">
        <v>94</v>
      </c>
      <c r="G1743">
        <v>8</v>
      </c>
      <c r="H1743" s="116">
        <v>1.2</v>
      </c>
      <c r="I1743">
        <v>51.3</v>
      </c>
      <c r="J1743">
        <v>0.86</v>
      </c>
      <c r="K1743">
        <v>40</v>
      </c>
      <c r="L1743">
        <v>54</v>
      </c>
      <c r="M1743">
        <v>2200</v>
      </c>
      <c r="N1743" t="s">
        <v>148</v>
      </c>
      <c r="O1743">
        <v>2600</v>
      </c>
      <c r="P1743" t="s">
        <v>18</v>
      </c>
      <c r="Q1743">
        <f t="shared" si="56"/>
        <v>2024</v>
      </c>
      <c r="R1743">
        <f t="shared" si="57"/>
        <v>9</v>
      </c>
    </row>
    <row r="1744" spans="1:18">
      <c r="A1744">
        <v>11</v>
      </c>
      <c r="B1744" t="s">
        <v>256</v>
      </c>
      <c r="C1744" s="216">
        <v>45575</v>
      </c>
      <c r="D1744">
        <v>13</v>
      </c>
      <c r="E1744" s="116">
        <v>8.9</v>
      </c>
      <c r="F1744" s="101">
        <v>85</v>
      </c>
      <c r="G1744">
        <v>7.8</v>
      </c>
      <c r="H1744" s="116">
        <v>4.8</v>
      </c>
      <c r="I1744">
        <v>48.1</v>
      </c>
      <c r="J1744">
        <v>2.2999999999999998</v>
      </c>
      <c r="K1744">
        <v>34</v>
      </c>
      <c r="L1744">
        <v>74</v>
      </c>
      <c r="M1744">
        <v>1700</v>
      </c>
      <c r="N1744" t="s">
        <v>148</v>
      </c>
      <c r="O1744">
        <v>1900</v>
      </c>
      <c r="P1744" t="s">
        <v>18</v>
      </c>
      <c r="Q1744">
        <f t="shared" si="56"/>
        <v>2024</v>
      </c>
      <c r="R1744">
        <f t="shared" si="57"/>
        <v>10</v>
      </c>
    </row>
    <row r="1745" spans="1:18">
      <c r="A1745">
        <v>11</v>
      </c>
      <c r="B1745" t="s">
        <v>256</v>
      </c>
      <c r="C1745" s="216">
        <v>45610</v>
      </c>
      <c r="D1745">
        <v>8</v>
      </c>
      <c r="E1745" s="116">
        <v>11.3</v>
      </c>
      <c r="F1745" s="101">
        <v>96</v>
      </c>
      <c r="G1745">
        <v>8.1</v>
      </c>
      <c r="H1745" s="116">
        <v>2.4</v>
      </c>
      <c r="I1745">
        <v>59.8</v>
      </c>
      <c r="J1745">
        <v>1.3</v>
      </c>
      <c r="K1745">
        <v>30</v>
      </c>
      <c r="L1745">
        <v>46</v>
      </c>
      <c r="M1745">
        <v>2600</v>
      </c>
      <c r="N1745">
        <v>30</v>
      </c>
      <c r="O1745">
        <v>2700</v>
      </c>
      <c r="P1745" t="s">
        <v>18</v>
      </c>
      <c r="Q1745">
        <f t="shared" si="56"/>
        <v>2024</v>
      </c>
      <c r="R1745">
        <f t="shared" si="57"/>
        <v>11</v>
      </c>
    </row>
    <row r="1746" spans="1:18">
      <c r="A1746">
        <v>11</v>
      </c>
      <c r="B1746" t="s">
        <v>256</v>
      </c>
      <c r="C1746" s="216">
        <v>45642</v>
      </c>
      <c r="D1746">
        <v>6.7</v>
      </c>
      <c r="E1746" s="116">
        <v>11.68</v>
      </c>
      <c r="F1746" s="101">
        <v>96</v>
      </c>
      <c r="G1746">
        <v>8.1</v>
      </c>
      <c r="H1746" s="116">
        <v>3.1</v>
      </c>
      <c r="I1746">
        <v>55.5</v>
      </c>
      <c r="J1746">
        <v>1.5</v>
      </c>
      <c r="K1746">
        <v>28</v>
      </c>
      <c r="L1746">
        <v>40</v>
      </c>
      <c r="M1746">
        <v>4800</v>
      </c>
      <c r="N1746">
        <v>27</v>
      </c>
      <c r="O1746">
        <v>5000</v>
      </c>
      <c r="P1746" t="s">
        <v>18</v>
      </c>
      <c r="Q1746">
        <f t="shared" si="56"/>
        <v>2024</v>
      </c>
      <c r="R1746">
        <f t="shared" si="57"/>
        <v>12</v>
      </c>
    </row>
    <row r="1747" spans="1:18">
      <c r="A1747">
        <v>13</v>
      </c>
      <c r="B1747" t="s">
        <v>257</v>
      </c>
      <c r="C1747" s="216">
        <v>45309</v>
      </c>
      <c r="D1747">
        <v>1.2</v>
      </c>
      <c r="E1747" s="116">
        <v>13.4</v>
      </c>
      <c r="F1747" s="101">
        <v>95</v>
      </c>
      <c r="G1747">
        <v>7.9</v>
      </c>
      <c r="H1747" s="116">
        <v>3.4</v>
      </c>
      <c r="I1747">
        <v>39.9</v>
      </c>
      <c r="J1747" t="s">
        <v>367</v>
      </c>
      <c r="K1747">
        <v>30</v>
      </c>
      <c r="L1747">
        <v>52</v>
      </c>
      <c r="M1747">
        <v>5000</v>
      </c>
      <c r="N1747">
        <v>63</v>
      </c>
      <c r="O1747">
        <v>5100</v>
      </c>
      <c r="P1747" t="s">
        <v>415</v>
      </c>
      <c r="Q1747">
        <f t="shared" si="56"/>
        <v>2024</v>
      </c>
      <c r="R1747">
        <f t="shared" si="57"/>
        <v>1</v>
      </c>
    </row>
    <row r="1748" spans="1:18">
      <c r="A1748">
        <v>13</v>
      </c>
      <c r="B1748" t="s">
        <v>257</v>
      </c>
      <c r="C1748" s="216">
        <v>45371</v>
      </c>
      <c r="D1748">
        <v>5.4</v>
      </c>
      <c r="E1748" s="116">
        <v>11.7</v>
      </c>
      <c r="F1748" s="101">
        <v>93</v>
      </c>
      <c r="G1748">
        <v>8.1</v>
      </c>
      <c r="H1748" s="116">
        <v>1.4</v>
      </c>
      <c r="I1748">
        <v>42.9</v>
      </c>
      <c r="J1748">
        <v>1.6</v>
      </c>
      <c r="K1748">
        <v>23</v>
      </c>
      <c r="L1748">
        <v>42</v>
      </c>
      <c r="M1748">
        <v>3700</v>
      </c>
      <c r="N1748">
        <v>53</v>
      </c>
      <c r="O1748">
        <v>4100</v>
      </c>
      <c r="P1748" t="s">
        <v>18</v>
      </c>
      <c r="Q1748">
        <f t="shared" si="56"/>
        <v>2024</v>
      </c>
      <c r="R1748">
        <f t="shared" si="57"/>
        <v>3</v>
      </c>
    </row>
    <row r="1749" spans="1:18">
      <c r="A1749">
        <v>13</v>
      </c>
      <c r="B1749" t="s">
        <v>257</v>
      </c>
      <c r="C1749" s="216">
        <v>45427</v>
      </c>
      <c r="D1749">
        <v>13.2</v>
      </c>
      <c r="E1749" s="116">
        <v>9.5</v>
      </c>
      <c r="F1749" s="101">
        <v>91</v>
      </c>
      <c r="G1749">
        <v>8.1</v>
      </c>
      <c r="H1749" s="116">
        <v>2.5</v>
      </c>
      <c r="I1749">
        <v>46.7</v>
      </c>
      <c r="J1749">
        <v>1.7</v>
      </c>
      <c r="K1749">
        <v>22</v>
      </c>
      <c r="L1749">
        <v>45</v>
      </c>
      <c r="M1749">
        <v>2600</v>
      </c>
      <c r="N1749">
        <v>22</v>
      </c>
      <c r="O1749">
        <v>3100</v>
      </c>
      <c r="P1749" t="s">
        <v>18</v>
      </c>
      <c r="Q1749">
        <f t="shared" si="56"/>
        <v>2024</v>
      </c>
      <c r="R1749">
        <f t="shared" si="57"/>
        <v>5</v>
      </c>
    </row>
    <row r="1750" spans="1:18">
      <c r="A1750">
        <v>13</v>
      </c>
      <c r="B1750" t="s">
        <v>257</v>
      </c>
      <c r="C1750" s="216">
        <v>45483</v>
      </c>
      <c r="D1750">
        <v>17.5</v>
      </c>
      <c r="E1750" s="116">
        <v>8.8800000000000008</v>
      </c>
      <c r="F1750" s="101">
        <v>93</v>
      </c>
      <c r="G1750" t="s">
        <v>18</v>
      </c>
      <c r="H1750" s="116" t="s">
        <v>18</v>
      </c>
      <c r="I1750" t="s">
        <v>18</v>
      </c>
      <c r="J1750" t="s">
        <v>18</v>
      </c>
      <c r="K1750" t="s">
        <v>18</v>
      </c>
      <c r="L1750" t="s">
        <v>18</v>
      </c>
      <c r="M1750" t="s">
        <v>18</v>
      </c>
      <c r="N1750" t="s">
        <v>18</v>
      </c>
      <c r="O1750" t="s">
        <v>18</v>
      </c>
      <c r="P1750" t="s">
        <v>416</v>
      </c>
      <c r="Q1750">
        <f t="shared" si="56"/>
        <v>2024</v>
      </c>
      <c r="R1750">
        <f t="shared" si="57"/>
        <v>7</v>
      </c>
    </row>
    <row r="1751" spans="1:18">
      <c r="A1751">
        <v>13</v>
      </c>
      <c r="B1751" t="s">
        <v>257</v>
      </c>
      <c r="C1751" s="216">
        <v>45552</v>
      </c>
      <c r="D1751">
        <v>13.7</v>
      </c>
      <c r="E1751" s="116">
        <v>9.6999999999999993</v>
      </c>
      <c r="F1751" s="101">
        <v>94</v>
      </c>
      <c r="G1751">
        <v>8</v>
      </c>
      <c r="H1751" s="116">
        <v>2</v>
      </c>
      <c r="I1751">
        <v>47.8</v>
      </c>
      <c r="J1751">
        <v>0.92</v>
      </c>
      <c r="K1751">
        <v>67</v>
      </c>
      <c r="L1751">
        <v>87</v>
      </c>
      <c r="M1751">
        <v>1900</v>
      </c>
      <c r="N1751" t="s">
        <v>148</v>
      </c>
      <c r="O1751">
        <v>2400</v>
      </c>
      <c r="P1751" t="s">
        <v>18</v>
      </c>
      <c r="Q1751">
        <f t="shared" ref="Q1751:Q1814" si="58">YEAR(C1751)</f>
        <v>2024</v>
      </c>
      <c r="R1751">
        <f t="shared" ref="R1751:R1814" si="59">MONTH(C1751)</f>
        <v>9</v>
      </c>
    </row>
    <row r="1752" spans="1:18">
      <c r="A1752">
        <v>13</v>
      </c>
      <c r="B1752" t="s">
        <v>257</v>
      </c>
      <c r="C1752" s="216">
        <v>45610</v>
      </c>
      <c r="D1752">
        <v>7.5</v>
      </c>
      <c r="E1752" s="116">
        <v>11.29</v>
      </c>
      <c r="F1752" s="101">
        <v>94</v>
      </c>
      <c r="G1752">
        <v>8.1</v>
      </c>
      <c r="H1752" s="116">
        <v>1.2</v>
      </c>
      <c r="I1752">
        <v>56.2</v>
      </c>
      <c r="J1752">
        <v>1.4</v>
      </c>
      <c r="K1752">
        <v>32</v>
      </c>
      <c r="L1752">
        <v>53</v>
      </c>
      <c r="M1752">
        <v>2600</v>
      </c>
      <c r="N1752">
        <v>11</v>
      </c>
      <c r="O1752">
        <v>2900</v>
      </c>
      <c r="P1752" t="s">
        <v>18</v>
      </c>
      <c r="Q1752">
        <f t="shared" si="58"/>
        <v>2024</v>
      </c>
      <c r="R1752">
        <f t="shared" si="59"/>
        <v>11</v>
      </c>
    </row>
    <row r="1753" spans="1:18">
      <c r="A1753">
        <v>15</v>
      </c>
      <c r="B1753" t="s">
        <v>258</v>
      </c>
      <c r="C1753" s="216">
        <v>45309</v>
      </c>
      <c r="D1753">
        <v>0.8</v>
      </c>
      <c r="E1753" s="116">
        <v>12.7</v>
      </c>
      <c r="F1753" s="101">
        <v>89</v>
      </c>
      <c r="G1753">
        <v>7.8</v>
      </c>
      <c r="H1753" s="116">
        <v>6.8</v>
      </c>
      <c r="I1753">
        <v>51.2</v>
      </c>
      <c r="J1753" t="s">
        <v>367</v>
      </c>
      <c r="K1753">
        <v>22</v>
      </c>
      <c r="L1753">
        <v>50</v>
      </c>
      <c r="M1753">
        <v>6100</v>
      </c>
      <c r="N1753">
        <v>120</v>
      </c>
      <c r="O1753">
        <v>6700</v>
      </c>
      <c r="P1753" t="s">
        <v>415</v>
      </c>
      <c r="Q1753">
        <f t="shared" si="58"/>
        <v>2024</v>
      </c>
      <c r="R1753">
        <f t="shared" si="59"/>
        <v>1</v>
      </c>
    </row>
    <row r="1754" spans="1:18">
      <c r="A1754">
        <v>15</v>
      </c>
      <c r="B1754" t="s">
        <v>258</v>
      </c>
      <c r="C1754" s="216">
        <v>45371</v>
      </c>
      <c r="D1754">
        <v>5.6</v>
      </c>
      <c r="E1754" s="116">
        <v>11</v>
      </c>
      <c r="F1754" s="101">
        <v>88</v>
      </c>
      <c r="G1754">
        <v>7.9</v>
      </c>
      <c r="H1754" s="116">
        <v>7.8</v>
      </c>
      <c r="I1754">
        <v>54.4</v>
      </c>
      <c r="J1754">
        <v>1.7</v>
      </c>
      <c r="K1754">
        <v>17</v>
      </c>
      <c r="L1754">
        <v>43</v>
      </c>
      <c r="M1754">
        <v>3900</v>
      </c>
      <c r="N1754">
        <v>140</v>
      </c>
      <c r="O1754">
        <v>4800</v>
      </c>
      <c r="P1754" t="s">
        <v>18</v>
      </c>
      <c r="Q1754">
        <f t="shared" si="58"/>
        <v>2024</v>
      </c>
      <c r="R1754">
        <f t="shared" si="59"/>
        <v>3</v>
      </c>
    </row>
    <row r="1755" spans="1:18">
      <c r="A1755">
        <v>15</v>
      </c>
      <c r="B1755" t="s">
        <v>258</v>
      </c>
      <c r="C1755" s="216">
        <v>45427</v>
      </c>
      <c r="D1755">
        <v>12.7</v>
      </c>
      <c r="E1755" s="116">
        <v>9.6</v>
      </c>
      <c r="F1755" s="101">
        <v>91</v>
      </c>
      <c r="G1755">
        <v>8.1</v>
      </c>
      <c r="H1755" s="116">
        <v>3.6</v>
      </c>
      <c r="I1755">
        <v>54.9</v>
      </c>
      <c r="J1755">
        <v>1.7</v>
      </c>
      <c r="K1755">
        <v>21</v>
      </c>
      <c r="L1755">
        <v>48</v>
      </c>
      <c r="M1755">
        <v>2800</v>
      </c>
      <c r="N1755">
        <v>72</v>
      </c>
      <c r="O1755">
        <v>3200</v>
      </c>
      <c r="P1755" t="s">
        <v>18</v>
      </c>
      <c r="Q1755">
        <f t="shared" si="58"/>
        <v>2024</v>
      </c>
      <c r="R1755">
        <f t="shared" si="59"/>
        <v>5</v>
      </c>
    </row>
    <row r="1756" spans="1:18">
      <c r="A1756">
        <v>15</v>
      </c>
      <c r="B1756" t="s">
        <v>258</v>
      </c>
      <c r="C1756" s="216">
        <v>45483</v>
      </c>
      <c r="D1756">
        <v>17.399999999999999</v>
      </c>
      <c r="E1756" s="116">
        <v>8.75</v>
      </c>
      <c r="F1756" s="101">
        <v>91</v>
      </c>
      <c r="G1756" t="s">
        <v>18</v>
      </c>
      <c r="H1756" s="116" t="s">
        <v>18</v>
      </c>
      <c r="I1756" t="s">
        <v>18</v>
      </c>
      <c r="J1756" t="s">
        <v>18</v>
      </c>
      <c r="K1756" t="s">
        <v>18</v>
      </c>
      <c r="L1756" t="s">
        <v>18</v>
      </c>
      <c r="M1756" t="s">
        <v>18</v>
      </c>
      <c r="N1756" t="s">
        <v>18</v>
      </c>
      <c r="O1756" t="s">
        <v>18</v>
      </c>
      <c r="P1756" t="s">
        <v>416</v>
      </c>
      <c r="Q1756">
        <f t="shared" si="58"/>
        <v>2024</v>
      </c>
      <c r="R1756">
        <f t="shared" si="59"/>
        <v>7</v>
      </c>
    </row>
    <row r="1757" spans="1:18">
      <c r="A1757">
        <v>15</v>
      </c>
      <c r="B1757" t="s">
        <v>258</v>
      </c>
      <c r="C1757" s="216">
        <v>45552</v>
      </c>
      <c r="D1757">
        <v>13.4</v>
      </c>
      <c r="E1757" s="116">
        <v>8.98</v>
      </c>
      <c r="F1757" s="101">
        <v>86</v>
      </c>
      <c r="G1757">
        <v>7.9</v>
      </c>
      <c r="H1757" s="116">
        <v>2</v>
      </c>
      <c r="I1757">
        <v>56.7</v>
      </c>
      <c r="J1757">
        <v>0.77</v>
      </c>
      <c r="K1757">
        <v>37</v>
      </c>
      <c r="L1757">
        <v>55</v>
      </c>
      <c r="M1757">
        <v>1800</v>
      </c>
      <c r="N1757" t="s">
        <v>148</v>
      </c>
      <c r="O1757">
        <v>2200</v>
      </c>
      <c r="P1757" t="s">
        <v>18</v>
      </c>
      <c r="Q1757">
        <f t="shared" si="58"/>
        <v>2024</v>
      </c>
      <c r="R1757">
        <f t="shared" si="59"/>
        <v>9</v>
      </c>
    </row>
    <row r="1758" spans="1:18">
      <c r="A1758">
        <v>15</v>
      </c>
      <c r="B1758" t="s">
        <v>258</v>
      </c>
      <c r="C1758" s="216">
        <v>45610</v>
      </c>
      <c r="D1758">
        <v>7.7</v>
      </c>
      <c r="E1758" s="116">
        <v>11.12</v>
      </c>
      <c r="F1758" s="101">
        <v>93</v>
      </c>
      <c r="G1758">
        <v>8</v>
      </c>
      <c r="H1758" s="116">
        <v>2.1</v>
      </c>
      <c r="I1758">
        <v>65.099999999999994</v>
      </c>
      <c r="J1758">
        <v>1.4</v>
      </c>
      <c r="K1758">
        <v>23</v>
      </c>
      <c r="L1758">
        <v>42</v>
      </c>
      <c r="M1758">
        <v>2700</v>
      </c>
      <c r="N1758">
        <v>26</v>
      </c>
      <c r="O1758">
        <v>3000</v>
      </c>
      <c r="P1758" t="s">
        <v>18</v>
      </c>
      <c r="Q1758">
        <f t="shared" si="58"/>
        <v>2024</v>
      </c>
      <c r="R1758">
        <f t="shared" si="59"/>
        <v>11</v>
      </c>
    </row>
    <row r="1759" spans="1:18">
      <c r="A1759">
        <v>17</v>
      </c>
      <c r="B1759" t="s">
        <v>259</v>
      </c>
      <c r="C1759" s="216">
        <v>45309</v>
      </c>
      <c r="D1759">
        <v>1.2</v>
      </c>
      <c r="E1759" s="116">
        <v>13.3</v>
      </c>
      <c r="F1759" s="101">
        <v>94</v>
      </c>
      <c r="G1759">
        <v>7.7</v>
      </c>
      <c r="H1759" s="116">
        <v>2.5</v>
      </c>
      <c r="I1759">
        <v>31.5</v>
      </c>
      <c r="J1759" t="s">
        <v>367</v>
      </c>
      <c r="K1759">
        <v>17</v>
      </c>
      <c r="L1759">
        <v>37</v>
      </c>
      <c r="M1759">
        <v>2900</v>
      </c>
      <c r="N1759">
        <v>43</v>
      </c>
      <c r="O1759">
        <v>3200</v>
      </c>
      <c r="P1759" t="s">
        <v>415</v>
      </c>
      <c r="Q1759">
        <f t="shared" si="58"/>
        <v>2024</v>
      </c>
      <c r="R1759">
        <f t="shared" si="59"/>
        <v>1</v>
      </c>
    </row>
    <row r="1760" spans="1:18">
      <c r="A1760">
        <v>17</v>
      </c>
      <c r="B1760" t="s">
        <v>259</v>
      </c>
      <c r="C1760" s="216">
        <v>45371</v>
      </c>
      <c r="D1760">
        <v>5.4</v>
      </c>
      <c r="E1760" s="116">
        <v>11.1</v>
      </c>
      <c r="F1760" s="101">
        <v>88</v>
      </c>
      <c r="G1760">
        <v>7.8</v>
      </c>
      <c r="H1760" s="116">
        <v>4.9000000000000004</v>
      </c>
      <c r="I1760">
        <v>34.5</v>
      </c>
      <c r="J1760">
        <v>1.6</v>
      </c>
      <c r="K1760">
        <v>16</v>
      </c>
      <c r="L1760">
        <v>38</v>
      </c>
      <c r="M1760">
        <v>1600</v>
      </c>
      <c r="N1760">
        <v>37</v>
      </c>
      <c r="O1760">
        <v>2500</v>
      </c>
      <c r="P1760" t="s">
        <v>18</v>
      </c>
      <c r="Q1760">
        <f t="shared" si="58"/>
        <v>2024</v>
      </c>
      <c r="R1760">
        <f t="shared" si="59"/>
        <v>3</v>
      </c>
    </row>
    <row r="1761" spans="1:18">
      <c r="A1761">
        <v>17</v>
      </c>
      <c r="B1761" t="s">
        <v>259</v>
      </c>
      <c r="C1761" s="216">
        <v>45427</v>
      </c>
      <c r="D1761">
        <v>12.6</v>
      </c>
      <c r="E1761" s="116">
        <v>9.6</v>
      </c>
      <c r="F1761" s="101">
        <v>91</v>
      </c>
      <c r="G1761">
        <v>8.1</v>
      </c>
      <c r="H1761" s="116">
        <v>9.4</v>
      </c>
      <c r="I1761">
        <v>37.799999999999997</v>
      </c>
      <c r="J1761">
        <v>1.9</v>
      </c>
      <c r="K1761">
        <v>20</v>
      </c>
      <c r="L1761">
        <v>69</v>
      </c>
      <c r="M1761">
        <v>1000</v>
      </c>
      <c r="N1761">
        <v>100</v>
      </c>
      <c r="O1761">
        <v>1600</v>
      </c>
      <c r="P1761" t="s">
        <v>18</v>
      </c>
      <c r="Q1761">
        <f t="shared" si="58"/>
        <v>2024</v>
      </c>
      <c r="R1761">
        <f t="shared" si="59"/>
        <v>5</v>
      </c>
    </row>
    <row r="1762" spans="1:18">
      <c r="A1762">
        <v>17</v>
      </c>
      <c r="B1762" t="s">
        <v>259</v>
      </c>
      <c r="C1762" s="216">
        <v>45483</v>
      </c>
      <c r="D1762">
        <v>18</v>
      </c>
      <c r="E1762" s="116">
        <v>9.4499999999999993</v>
      </c>
      <c r="F1762" s="101">
        <v>100</v>
      </c>
      <c r="G1762" t="s">
        <v>18</v>
      </c>
      <c r="H1762" s="116" t="s">
        <v>18</v>
      </c>
      <c r="I1762" t="s">
        <v>18</v>
      </c>
      <c r="J1762" t="s">
        <v>18</v>
      </c>
      <c r="K1762" t="s">
        <v>18</v>
      </c>
      <c r="L1762" t="s">
        <v>18</v>
      </c>
      <c r="M1762" t="s">
        <v>18</v>
      </c>
      <c r="N1762" t="s">
        <v>18</v>
      </c>
      <c r="O1762" t="s">
        <v>18</v>
      </c>
      <c r="P1762" t="s">
        <v>416</v>
      </c>
      <c r="Q1762">
        <f t="shared" si="58"/>
        <v>2024</v>
      </c>
      <c r="R1762">
        <f t="shared" si="59"/>
        <v>7</v>
      </c>
    </row>
    <row r="1763" spans="1:18">
      <c r="A1763">
        <v>17</v>
      </c>
      <c r="B1763" t="s">
        <v>259</v>
      </c>
      <c r="C1763" s="216">
        <v>45552</v>
      </c>
      <c r="D1763">
        <v>13.4</v>
      </c>
      <c r="E1763" s="116">
        <v>9.86</v>
      </c>
      <c r="F1763" s="101">
        <v>95</v>
      </c>
      <c r="G1763">
        <v>8</v>
      </c>
      <c r="H1763" s="116">
        <v>1.5</v>
      </c>
      <c r="I1763">
        <v>42.9</v>
      </c>
      <c r="J1763">
        <v>0.93</v>
      </c>
      <c r="K1763">
        <v>24</v>
      </c>
      <c r="L1763">
        <v>42</v>
      </c>
      <c r="M1763">
        <v>720</v>
      </c>
      <c r="N1763" t="s">
        <v>148</v>
      </c>
      <c r="O1763">
        <v>1000</v>
      </c>
      <c r="P1763" t="s">
        <v>18</v>
      </c>
      <c r="Q1763">
        <f t="shared" si="58"/>
        <v>2024</v>
      </c>
      <c r="R1763">
        <f t="shared" si="59"/>
        <v>9</v>
      </c>
    </row>
    <row r="1764" spans="1:18">
      <c r="A1764">
        <v>17</v>
      </c>
      <c r="B1764" t="s">
        <v>259</v>
      </c>
      <c r="C1764" s="216">
        <v>45610</v>
      </c>
      <c r="D1764">
        <v>7.4</v>
      </c>
      <c r="E1764" s="116">
        <v>11.37</v>
      </c>
      <c r="F1764" s="101">
        <v>95</v>
      </c>
      <c r="G1764">
        <v>8</v>
      </c>
      <c r="H1764" s="116">
        <v>2.6</v>
      </c>
      <c r="I1764">
        <v>45.2</v>
      </c>
      <c r="J1764">
        <v>1.5</v>
      </c>
      <c r="K1764">
        <v>13</v>
      </c>
      <c r="L1764">
        <v>28</v>
      </c>
      <c r="M1764">
        <v>1000</v>
      </c>
      <c r="N1764">
        <v>20</v>
      </c>
      <c r="O1764">
        <v>1400</v>
      </c>
      <c r="P1764" t="s">
        <v>18</v>
      </c>
      <c r="Q1764">
        <f t="shared" si="58"/>
        <v>2024</v>
      </c>
      <c r="R1764">
        <f t="shared" si="59"/>
        <v>11</v>
      </c>
    </row>
    <row r="1765" spans="1:18">
      <c r="A1765">
        <v>18</v>
      </c>
      <c r="B1765" t="s">
        <v>266</v>
      </c>
      <c r="C1765" s="216">
        <v>45309</v>
      </c>
      <c r="D1765">
        <v>0.5</v>
      </c>
      <c r="E1765" s="116">
        <v>14</v>
      </c>
      <c r="F1765" s="101">
        <v>97</v>
      </c>
      <c r="G1765">
        <v>8.1999999999999993</v>
      </c>
      <c r="H1765" s="116">
        <v>1.1000000000000001</v>
      </c>
      <c r="I1765">
        <v>48.3</v>
      </c>
      <c r="J1765" t="s">
        <v>367</v>
      </c>
      <c r="K1765">
        <v>20</v>
      </c>
      <c r="L1765">
        <v>30</v>
      </c>
      <c r="M1765">
        <v>6100</v>
      </c>
      <c r="N1765">
        <v>34</v>
      </c>
      <c r="O1765">
        <v>6600</v>
      </c>
      <c r="P1765" t="s">
        <v>415</v>
      </c>
      <c r="Q1765">
        <f t="shared" si="58"/>
        <v>2024</v>
      </c>
      <c r="R1765">
        <f t="shared" si="59"/>
        <v>1</v>
      </c>
    </row>
    <row r="1766" spans="1:18">
      <c r="A1766">
        <v>18</v>
      </c>
      <c r="B1766" t="s">
        <v>266</v>
      </c>
      <c r="C1766" s="216">
        <v>45371</v>
      </c>
      <c r="D1766">
        <v>5.4</v>
      </c>
      <c r="E1766" s="116">
        <v>12.2</v>
      </c>
      <c r="F1766" s="101">
        <v>97</v>
      </c>
      <c r="G1766">
        <v>8.3000000000000007</v>
      </c>
      <c r="H1766" s="116">
        <v>1.8</v>
      </c>
      <c r="I1766">
        <v>49.5</v>
      </c>
      <c r="J1766">
        <v>1.5</v>
      </c>
      <c r="K1766">
        <v>11</v>
      </c>
      <c r="L1766">
        <v>22</v>
      </c>
      <c r="M1766">
        <v>3300</v>
      </c>
      <c r="N1766" t="s">
        <v>148</v>
      </c>
      <c r="O1766">
        <v>4200</v>
      </c>
      <c r="P1766" t="s">
        <v>18</v>
      </c>
      <c r="Q1766">
        <f t="shared" si="58"/>
        <v>2024</v>
      </c>
      <c r="R1766">
        <f t="shared" si="59"/>
        <v>3</v>
      </c>
    </row>
    <row r="1767" spans="1:18">
      <c r="A1767">
        <v>18</v>
      </c>
      <c r="B1767" t="s">
        <v>266</v>
      </c>
      <c r="C1767" s="216">
        <v>45427</v>
      </c>
      <c r="D1767">
        <v>12.2</v>
      </c>
      <c r="E1767" s="116">
        <v>10.5</v>
      </c>
      <c r="F1767" s="101">
        <v>98</v>
      </c>
      <c r="G1767">
        <v>8.4</v>
      </c>
      <c r="H1767" s="116">
        <v>1.1000000000000001</v>
      </c>
      <c r="I1767">
        <v>50.2</v>
      </c>
      <c r="J1767">
        <v>1.2</v>
      </c>
      <c r="K1767">
        <v>24</v>
      </c>
      <c r="L1767">
        <v>40</v>
      </c>
      <c r="M1767">
        <v>1700</v>
      </c>
      <c r="N1767">
        <v>17</v>
      </c>
      <c r="O1767">
        <v>2200</v>
      </c>
      <c r="P1767" t="s">
        <v>18</v>
      </c>
      <c r="Q1767">
        <f t="shared" si="58"/>
        <v>2024</v>
      </c>
      <c r="R1767">
        <f t="shared" si="59"/>
        <v>5</v>
      </c>
    </row>
    <row r="1768" spans="1:18">
      <c r="A1768">
        <v>18</v>
      </c>
      <c r="B1768" t="s">
        <v>266</v>
      </c>
      <c r="C1768" s="216">
        <v>45483</v>
      </c>
      <c r="D1768">
        <v>19.100000000000001</v>
      </c>
      <c r="E1768" s="116">
        <v>9.41</v>
      </c>
      <c r="F1768" s="101">
        <v>102</v>
      </c>
      <c r="G1768" t="s">
        <v>18</v>
      </c>
      <c r="H1768" s="116" t="s">
        <v>18</v>
      </c>
      <c r="I1768" t="s">
        <v>18</v>
      </c>
      <c r="J1768" t="s">
        <v>18</v>
      </c>
      <c r="K1768" t="s">
        <v>18</v>
      </c>
      <c r="L1768" t="s">
        <v>18</v>
      </c>
      <c r="M1768" t="s">
        <v>18</v>
      </c>
      <c r="N1768" t="s">
        <v>18</v>
      </c>
      <c r="O1768" t="s">
        <v>18</v>
      </c>
      <c r="P1768" t="s">
        <v>416</v>
      </c>
      <c r="Q1768">
        <f t="shared" si="58"/>
        <v>2024</v>
      </c>
      <c r="R1768">
        <f t="shared" si="59"/>
        <v>7</v>
      </c>
    </row>
    <row r="1769" spans="1:18">
      <c r="A1769">
        <v>18</v>
      </c>
      <c r="B1769" t="s">
        <v>266</v>
      </c>
      <c r="C1769" s="216">
        <v>45552</v>
      </c>
      <c r="D1769">
        <v>14</v>
      </c>
      <c r="E1769" s="116">
        <v>10.49</v>
      </c>
      <c r="F1769" s="101">
        <v>102</v>
      </c>
      <c r="G1769">
        <v>8.4</v>
      </c>
      <c r="H1769" s="116">
        <v>4.5</v>
      </c>
      <c r="I1769">
        <v>55.2</v>
      </c>
      <c r="J1769">
        <v>0.72</v>
      </c>
      <c r="K1769">
        <v>82</v>
      </c>
      <c r="L1769">
        <v>100</v>
      </c>
      <c r="M1769">
        <v>970</v>
      </c>
      <c r="N1769" t="s">
        <v>148</v>
      </c>
      <c r="O1769">
        <v>1500</v>
      </c>
      <c r="P1769" t="s">
        <v>18</v>
      </c>
      <c r="Q1769">
        <f t="shared" si="58"/>
        <v>2024</v>
      </c>
      <c r="R1769">
        <f t="shared" si="59"/>
        <v>9</v>
      </c>
    </row>
    <row r="1770" spans="1:18">
      <c r="A1770">
        <v>18</v>
      </c>
      <c r="B1770" t="s">
        <v>266</v>
      </c>
      <c r="C1770" s="216">
        <v>45610</v>
      </c>
      <c r="D1770">
        <v>8.1999999999999993</v>
      </c>
      <c r="E1770" s="116">
        <v>11.85</v>
      </c>
      <c r="F1770" s="101">
        <v>101</v>
      </c>
      <c r="G1770">
        <v>8.3000000000000007</v>
      </c>
      <c r="H1770" s="116">
        <v>1.3</v>
      </c>
      <c r="I1770">
        <v>62.7</v>
      </c>
      <c r="J1770">
        <v>1.1000000000000001</v>
      </c>
      <c r="K1770">
        <v>16</v>
      </c>
      <c r="L1770">
        <v>28</v>
      </c>
      <c r="M1770">
        <v>2000</v>
      </c>
      <c r="N1770">
        <v>12</v>
      </c>
      <c r="O1770">
        <v>2500</v>
      </c>
      <c r="P1770" t="s">
        <v>18</v>
      </c>
      <c r="Q1770">
        <f t="shared" si="58"/>
        <v>2024</v>
      </c>
      <c r="R1770">
        <f t="shared" si="59"/>
        <v>11</v>
      </c>
    </row>
    <row r="1771" spans="1:18">
      <c r="A1771">
        <v>19</v>
      </c>
      <c r="B1771" t="s">
        <v>260</v>
      </c>
      <c r="C1771" s="216">
        <v>45309</v>
      </c>
      <c r="D1771">
        <v>0.4</v>
      </c>
      <c r="E1771" s="116">
        <v>13.8</v>
      </c>
      <c r="F1771" s="101">
        <v>95</v>
      </c>
      <c r="G1771">
        <v>8</v>
      </c>
      <c r="H1771" s="116">
        <v>3.9</v>
      </c>
      <c r="I1771">
        <v>50.7</v>
      </c>
      <c r="J1771" t="s">
        <v>367</v>
      </c>
      <c r="K1771">
        <v>37</v>
      </c>
      <c r="L1771">
        <v>62</v>
      </c>
      <c r="M1771">
        <v>5600</v>
      </c>
      <c r="N1771">
        <v>71</v>
      </c>
      <c r="O1771">
        <v>5900</v>
      </c>
      <c r="P1771" t="s">
        <v>415</v>
      </c>
      <c r="Q1771">
        <f t="shared" si="58"/>
        <v>2024</v>
      </c>
      <c r="R1771">
        <f t="shared" si="59"/>
        <v>1</v>
      </c>
    </row>
    <row r="1772" spans="1:18">
      <c r="A1772">
        <v>19</v>
      </c>
      <c r="B1772" t="s">
        <v>260</v>
      </c>
      <c r="C1772" s="216">
        <v>45346</v>
      </c>
      <c r="D1772">
        <v>5.0999999999999996</v>
      </c>
      <c r="E1772" s="116">
        <v>12.4</v>
      </c>
      <c r="F1772" s="101">
        <v>97</v>
      </c>
      <c r="G1772">
        <v>7.8</v>
      </c>
      <c r="H1772" s="116">
        <v>13</v>
      </c>
      <c r="I1772">
        <v>35.299999999999997</v>
      </c>
      <c r="J1772">
        <v>1.3</v>
      </c>
      <c r="K1772">
        <v>49</v>
      </c>
      <c r="L1772">
        <v>86</v>
      </c>
      <c r="M1772">
        <v>4600</v>
      </c>
      <c r="N1772">
        <v>15</v>
      </c>
      <c r="O1772">
        <v>4900</v>
      </c>
      <c r="P1772" t="s">
        <v>18</v>
      </c>
      <c r="Q1772">
        <f t="shared" si="58"/>
        <v>2024</v>
      </c>
      <c r="R1772">
        <f t="shared" si="59"/>
        <v>2</v>
      </c>
    </row>
    <row r="1773" spans="1:18">
      <c r="A1773">
        <v>19</v>
      </c>
      <c r="B1773" t="s">
        <v>260</v>
      </c>
      <c r="C1773" s="216">
        <v>45371</v>
      </c>
      <c r="D1773">
        <v>6.4</v>
      </c>
      <c r="E1773" s="116">
        <v>11.8</v>
      </c>
      <c r="F1773" s="101">
        <v>96</v>
      </c>
      <c r="G1773">
        <v>8.1</v>
      </c>
      <c r="H1773" s="116">
        <v>3.1</v>
      </c>
      <c r="I1773">
        <v>57.7</v>
      </c>
      <c r="J1773">
        <v>1.7</v>
      </c>
      <c r="K1773">
        <v>35</v>
      </c>
      <c r="L1773">
        <v>61</v>
      </c>
      <c r="M1773">
        <v>4100</v>
      </c>
      <c r="N1773">
        <v>120</v>
      </c>
      <c r="O1773">
        <v>4700</v>
      </c>
      <c r="P1773" t="s">
        <v>18</v>
      </c>
      <c r="Q1773">
        <f t="shared" si="58"/>
        <v>2024</v>
      </c>
      <c r="R1773">
        <f t="shared" si="59"/>
        <v>3</v>
      </c>
    </row>
    <row r="1774" spans="1:18">
      <c r="A1774">
        <v>19</v>
      </c>
      <c r="B1774" t="s">
        <v>260</v>
      </c>
      <c r="C1774" s="216">
        <v>45398</v>
      </c>
      <c r="D1774">
        <v>10.8</v>
      </c>
      <c r="E1774" s="116">
        <v>12.4</v>
      </c>
      <c r="F1774" s="101">
        <v>112</v>
      </c>
      <c r="G1774">
        <v>8.1999999999999993</v>
      </c>
      <c r="H1774" s="116">
        <v>2.6</v>
      </c>
      <c r="I1774">
        <v>53.4</v>
      </c>
      <c r="J1774">
        <v>1.5</v>
      </c>
      <c r="K1774">
        <v>29</v>
      </c>
      <c r="L1774">
        <v>48</v>
      </c>
      <c r="M1774">
        <v>4500</v>
      </c>
      <c r="N1774">
        <v>28</v>
      </c>
      <c r="O1774">
        <v>5100</v>
      </c>
      <c r="P1774" t="s">
        <v>18</v>
      </c>
      <c r="Q1774">
        <f t="shared" si="58"/>
        <v>2024</v>
      </c>
      <c r="R1774">
        <f t="shared" si="59"/>
        <v>4</v>
      </c>
    </row>
    <row r="1775" spans="1:18">
      <c r="A1775">
        <v>19</v>
      </c>
      <c r="B1775" t="s">
        <v>260</v>
      </c>
      <c r="C1775" s="216">
        <v>45427</v>
      </c>
      <c r="D1775">
        <v>16.399999999999999</v>
      </c>
      <c r="E1775" s="116">
        <v>9.1999999999999993</v>
      </c>
      <c r="F1775" s="101">
        <v>94</v>
      </c>
      <c r="G1775">
        <v>8.1</v>
      </c>
      <c r="H1775" s="116">
        <v>1.8</v>
      </c>
      <c r="I1775">
        <v>73.5</v>
      </c>
      <c r="J1775">
        <v>1.8</v>
      </c>
      <c r="K1775">
        <v>31</v>
      </c>
      <c r="L1775">
        <v>53</v>
      </c>
      <c r="M1775">
        <v>2100</v>
      </c>
      <c r="N1775">
        <v>30</v>
      </c>
      <c r="O1775">
        <v>2600</v>
      </c>
      <c r="P1775" t="s">
        <v>18</v>
      </c>
      <c r="Q1775">
        <f t="shared" si="58"/>
        <v>2024</v>
      </c>
      <c r="R1775">
        <f t="shared" si="59"/>
        <v>5</v>
      </c>
    </row>
    <row r="1776" spans="1:18">
      <c r="A1776">
        <v>19</v>
      </c>
      <c r="B1776" t="s">
        <v>260</v>
      </c>
      <c r="C1776" s="216">
        <v>45456</v>
      </c>
      <c r="D1776">
        <v>13.7</v>
      </c>
      <c r="E1776" s="116">
        <v>9.5</v>
      </c>
      <c r="F1776" s="101">
        <v>92</v>
      </c>
      <c r="G1776">
        <v>8</v>
      </c>
      <c r="H1776" s="116">
        <v>1.8</v>
      </c>
      <c r="I1776">
        <v>57.5</v>
      </c>
      <c r="J1776">
        <v>1.3</v>
      </c>
      <c r="K1776">
        <v>69</v>
      </c>
      <c r="L1776">
        <v>94</v>
      </c>
      <c r="M1776">
        <v>2000</v>
      </c>
      <c r="N1776">
        <v>43</v>
      </c>
      <c r="O1776">
        <v>2700</v>
      </c>
      <c r="P1776" t="s">
        <v>18</v>
      </c>
      <c r="Q1776">
        <f t="shared" si="58"/>
        <v>2024</v>
      </c>
      <c r="R1776">
        <f t="shared" si="59"/>
        <v>6</v>
      </c>
    </row>
    <row r="1777" spans="1:18">
      <c r="A1777">
        <v>19</v>
      </c>
      <c r="B1777" t="s">
        <v>260</v>
      </c>
      <c r="C1777" s="216">
        <v>45483</v>
      </c>
      <c r="D1777">
        <v>17.600000000000001</v>
      </c>
      <c r="E1777" s="116">
        <v>8.24</v>
      </c>
      <c r="F1777" s="101">
        <v>86</v>
      </c>
      <c r="G1777" t="s">
        <v>18</v>
      </c>
      <c r="H1777" s="116" t="s">
        <v>18</v>
      </c>
      <c r="I1777" t="s">
        <v>18</v>
      </c>
      <c r="J1777" t="s">
        <v>18</v>
      </c>
      <c r="K1777" t="s">
        <v>18</v>
      </c>
      <c r="L1777" t="s">
        <v>18</v>
      </c>
      <c r="M1777" t="s">
        <v>18</v>
      </c>
      <c r="N1777" t="s">
        <v>18</v>
      </c>
      <c r="O1777" t="s">
        <v>18</v>
      </c>
      <c r="P1777" t="s">
        <v>416</v>
      </c>
      <c r="Q1777">
        <f t="shared" si="58"/>
        <v>2024</v>
      </c>
      <c r="R1777">
        <f t="shared" si="59"/>
        <v>7</v>
      </c>
    </row>
    <row r="1778" spans="1:18">
      <c r="A1778">
        <v>19</v>
      </c>
      <c r="B1778" t="s">
        <v>260</v>
      </c>
      <c r="C1778" s="216">
        <v>45524</v>
      </c>
      <c r="D1778">
        <v>16.399999999999999</v>
      </c>
      <c r="E1778" s="116">
        <v>8.5299999999999994</v>
      </c>
      <c r="F1778" s="101">
        <v>87</v>
      </c>
      <c r="G1778">
        <v>7.9</v>
      </c>
      <c r="H1778" s="116">
        <v>1.2</v>
      </c>
      <c r="I1778">
        <v>73.900000000000006</v>
      </c>
      <c r="J1778">
        <v>0.96</v>
      </c>
      <c r="K1778">
        <v>36</v>
      </c>
      <c r="L1778">
        <v>110</v>
      </c>
      <c r="M1778">
        <v>1000</v>
      </c>
      <c r="N1778">
        <v>29</v>
      </c>
      <c r="O1778">
        <v>1600</v>
      </c>
      <c r="P1778" t="s">
        <v>18</v>
      </c>
      <c r="Q1778">
        <f t="shared" si="58"/>
        <v>2024</v>
      </c>
      <c r="R1778">
        <f t="shared" si="59"/>
        <v>8</v>
      </c>
    </row>
    <row r="1779" spans="1:18">
      <c r="A1779">
        <v>19</v>
      </c>
      <c r="B1779" t="s">
        <v>260</v>
      </c>
      <c r="C1779" s="216">
        <v>45552</v>
      </c>
      <c r="D1779">
        <v>15.1</v>
      </c>
      <c r="E1779" s="116">
        <v>9.48</v>
      </c>
      <c r="F1779" s="101">
        <v>94</v>
      </c>
      <c r="G1779">
        <v>7.9</v>
      </c>
      <c r="H1779" s="116">
        <v>1.3</v>
      </c>
      <c r="I1779">
        <v>57</v>
      </c>
      <c r="J1779">
        <v>1</v>
      </c>
      <c r="K1779">
        <v>61</v>
      </c>
      <c r="L1779">
        <v>88</v>
      </c>
      <c r="M1779">
        <v>2600</v>
      </c>
      <c r="N1779">
        <v>140</v>
      </c>
      <c r="O1779">
        <v>3300</v>
      </c>
      <c r="P1779" t="s">
        <v>18</v>
      </c>
      <c r="Q1779">
        <f t="shared" si="58"/>
        <v>2024</v>
      </c>
      <c r="R1779">
        <f t="shared" si="59"/>
        <v>9</v>
      </c>
    </row>
    <row r="1780" spans="1:18">
      <c r="A1780">
        <v>19</v>
      </c>
      <c r="B1780" t="s">
        <v>260</v>
      </c>
      <c r="C1780" s="216">
        <v>45575</v>
      </c>
      <c r="D1780">
        <v>14.1</v>
      </c>
      <c r="E1780" s="116">
        <v>8.69</v>
      </c>
      <c r="F1780" s="101">
        <v>85</v>
      </c>
      <c r="G1780">
        <v>7.7</v>
      </c>
      <c r="H1780" s="116">
        <v>6.6</v>
      </c>
      <c r="I1780">
        <v>43.3</v>
      </c>
      <c r="J1780">
        <v>3.7</v>
      </c>
      <c r="K1780">
        <v>130</v>
      </c>
      <c r="L1780">
        <v>190</v>
      </c>
      <c r="M1780">
        <v>1500</v>
      </c>
      <c r="N1780">
        <v>100</v>
      </c>
      <c r="O1780">
        <v>1900</v>
      </c>
      <c r="P1780" t="s">
        <v>18</v>
      </c>
      <c r="Q1780">
        <f t="shared" si="58"/>
        <v>2024</v>
      </c>
      <c r="R1780">
        <f t="shared" si="59"/>
        <v>10</v>
      </c>
    </row>
    <row r="1781" spans="1:18">
      <c r="A1781">
        <v>19</v>
      </c>
      <c r="B1781" t="s">
        <v>260</v>
      </c>
      <c r="C1781" s="216">
        <v>45610</v>
      </c>
      <c r="D1781">
        <v>8.5</v>
      </c>
      <c r="E1781" s="116">
        <v>10.6</v>
      </c>
      <c r="F1781" s="101">
        <v>91</v>
      </c>
      <c r="G1781">
        <v>8</v>
      </c>
      <c r="H1781" s="116">
        <v>0.98</v>
      </c>
      <c r="I1781">
        <v>63.7</v>
      </c>
      <c r="J1781">
        <v>1.2</v>
      </c>
      <c r="K1781">
        <v>41</v>
      </c>
      <c r="L1781">
        <v>58</v>
      </c>
      <c r="M1781">
        <v>2600</v>
      </c>
      <c r="N1781">
        <v>17</v>
      </c>
      <c r="O1781">
        <v>2800</v>
      </c>
      <c r="P1781" t="s">
        <v>18</v>
      </c>
      <c r="Q1781">
        <f t="shared" si="58"/>
        <v>2024</v>
      </c>
      <c r="R1781">
        <f t="shared" si="59"/>
        <v>11</v>
      </c>
    </row>
    <row r="1782" spans="1:18">
      <c r="A1782">
        <v>19</v>
      </c>
      <c r="B1782" t="s">
        <v>260</v>
      </c>
      <c r="C1782" s="216">
        <v>45642</v>
      </c>
      <c r="D1782">
        <v>6.1</v>
      </c>
      <c r="E1782" s="116">
        <v>11.73</v>
      </c>
      <c r="F1782" s="101">
        <v>95</v>
      </c>
      <c r="G1782">
        <v>8.1</v>
      </c>
      <c r="H1782" s="116">
        <v>3.8</v>
      </c>
      <c r="I1782">
        <v>59.5</v>
      </c>
      <c r="J1782">
        <v>2.1</v>
      </c>
      <c r="K1782">
        <v>36</v>
      </c>
      <c r="L1782">
        <v>80</v>
      </c>
      <c r="M1782">
        <v>5700</v>
      </c>
      <c r="N1782">
        <v>220</v>
      </c>
      <c r="O1782">
        <v>6200</v>
      </c>
      <c r="P1782" t="s">
        <v>18</v>
      </c>
      <c r="Q1782">
        <f t="shared" si="58"/>
        <v>2024</v>
      </c>
      <c r="R1782">
        <f t="shared" si="59"/>
        <v>12</v>
      </c>
    </row>
    <row r="1783" spans="1:18">
      <c r="A1783">
        <v>20</v>
      </c>
      <c r="B1783" t="s">
        <v>267</v>
      </c>
      <c r="C1783" s="216">
        <v>45309</v>
      </c>
      <c r="D1783">
        <v>1.4</v>
      </c>
      <c r="E1783" s="116">
        <v>13.4</v>
      </c>
      <c r="F1783" s="101">
        <v>95</v>
      </c>
      <c r="G1783">
        <v>7.9</v>
      </c>
      <c r="H1783" s="116">
        <v>3.3</v>
      </c>
      <c r="I1783">
        <v>50.2</v>
      </c>
      <c r="J1783" t="s">
        <v>367</v>
      </c>
      <c r="K1783">
        <v>35</v>
      </c>
      <c r="L1783">
        <v>63</v>
      </c>
      <c r="M1783">
        <v>5400</v>
      </c>
      <c r="N1783">
        <v>82</v>
      </c>
      <c r="O1783">
        <v>6000</v>
      </c>
      <c r="P1783" t="s">
        <v>415</v>
      </c>
      <c r="Q1783">
        <f t="shared" si="58"/>
        <v>2024</v>
      </c>
      <c r="R1783">
        <f t="shared" si="59"/>
        <v>1</v>
      </c>
    </row>
    <row r="1784" spans="1:18">
      <c r="A1784">
        <v>20</v>
      </c>
      <c r="B1784" t="s">
        <v>267</v>
      </c>
      <c r="C1784" s="216">
        <v>45346</v>
      </c>
      <c r="D1784">
        <v>5.0999999999999996</v>
      </c>
      <c r="E1784" s="116">
        <v>12.5</v>
      </c>
      <c r="F1784" s="101">
        <v>98</v>
      </c>
      <c r="G1784">
        <v>7.7</v>
      </c>
      <c r="H1784" s="116">
        <v>11</v>
      </c>
      <c r="I1784">
        <v>34.4</v>
      </c>
      <c r="J1784">
        <v>1.4</v>
      </c>
      <c r="K1784">
        <v>47</v>
      </c>
      <c r="L1784">
        <v>81</v>
      </c>
      <c r="M1784">
        <v>4600</v>
      </c>
      <c r="N1784">
        <v>16</v>
      </c>
      <c r="O1784">
        <v>4900</v>
      </c>
      <c r="P1784" t="s">
        <v>18</v>
      </c>
      <c r="Q1784">
        <f t="shared" si="58"/>
        <v>2024</v>
      </c>
      <c r="R1784">
        <f t="shared" si="59"/>
        <v>2</v>
      </c>
    </row>
    <row r="1785" spans="1:18">
      <c r="A1785">
        <v>20</v>
      </c>
      <c r="B1785" t="s">
        <v>267</v>
      </c>
      <c r="C1785" s="216">
        <v>45371</v>
      </c>
      <c r="D1785">
        <v>6.8</v>
      </c>
      <c r="E1785" s="116">
        <v>11.5</v>
      </c>
      <c r="F1785" s="101">
        <v>94</v>
      </c>
      <c r="G1785">
        <v>8</v>
      </c>
      <c r="H1785" s="116">
        <v>4.7</v>
      </c>
      <c r="I1785">
        <v>59.8</v>
      </c>
      <c r="J1785">
        <v>2.2999999999999998</v>
      </c>
      <c r="K1785">
        <v>35</v>
      </c>
      <c r="L1785">
        <v>70</v>
      </c>
      <c r="M1785">
        <v>4000</v>
      </c>
      <c r="N1785">
        <v>250</v>
      </c>
      <c r="O1785">
        <v>4600</v>
      </c>
      <c r="P1785" t="s">
        <v>18</v>
      </c>
      <c r="Q1785">
        <f t="shared" si="58"/>
        <v>2024</v>
      </c>
      <c r="R1785">
        <f t="shared" si="59"/>
        <v>3</v>
      </c>
    </row>
    <row r="1786" spans="1:18">
      <c r="A1786">
        <v>20</v>
      </c>
      <c r="B1786" t="s">
        <v>267</v>
      </c>
      <c r="C1786" s="216">
        <v>45398</v>
      </c>
      <c r="D1786">
        <v>10.8</v>
      </c>
      <c r="E1786" s="116">
        <v>11.3</v>
      </c>
      <c r="F1786" s="101">
        <v>102</v>
      </c>
      <c r="G1786">
        <v>8.1</v>
      </c>
      <c r="H1786" s="116">
        <v>3.4</v>
      </c>
      <c r="I1786">
        <v>54.5</v>
      </c>
      <c r="J1786">
        <v>1.9</v>
      </c>
      <c r="K1786">
        <v>30</v>
      </c>
      <c r="L1786">
        <v>58</v>
      </c>
      <c r="M1786">
        <v>4400</v>
      </c>
      <c r="N1786">
        <v>53</v>
      </c>
      <c r="O1786">
        <v>5100</v>
      </c>
      <c r="P1786" t="s">
        <v>18</v>
      </c>
      <c r="Q1786">
        <f t="shared" si="58"/>
        <v>2024</v>
      </c>
      <c r="R1786">
        <f t="shared" si="59"/>
        <v>4</v>
      </c>
    </row>
    <row r="1787" spans="1:18">
      <c r="A1787">
        <v>20</v>
      </c>
      <c r="B1787" t="s">
        <v>267</v>
      </c>
      <c r="C1787" s="216">
        <v>45427</v>
      </c>
      <c r="D1787">
        <v>17.5</v>
      </c>
      <c r="E1787" s="116">
        <v>10.9</v>
      </c>
      <c r="F1787" s="101">
        <v>114</v>
      </c>
      <c r="G1787">
        <v>8.1999999999999993</v>
      </c>
      <c r="H1787" s="116">
        <v>2.2999999999999998</v>
      </c>
      <c r="I1787">
        <v>82.2</v>
      </c>
      <c r="J1787">
        <v>2.2000000000000002</v>
      </c>
      <c r="K1787">
        <v>38</v>
      </c>
      <c r="L1787">
        <v>83</v>
      </c>
      <c r="M1787">
        <v>2100</v>
      </c>
      <c r="N1787">
        <v>29</v>
      </c>
      <c r="O1787">
        <v>2800</v>
      </c>
      <c r="P1787" t="s">
        <v>18</v>
      </c>
      <c r="Q1787">
        <f t="shared" si="58"/>
        <v>2024</v>
      </c>
      <c r="R1787">
        <f t="shared" si="59"/>
        <v>5</v>
      </c>
    </row>
    <row r="1788" spans="1:18">
      <c r="A1788">
        <v>20</v>
      </c>
      <c r="B1788" t="s">
        <v>267</v>
      </c>
      <c r="C1788" s="216">
        <v>45456</v>
      </c>
      <c r="D1788">
        <v>12.4</v>
      </c>
      <c r="E1788" s="116">
        <v>10.5</v>
      </c>
      <c r="F1788" s="101">
        <v>99</v>
      </c>
      <c r="G1788">
        <v>8.1</v>
      </c>
      <c r="H1788" s="116">
        <v>1.5</v>
      </c>
      <c r="I1788">
        <v>60.3</v>
      </c>
      <c r="J1788" t="s">
        <v>288</v>
      </c>
      <c r="K1788">
        <v>66</v>
      </c>
      <c r="L1788">
        <v>180</v>
      </c>
      <c r="M1788">
        <v>2100</v>
      </c>
      <c r="N1788">
        <v>2300</v>
      </c>
      <c r="O1788">
        <v>4800</v>
      </c>
      <c r="P1788" t="s">
        <v>18</v>
      </c>
      <c r="Q1788">
        <f t="shared" si="58"/>
        <v>2024</v>
      </c>
      <c r="R1788">
        <f t="shared" si="59"/>
        <v>6</v>
      </c>
    </row>
    <row r="1789" spans="1:18">
      <c r="A1789">
        <v>20</v>
      </c>
      <c r="B1789" t="s">
        <v>267</v>
      </c>
      <c r="C1789" s="216">
        <v>45483</v>
      </c>
      <c r="D1789">
        <v>19</v>
      </c>
      <c r="E1789" s="116">
        <v>8.8000000000000007</v>
      </c>
      <c r="F1789" s="101">
        <v>95</v>
      </c>
      <c r="G1789" t="s">
        <v>18</v>
      </c>
      <c r="H1789" s="116" t="s">
        <v>18</v>
      </c>
      <c r="I1789" t="s">
        <v>18</v>
      </c>
      <c r="J1789" t="s">
        <v>18</v>
      </c>
      <c r="K1789" t="s">
        <v>18</v>
      </c>
      <c r="L1789" t="s">
        <v>18</v>
      </c>
      <c r="M1789" t="s">
        <v>18</v>
      </c>
      <c r="N1789" t="s">
        <v>18</v>
      </c>
      <c r="O1789" t="s">
        <v>18</v>
      </c>
      <c r="P1789" t="s">
        <v>416</v>
      </c>
      <c r="Q1789">
        <f t="shared" si="58"/>
        <v>2024</v>
      </c>
      <c r="R1789">
        <f t="shared" si="59"/>
        <v>7</v>
      </c>
    </row>
    <row r="1790" spans="1:18">
      <c r="A1790">
        <v>20</v>
      </c>
      <c r="B1790" t="s">
        <v>267</v>
      </c>
      <c r="C1790" s="216">
        <v>45524</v>
      </c>
      <c r="D1790">
        <v>19.899999999999999</v>
      </c>
      <c r="E1790" s="116">
        <v>10.28</v>
      </c>
      <c r="F1790" s="101">
        <v>113</v>
      </c>
      <c r="G1790">
        <v>8.1999999999999993</v>
      </c>
      <c r="H1790" s="116">
        <v>1.5</v>
      </c>
      <c r="I1790">
        <v>86.2</v>
      </c>
      <c r="J1790">
        <v>1.2</v>
      </c>
      <c r="K1790">
        <v>11</v>
      </c>
      <c r="L1790">
        <v>89</v>
      </c>
      <c r="M1790">
        <v>940</v>
      </c>
      <c r="N1790">
        <v>40</v>
      </c>
      <c r="O1790">
        <v>1400</v>
      </c>
      <c r="P1790" t="s">
        <v>18</v>
      </c>
      <c r="Q1790">
        <f t="shared" si="58"/>
        <v>2024</v>
      </c>
      <c r="R1790">
        <f t="shared" si="59"/>
        <v>8</v>
      </c>
    </row>
    <row r="1791" spans="1:18">
      <c r="A1791">
        <v>20</v>
      </c>
      <c r="B1791" t="s">
        <v>267</v>
      </c>
      <c r="C1791" s="216">
        <v>45552</v>
      </c>
      <c r="D1791">
        <v>16.3</v>
      </c>
      <c r="E1791" s="116">
        <v>10.15</v>
      </c>
      <c r="F1791" s="101">
        <v>104</v>
      </c>
      <c r="G1791">
        <v>8</v>
      </c>
      <c r="H1791" s="116">
        <v>1.3</v>
      </c>
      <c r="I1791">
        <v>70.2</v>
      </c>
      <c r="J1791">
        <v>1.5</v>
      </c>
      <c r="K1791">
        <v>59</v>
      </c>
      <c r="L1791">
        <v>110</v>
      </c>
      <c r="M1791">
        <v>2000</v>
      </c>
      <c r="N1791" t="s">
        <v>148</v>
      </c>
      <c r="O1791">
        <v>2200</v>
      </c>
      <c r="P1791" t="s">
        <v>18</v>
      </c>
      <c r="Q1791">
        <f t="shared" si="58"/>
        <v>2024</v>
      </c>
      <c r="R1791">
        <f t="shared" si="59"/>
        <v>9</v>
      </c>
    </row>
    <row r="1792" spans="1:18">
      <c r="A1792">
        <v>20</v>
      </c>
      <c r="B1792" t="s">
        <v>267</v>
      </c>
      <c r="C1792" s="216">
        <v>45575</v>
      </c>
      <c r="D1792">
        <v>13.8</v>
      </c>
      <c r="E1792" s="116">
        <v>9.7799999999999994</v>
      </c>
      <c r="F1792" s="101">
        <v>95</v>
      </c>
      <c r="G1792">
        <v>7.6</v>
      </c>
      <c r="H1792" s="116">
        <v>30</v>
      </c>
      <c r="I1792">
        <v>32.9</v>
      </c>
      <c r="J1792">
        <v>3.7</v>
      </c>
      <c r="K1792">
        <v>89</v>
      </c>
      <c r="L1792">
        <v>220</v>
      </c>
      <c r="M1792">
        <v>2700</v>
      </c>
      <c r="N1792">
        <v>110</v>
      </c>
      <c r="O1792">
        <v>3400</v>
      </c>
      <c r="P1792" t="s">
        <v>18</v>
      </c>
      <c r="Q1792">
        <f t="shared" si="58"/>
        <v>2024</v>
      </c>
      <c r="R1792">
        <f t="shared" si="59"/>
        <v>10</v>
      </c>
    </row>
    <row r="1793" spans="1:18">
      <c r="A1793">
        <v>20</v>
      </c>
      <c r="B1793" t="s">
        <v>267</v>
      </c>
      <c r="C1793" s="216">
        <v>45610</v>
      </c>
      <c r="D1793">
        <v>9.3000000000000007</v>
      </c>
      <c r="E1793" s="116">
        <v>11.3</v>
      </c>
      <c r="F1793" s="101">
        <v>99</v>
      </c>
      <c r="G1793">
        <v>8</v>
      </c>
      <c r="H1793" s="116">
        <v>1.4</v>
      </c>
      <c r="I1793">
        <v>61.9</v>
      </c>
      <c r="J1793">
        <v>2</v>
      </c>
      <c r="K1793">
        <v>40</v>
      </c>
      <c r="L1793">
        <v>63</v>
      </c>
      <c r="M1793">
        <v>2800</v>
      </c>
      <c r="N1793">
        <v>21</v>
      </c>
      <c r="O1793">
        <v>3100</v>
      </c>
      <c r="P1793" t="s">
        <v>18</v>
      </c>
      <c r="Q1793">
        <f t="shared" si="58"/>
        <v>2024</v>
      </c>
      <c r="R1793">
        <f t="shared" si="59"/>
        <v>11</v>
      </c>
    </row>
    <row r="1794" spans="1:18">
      <c r="A1794">
        <v>20</v>
      </c>
      <c r="B1794" t="s">
        <v>267</v>
      </c>
      <c r="C1794" s="216">
        <v>45642</v>
      </c>
      <c r="D1794">
        <v>6.6</v>
      </c>
      <c r="E1794" s="116">
        <v>11.74</v>
      </c>
      <c r="F1794" s="101">
        <v>96</v>
      </c>
      <c r="G1794">
        <v>8.1</v>
      </c>
      <c r="H1794" s="116">
        <v>11</v>
      </c>
      <c r="I1794">
        <v>56.8</v>
      </c>
      <c r="J1794">
        <v>2.2000000000000002</v>
      </c>
      <c r="K1794">
        <v>44</v>
      </c>
      <c r="L1794">
        <v>86</v>
      </c>
      <c r="M1794">
        <v>6300</v>
      </c>
      <c r="N1794">
        <v>160</v>
      </c>
      <c r="O1794">
        <v>6900</v>
      </c>
      <c r="P1794" t="s">
        <v>18</v>
      </c>
      <c r="Q1794">
        <f t="shared" si="58"/>
        <v>2024</v>
      </c>
      <c r="R1794">
        <f t="shared" si="59"/>
        <v>12</v>
      </c>
    </row>
    <row r="1795" spans="1:18">
      <c r="A1795">
        <v>21</v>
      </c>
      <c r="B1795" t="s">
        <v>261</v>
      </c>
      <c r="C1795" s="216">
        <v>45309</v>
      </c>
      <c r="D1795">
        <v>0.3</v>
      </c>
      <c r="E1795" s="116">
        <v>13.7</v>
      </c>
      <c r="F1795" s="101">
        <v>94</v>
      </c>
      <c r="G1795">
        <v>7.9</v>
      </c>
      <c r="H1795" s="116">
        <v>3.9</v>
      </c>
      <c r="I1795">
        <v>43.4</v>
      </c>
      <c r="J1795" t="s">
        <v>367</v>
      </c>
      <c r="K1795">
        <v>36</v>
      </c>
      <c r="L1795">
        <v>52</v>
      </c>
      <c r="M1795">
        <v>5900</v>
      </c>
      <c r="N1795">
        <v>77</v>
      </c>
      <c r="O1795">
        <v>6500</v>
      </c>
      <c r="P1795" t="s">
        <v>415</v>
      </c>
      <c r="Q1795">
        <f t="shared" si="58"/>
        <v>2024</v>
      </c>
      <c r="R1795">
        <f t="shared" si="59"/>
        <v>1</v>
      </c>
    </row>
    <row r="1796" spans="1:18">
      <c r="A1796">
        <v>21</v>
      </c>
      <c r="B1796" t="s">
        <v>261</v>
      </c>
      <c r="C1796" s="216">
        <v>45346</v>
      </c>
      <c r="D1796">
        <v>5.4</v>
      </c>
      <c r="E1796" s="116">
        <v>12.3</v>
      </c>
      <c r="F1796" s="101">
        <v>97</v>
      </c>
      <c r="G1796">
        <v>7.8</v>
      </c>
      <c r="H1796" s="116">
        <v>10</v>
      </c>
      <c r="I1796">
        <v>33.1</v>
      </c>
      <c r="J1796">
        <v>1</v>
      </c>
      <c r="K1796">
        <v>39</v>
      </c>
      <c r="L1796">
        <v>66</v>
      </c>
      <c r="M1796">
        <v>4900</v>
      </c>
      <c r="N1796" t="s">
        <v>148</v>
      </c>
      <c r="O1796">
        <v>5100</v>
      </c>
      <c r="P1796" t="s">
        <v>18</v>
      </c>
      <c r="Q1796">
        <f t="shared" si="58"/>
        <v>2024</v>
      </c>
      <c r="R1796">
        <f t="shared" si="59"/>
        <v>2</v>
      </c>
    </row>
    <row r="1797" spans="1:18">
      <c r="A1797">
        <v>21</v>
      </c>
      <c r="B1797" t="s">
        <v>261</v>
      </c>
      <c r="C1797" s="216">
        <v>45371</v>
      </c>
      <c r="D1797">
        <v>6.2</v>
      </c>
      <c r="E1797" s="116">
        <v>11.8</v>
      </c>
      <c r="F1797" s="101">
        <v>95</v>
      </c>
      <c r="G1797">
        <v>8</v>
      </c>
      <c r="H1797" s="116">
        <v>3.6</v>
      </c>
      <c r="I1797">
        <v>46.4</v>
      </c>
      <c r="J1797">
        <v>1.5</v>
      </c>
      <c r="K1797">
        <v>39</v>
      </c>
      <c r="L1797">
        <v>60</v>
      </c>
      <c r="M1797">
        <v>4400</v>
      </c>
      <c r="N1797">
        <v>67</v>
      </c>
      <c r="O1797">
        <v>4800</v>
      </c>
      <c r="P1797" t="s">
        <v>18</v>
      </c>
      <c r="Q1797">
        <f t="shared" si="58"/>
        <v>2024</v>
      </c>
      <c r="R1797">
        <f t="shared" si="59"/>
        <v>3</v>
      </c>
    </row>
    <row r="1798" spans="1:18">
      <c r="A1798">
        <v>21</v>
      </c>
      <c r="B1798" t="s">
        <v>261</v>
      </c>
      <c r="C1798" s="216">
        <v>45398</v>
      </c>
      <c r="D1798">
        <v>10.7</v>
      </c>
      <c r="E1798" s="116">
        <v>11.5</v>
      </c>
      <c r="F1798" s="101">
        <v>104</v>
      </c>
      <c r="G1798">
        <v>8.1999999999999993</v>
      </c>
      <c r="H1798" s="116">
        <v>4</v>
      </c>
      <c r="I1798">
        <v>46.4</v>
      </c>
      <c r="J1798">
        <v>1.7</v>
      </c>
      <c r="K1798">
        <v>30</v>
      </c>
      <c r="L1798">
        <v>51</v>
      </c>
      <c r="M1798">
        <v>4500</v>
      </c>
      <c r="N1798">
        <v>43</v>
      </c>
      <c r="O1798">
        <v>5100</v>
      </c>
      <c r="P1798" t="s">
        <v>18</v>
      </c>
      <c r="Q1798">
        <f t="shared" si="58"/>
        <v>2024</v>
      </c>
      <c r="R1798">
        <f t="shared" si="59"/>
        <v>4</v>
      </c>
    </row>
    <row r="1799" spans="1:18">
      <c r="A1799">
        <v>21</v>
      </c>
      <c r="B1799" t="s">
        <v>261</v>
      </c>
      <c r="C1799" s="216">
        <v>45427</v>
      </c>
      <c r="D1799">
        <v>16.899999999999999</v>
      </c>
      <c r="E1799" s="116">
        <v>10.199999999999999</v>
      </c>
      <c r="F1799" s="101">
        <v>106</v>
      </c>
      <c r="G1799">
        <v>8.3000000000000007</v>
      </c>
      <c r="H1799" s="116">
        <v>2.9</v>
      </c>
      <c r="I1799">
        <v>48</v>
      </c>
      <c r="J1799">
        <v>2</v>
      </c>
      <c r="K1799">
        <v>42</v>
      </c>
      <c r="L1799">
        <v>71</v>
      </c>
      <c r="M1799">
        <v>2400</v>
      </c>
      <c r="N1799">
        <v>17</v>
      </c>
      <c r="O1799">
        <v>2800</v>
      </c>
      <c r="P1799" t="s">
        <v>18</v>
      </c>
      <c r="Q1799">
        <f t="shared" si="58"/>
        <v>2024</v>
      </c>
      <c r="R1799">
        <f t="shared" si="59"/>
        <v>5</v>
      </c>
    </row>
    <row r="1800" spans="1:18">
      <c r="A1800">
        <v>21</v>
      </c>
      <c r="B1800" t="s">
        <v>261</v>
      </c>
      <c r="C1800" s="216">
        <v>45456</v>
      </c>
      <c r="D1800">
        <v>13.1</v>
      </c>
      <c r="E1800" s="116">
        <v>10.5</v>
      </c>
      <c r="F1800" s="101">
        <v>100</v>
      </c>
      <c r="G1800">
        <v>8.1999999999999993</v>
      </c>
      <c r="H1800" s="116">
        <v>3</v>
      </c>
      <c r="I1800">
        <v>52.9</v>
      </c>
      <c r="J1800">
        <v>1.4</v>
      </c>
      <c r="K1800">
        <v>68</v>
      </c>
      <c r="L1800">
        <v>94</v>
      </c>
      <c r="M1800">
        <v>1800</v>
      </c>
      <c r="N1800">
        <v>24</v>
      </c>
      <c r="O1800">
        <v>2400</v>
      </c>
      <c r="P1800" t="s">
        <v>18</v>
      </c>
      <c r="Q1800">
        <f t="shared" si="58"/>
        <v>2024</v>
      </c>
      <c r="R1800">
        <f t="shared" si="59"/>
        <v>6</v>
      </c>
    </row>
    <row r="1801" spans="1:18">
      <c r="A1801">
        <v>21</v>
      </c>
      <c r="B1801" t="s">
        <v>261</v>
      </c>
      <c r="C1801" s="216">
        <v>45483</v>
      </c>
      <c r="D1801">
        <v>18.2</v>
      </c>
      <c r="E1801" s="116">
        <v>9.5399999999999991</v>
      </c>
      <c r="F1801" s="101">
        <v>101</v>
      </c>
      <c r="G1801" t="s">
        <v>18</v>
      </c>
      <c r="H1801" s="116" t="s">
        <v>18</v>
      </c>
      <c r="I1801" t="s">
        <v>18</v>
      </c>
      <c r="J1801" t="s">
        <v>18</v>
      </c>
      <c r="K1801" t="s">
        <v>18</v>
      </c>
      <c r="L1801" t="s">
        <v>18</v>
      </c>
      <c r="M1801" t="s">
        <v>18</v>
      </c>
      <c r="N1801" t="s">
        <v>18</v>
      </c>
      <c r="O1801" t="s">
        <v>18</v>
      </c>
      <c r="P1801" t="s">
        <v>416</v>
      </c>
      <c r="Q1801">
        <f t="shared" si="58"/>
        <v>2024</v>
      </c>
      <c r="R1801">
        <f t="shared" si="59"/>
        <v>7</v>
      </c>
    </row>
    <row r="1802" spans="1:18">
      <c r="A1802">
        <v>21</v>
      </c>
      <c r="B1802" t="s">
        <v>261</v>
      </c>
      <c r="C1802" s="216">
        <v>45524</v>
      </c>
      <c r="D1802">
        <v>16.7</v>
      </c>
      <c r="E1802" s="116">
        <v>11.42</v>
      </c>
      <c r="F1802" s="101">
        <v>118</v>
      </c>
      <c r="G1802">
        <v>8.1999999999999993</v>
      </c>
      <c r="H1802" s="116">
        <v>0.88</v>
      </c>
      <c r="I1802">
        <v>57.4</v>
      </c>
      <c r="J1802">
        <v>1.2</v>
      </c>
      <c r="K1802">
        <v>33</v>
      </c>
      <c r="L1802">
        <v>100</v>
      </c>
      <c r="M1802">
        <v>940</v>
      </c>
      <c r="N1802">
        <v>17</v>
      </c>
      <c r="O1802">
        <v>1100</v>
      </c>
      <c r="P1802" t="s">
        <v>18</v>
      </c>
      <c r="Q1802">
        <f t="shared" si="58"/>
        <v>2024</v>
      </c>
      <c r="R1802">
        <f t="shared" si="59"/>
        <v>8</v>
      </c>
    </row>
    <row r="1803" spans="1:18">
      <c r="A1803">
        <v>21</v>
      </c>
      <c r="B1803" t="s">
        <v>261</v>
      </c>
      <c r="C1803" s="216">
        <v>45552</v>
      </c>
      <c r="D1803">
        <v>14.4</v>
      </c>
      <c r="E1803" s="116">
        <v>10.130000000000001</v>
      </c>
      <c r="F1803" s="101">
        <v>99</v>
      </c>
      <c r="G1803">
        <v>8.1</v>
      </c>
      <c r="H1803" s="116">
        <v>1.1000000000000001</v>
      </c>
      <c r="I1803">
        <v>51.7</v>
      </c>
      <c r="J1803">
        <v>0.79</v>
      </c>
      <c r="K1803">
        <v>81</v>
      </c>
      <c r="L1803">
        <v>110</v>
      </c>
      <c r="M1803">
        <v>1500</v>
      </c>
      <c r="N1803" t="s">
        <v>148</v>
      </c>
      <c r="O1803">
        <v>1800</v>
      </c>
      <c r="P1803" t="s">
        <v>18</v>
      </c>
      <c r="Q1803">
        <f t="shared" si="58"/>
        <v>2024</v>
      </c>
      <c r="R1803">
        <f t="shared" si="59"/>
        <v>9</v>
      </c>
    </row>
    <row r="1804" spans="1:18">
      <c r="A1804">
        <v>21</v>
      </c>
      <c r="B1804" t="s">
        <v>261</v>
      </c>
      <c r="C1804" s="216">
        <v>45575</v>
      </c>
      <c r="D1804">
        <v>12.8</v>
      </c>
      <c r="E1804" s="116">
        <v>10.18</v>
      </c>
      <c r="F1804" s="101">
        <v>97</v>
      </c>
      <c r="G1804">
        <v>7.8</v>
      </c>
      <c r="H1804" s="116">
        <v>24</v>
      </c>
      <c r="I1804">
        <v>47.4</v>
      </c>
      <c r="J1804">
        <v>2.2000000000000002</v>
      </c>
      <c r="K1804">
        <v>130</v>
      </c>
      <c r="L1804">
        <v>190</v>
      </c>
      <c r="M1804">
        <v>3400</v>
      </c>
      <c r="N1804" t="s">
        <v>148</v>
      </c>
      <c r="O1804">
        <v>4200</v>
      </c>
      <c r="P1804" t="s">
        <v>18</v>
      </c>
      <c r="Q1804">
        <f t="shared" si="58"/>
        <v>2024</v>
      </c>
      <c r="R1804">
        <f t="shared" si="59"/>
        <v>10</v>
      </c>
    </row>
    <row r="1805" spans="1:18">
      <c r="A1805">
        <v>21</v>
      </c>
      <c r="B1805" t="s">
        <v>261</v>
      </c>
      <c r="C1805" s="216">
        <v>45610</v>
      </c>
      <c r="D1805">
        <v>7.9</v>
      </c>
      <c r="E1805" s="116">
        <v>12</v>
      </c>
      <c r="F1805" s="101">
        <v>101</v>
      </c>
      <c r="G1805">
        <v>8.1</v>
      </c>
      <c r="H1805" s="116">
        <v>1.1000000000000001</v>
      </c>
      <c r="I1805">
        <v>56.8</v>
      </c>
      <c r="J1805">
        <v>1.4</v>
      </c>
      <c r="K1805">
        <v>44</v>
      </c>
      <c r="L1805">
        <v>59</v>
      </c>
      <c r="M1805">
        <v>3500</v>
      </c>
      <c r="N1805">
        <v>11</v>
      </c>
      <c r="O1805">
        <v>3500</v>
      </c>
      <c r="P1805" t="s">
        <v>18</v>
      </c>
      <c r="Q1805">
        <f t="shared" si="58"/>
        <v>2024</v>
      </c>
      <c r="R1805">
        <f t="shared" si="59"/>
        <v>11</v>
      </c>
    </row>
    <row r="1806" spans="1:18">
      <c r="A1806">
        <v>21</v>
      </c>
      <c r="B1806" t="s">
        <v>261</v>
      </c>
      <c r="C1806" s="216">
        <v>45642</v>
      </c>
      <c r="D1806">
        <v>6.4</v>
      </c>
      <c r="E1806" s="116">
        <v>11.78</v>
      </c>
      <c r="F1806" s="101">
        <v>96</v>
      </c>
      <c r="G1806">
        <v>8.1</v>
      </c>
      <c r="H1806" s="116">
        <v>14</v>
      </c>
      <c r="I1806">
        <v>55.1</v>
      </c>
      <c r="J1806">
        <v>1.6</v>
      </c>
      <c r="K1806">
        <v>46</v>
      </c>
      <c r="L1806">
        <v>78</v>
      </c>
      <c r="M1806">
        <v>7500</v>
      </c>
      <c r="N1806" t="s">
        <v>148</v>
      </c>
      <c r="O1806">
        <v>7100</v>
      </c>
      <c r="P1806" t="s">
        <v>18</v>
      </c>
      <c r="Q1806">
        <f t="shared" si="58"/>
        <v>2024</v>
      </c>
      <c r="R1806">
        <f t="shared" si="59"/>
        <v>12</v>
      </c>
    </row>
    <row r="1807" spans="1:18">
      <c r="A1807">
        <v>22</v>
      </c>
      <c r="B1807" t="s">
        <v>268</v>
      </c>
      <c r="C1807" s="216">
        <v>45309</v>
      </c>
      <c r="D1807">
        <v>1</v>
      </c>
      <c r="E1807" s="116">
        <v>13.3</v>
      </c>
      <c r="F1807" s="101">
        <v>93</v>
      </c>
      <c r="G1807">
        <v>7.8</v>
      </c>
      <c r="H1807" s="116">
        <v>2.5</v>
      </c>
      <c r="I1807">
        <v>34</v>
      </c>
      <c r="J1807" t="s">
        <v>367</v>
      </c>
      <c r="K1807">
        <v>32</v>
      </c>
      <c r="L1807">
        <v>46</v>
      </c>
      <c r="M1807">
        <v>4300</v>
      </c>
      <c r="N1807">
        <v>63</v>
      </c>
      <c r="O1807">
        <v>4800</v>
      </c>
      <c r="P1807" t="s">
        <v>415</v>
      </c>
      <c r="Q1807">
        <f t="shared" si="58"/>
        <v>2024</v>
      </c>
      <c r="R1807">
        <f t="shared" si="59"/>
        <v>1</v>
      </c>
    </row>
    <row r="1808" spans="1:18">
      <c r="A1808">
        <v>22</v>
      </c>
      <c r="B1808" t="s">
        <v>268</v>
      </c>
      <c r="C1808" s="216">
        <v>45371</v>
      </c>
      <c r="D1808">
        <v>5.0999999999999996</v>
      </c>
      <c r="E1808" s="116">
        <v>11.6</v>
      </c>
      <c r="F1808" s="101">
        <v>91</v>
      </c>
      <c r="G1808">
        <v>8</v>
      </c>
      <c r="H1808" s="116">
        <v>1.2</v>
      </c>
      <c r="I1808">
        <v>37.4</v>
      </c>
      <c r="J1808">
        <v>1.6</v>
      </c>
      <c r="K1808">
        <v>30</v>
      </c>
      <c r="L1808">
        <v>50</v>
      </c>
      <c r="M1808">
        <v>3300</v>
      </c>
      <c r="N1808">
        <v>38</v>
      </c>
      <c r="O1808">
        <v>3800</v>
      </c>
      <c r="P1808" t="s">
        <v>18</v>
      </c>
      <c r="Q1808">
        <f t="shared" si="58"/>
        <v>2024</v>
      </c>
      <c r="R1808">
        <f t="shared" si="59"/>
        <v>3</v>
      </c>
    </row>
    <row r="1809" spans="1:18">
      <c r="A1809">
        <v>22</v>
      </c>
      <c r="B1809" t="s">
        <v>268</v>
      </c>
      <c r="C1809" s="216">
        <v>45427</v>
      </c>
      <c r="D1809">
        <v>12.8</v>
      </c>
      <c r="E1809" s="116">
        <v>9.3000000000000007</v>
      </c>
      <c r="F1809" s="101">
        <v>88</v>
      </c>
      <c r="G1809">
        <v>8.1</v>
      </c>
      <c r="H1809" s="116">
        <v>3</v>
      </c>
      <c r="I1809">
        <v>40.299999999999997</v>
      </c>
      <c r="J1809">
        <v>1.7</v>
      </c>
      <c r="K1809">
        <v>34</v>
      </c>
      <c r="L1809">
        <v>72</v>
      </c>
      <c r="M1809">
        <v>1900</v>
      </c>
      <c r="N1809">
        <v>43</v>
      </c>
      <c r="O1809">
        <v>2500</v>
      </c>
      <c r="P1809" t="s">
        <v>18</v>
      </c>
      <c r="Q1809">
        <f t="shared" si="58"/>
        <v>2024</v>
      </c>
      <c r="R1809">
        <f t="shared" si="59"/>
        <v>5</v>
      </c>
    </row>
    <row r="1810" spans="1:18">
      <c r="A1810">
        <v>22</v>
      </c>
      <c r="B1810" t="s">
        <v>268</v>
      </c>
      <c r="C1810" s="216">
        <v>45483</v>
      </c>
      <c r="D1810">
        <v>16.600000000000001</v>
      </c>
      <c r="E1810" s="116">
        <v>8.1</v>
      </c>
      <c r="F1810" s="101">
        <v>83</v>
      </c>
      <c r="G1810" t="s">
        <v>18</v>
      </c>
      <c r="H1810" s="116" t="s">
        <v>18</v>
      </c>
      <c r="I1810" t="s">
        <v>18</v>
      </c>
      <c r="J1810" t="s">
        <v>18</v>
      </c>
      <c r="K1810" t="s">
        <v>18</v>
      </c>
      <c r="L1810" t="s">
        <v>18</v>
      </c>
      <c r="M1810" t="s">
        <v>18</v>
      </c>
      <c r="N1810" t="s">
        <v>18</v>
      </c>
      <c r="O1810" t="s">
        <v>18</v>
      </c>
      <c r="P1810" t="s">
        <v>416</v>
      </c>
      <c r="Q1810">
        <f t="shared" si="58"/>
        <v>2024</v>
      </c>
      <c r="R1810">
        <f t="shared" si="59"/>
        <v>7</v>
      </c>
    </row>
    <row r="1811" spans="1:18">
      <c r="A1811">
        <v>22</v>
      </c>
      <c r="B1811" t="s">
        <v>268</v>
      </c>
      <c r="C1811" s="216">
        <v>45552</v>
      </c>
      <c r="D1811">
        <v>13.1</v>
      </c>
      <c r="E1811" s="116">
        <v>8.8000000000000007</v>
      </c>
      <c r="F1811" s="101">
        <v>84</v>
      </c>
      <c r="G1811">
        <v>7.8</v>
      </c>
      <c r="H1811" s="116">
        <v>1.4</v>
      </c>
      <c r="I1811">
        <v>42.7</v>
      </c>
      <c r="J1811">
        <v>0.92</v>
      </c>
      <c r="K1811">
        <v>87</v>
      </c>
      <c r="L1811">
        <v>110</v>
      </c>
      <c r="M1811">
        <v>1400</v>
      </c>
      <c r="N1811" t="s">
        <v>148</v>
      </c>
      <c r="O1811">
        <v>1900</v>
      </c>
      <c r="P1811" t="s">
        <v>18</v>
      </c>
      <c r="Q1811">
        <f t="shared" si="58"/>
        <v>2024</v>
      </c>
      <c r="R1811">
        <f t="shared" si="59"/>
        <v>9</v>
      </c>
    </row>
    <row r="1812" spans="1:18">
      <c r="A1812">
        <v>22</v>
      </c>
      <c r="B1812" t="s">
        <v>268</v>
      </c>
      <c r="C1812" s="216">
        <v>45610</v>
      </c>
      <c r="D1812">
        <v>7.7</v>
      </c>
      <c r="E1812" s="116">
        <v>10.8</v>
      </c>
      <c r="F1812" s="101">
        <v>91</v>
      </c>
      <c r="G1812">
        <v>8</v>
      </c>
      <c r="H1812" s="116">
        <v>1.4</v>
      </c>
      <c r="I1812">
        <v>48.5</v>
      </c>
      <c r="J1812">
        <v>1.7</v>
      </c>
      <c r="K1812">
        <v>35</v>
      </c>
      <c r="L1812">
        <v>63</v>
      </c>
      <c r="M1812">
        <v>2500</v>
      </c>
      <c r="N1812">
        <v>26</v>
      </c>
      <c r="O1812">
        <v>2800</v>
      </c>
      <c r="P1812" t="s">
        <v>18</v>
      </c>
      <c r="Q1812">
        <f t="shared" si="58"/>
        <v>2024</v>
      </c>
      <c r="R1812">
        <f t="shared" si="59"/>
        <v>11</v>
      </c>
    </row>
    <row r="1813" spans="1:18">
      <c r="A1813">
        <v>23</v>
      </c>
      <c r="B1813" t="s">
        <v>297</v>
      </c>
      <c r="C1813" s="216">
        <v>45309</v>
      </c>
      <c r="D1813">
        <v>2.9</v>
      </c>
      <c r="E1813" s="116">
        <v>12.1</v>
      </c>
      <c r="F1813" s="101">
        <v>90</v>
      </c>
      <c r="G1813">
        <v>7.8</v>
      </c>
      <c r="H1813" s="116">
        <v>4.2</v>
      </c>
      <c r="I1813">
        <v>59</v>
      </c>
      <c r="J1813" t="s">
        <v>367</v>
      </c>
      <c r="K1813">
        <v>16</v>
      </c>
      <c r="L1813">
        <v>52</v>
      </c>
      <c r="M1813">
        <v>3800</v>
      </c>
      <c r="N1813">
        <v>610</v>
      </c>
      <c r="O1813">
        <v>4600</v>
      </c>
      <c r="P1813" t="s">
        <v>415</v>
      </c>
      <c r="Q1813">
        <f t="shared" si="58"/>
        <v>2024</v>
      </c>
      <c r="R1813">
        <f t="shared" si="59"/>
        <v>1</v>
      </c>
    </row>
    <row r="1814" spans="1:18">
      <c r="A1814">
        <v>23</v>
      </c>
      <c r="B1814" t="s">
        <v>297</v>
      </c>
      <c r="C1814" s="216">
        <v>45371</v>
      </c>
      <c r="D1814">
        <v>6.7</v>
      </c>
      <c r="E1814" s="116">
        <v>10.8</v>
      </c>
      <c r="F1814" s="101">
        <v>89</v>
      </c>
      <c r="G1814">
        <v>7.8</v>
      </c>
      <c r="H1814" s="116">
        <v>4.3</v>
      </c>
      <c r="I1814">
        <v>67.3</v>
      </c>
      <c r="J1814">
        <v>1.9</v>
      </c>
      <c r="K1814">
        <v>16</v>
      </c>
      <c r="L1814">
        <v>45</v>
      </c>
      <c r="M1814">
        <v>2900</v>
      </c>
      <c r="N1814">
        <v>190</v>
      </c>
      <c r="O1814">
        <v>3500</v>
      </c>
      <c r="P1814" t="s">
        <v>18</v>
      </c>
      <c r="Q1814">
        <f t="shared" si="58"/>
        <v>2024</v>
      </c>
      <c r="R1814">
        <f t="shared" si="59"/>
        <v>3</v>
      </c>
    </row>
    <row r="1815" spans="1:18">
      <c r="A1815">
        <v>23</v>
      </c>
      <c r="B1815" t="s">
        <v>297</v>
      </c>
      <c r="C1815" s="216">
        <v>45427</v>
      </c>
      <c r="D1815">
        <v>15.1</v>
      </c>
      <c r="E1815" s="116">
        <v>8.3000000000000007</v>
      </c>
      <c r="F1815" s="101">
        <v>83</v>
      </c>
      <c r="G1815">
        <v>7.8</v>
      </c>
      <c r="H1815" s="116">
        <v>4.5</v>
      </c>
      <c r="I1815">
        <v>67.2</v>
      </c>
      <c r="J1815">
        <v>2.8</v>
      </c>
      <c r="K1815">
        <v>26</v>
      </c>
      <c r="L1815">
        <v>110</v>
      </c>
      <c r="M1815">
        <v>5500</v>
      </c>
      <c r="N1815">
        <v>340</v>
      </c>
      <c r="O1815">
        <v>6300</v>
      </c>
      <c r="P1815" t="s">
        <v>18</v>
      </c>
      <c r="Q1815">
        <f t="shared" ref="Q1815:Q1866" si="60">YEAR(C1815)</f>
        <v>2024</v>
      </c>
      <c r="R1815">
        <f t="shared" ref="R1815:R1866" si="61">MONTH(C1815)</f>
        <v>5</v>
      </c>
    </row>
    <row r="1816" spans="1:18">
      <c r="A1816">
        <v>23</v>
      </c>
      <c r="B1816" t="s">
        <v>297</v>
      </c>
      <c r="C1816" s="216">
        <v>45483</v>
      </c>
      <c r="D1816">
        <v>18.899999999999999</v>
      </c>
      <c r="E1816" s="116">
        <v>7.98</v>
      </c>
      <c r="F1816" s="101">
        <v>86</v>
      </c>
      <c r="G1816" t="s">
        <v>18</v>
      </c>
      <c r="H1816" s="116" t="s">
        <v>18</v>
      </c>
      <c r="I1816" t="s">
        <v>18</v>
      </c>
      <c r="J1816" t="s">
        <v>18</v>
      </c>
      <c r="K1816" t="s">
        <v>18</v>
      </c>
      <c r="L1816" t="s">
        <v>18</v>
      </c>
      <c r="M1816" t="s">
        <v>18</v>
      </c>
      <c r="N1816" t="s">
        <v>18</v>
      </c>
      <c r="O1816" t="s">
        <v>18</v>
      </c>
      <c r="P1816" t="s">
        <v>416</v>
      </c>
      <c r="Q1816">
        <f t="shared" si="60"/>
        <v>2024</v>
      </c>
      <c r="R1816">
        <f t="shared" si="61"/>
        <v>7</v>
      </c>
    </row>
    <row r="1817" spans="1:18">
      <c r="A1817">
        <v>23</v>
      </c>
      <c r="B1817" t="s">
        <v>297</v>
      </c>
      <c r="C1817" s="216">
        <v>45552</v>
      </c>
      <c r="D1817">
        <v>15.9</v>
      </c>
      <c r="E1817" s="116">
        <v>8</v>
      </c>
      <c r="F1817" s="101">
        <v>81</v>
      </c>
      <c r="G1817">
        <v>7.6</v>
      </c>
      <c r="H1817" s="116">
        <v>6</v>
      </c>
      <c r="I1817">
        <v>81.400000000000006</v>
      </c>
      <c r="J1817">
        <v>2.7</v>
      </c>
      <c r="K1817">
        <v>31</v>
      </c>
      <c r="L1817">
        <v>65</v>
      </c>
      <c r="M1817">
        <v>1800</v>
      </c>
      <c r="N1817">
        <v>400</v>
      </c>
      <c r="O1817">
        <v>2500</v>
      </c>
      <c r="P1817" t="s">
        <v>417</v>
      </c>
      <c r="Q1817">
        <f t="shared" si="60"/>
        <v>2024</v>
      </c>
      <c r="R1817">
        <f t="shared" si="61"/>
        <v>9</v>
      </c>
    </row>
    <row r="1818" spans="1:18">
      <c r="A1818">
        <v>23</v>
      </c>
      <c r="B1818" t="s">
        <v>297</v>
      </c>
      <c r="C1818" s="216">
        <v>45610</v>
      </c>
      <c r="D1818">
        <v>8.3000000000000007</v>
      </c>
      <c r="E1818" s="116">
        <v>10.36</v>
      </c>
      <c r="F1818" s="101">
        <v>88</v>
      </c>
      <c r="G1818">
        <v>7.7</v>
      </c>
      <c r="H1818" s="116">
        <v>3.6</v>
      </c>
      <c r="I1818">
        <v>76.5</v>
      </c>
      <c r="J1818">
        <v>2</v>
      </c>
      <c r="K1818">
        <v>33</v>
      </c>
      <c r="L1818">
        <v>49</v>
      </c>
      <c r="M1818">
        <v>9100</v>
      </c>
      <c r="N1818">
        <v>290</v>
      </c>
      <c r="O1818">
        <v>8700</v>
      </c>
      <c r="P1818" t="s">
        <v>18</v>
      </c>
      <c r="Q1818">
        <f t="shared" si="60"/>
        <v>2024</v>
      </c>
      <c r="R1818">
        <f t="shared" si="61"/>
        <v>11</v>
      </c>
    </row>
    <row r="1819" spans="1:18">
      <c r="A1819">
        <v>24</v>
      </c>
      <c r="B1819" t="s">
        <v>269</v>
      </c>
      <c r="C1819" s="216">
        <v>45309</v>
      </c>
      <c r="D1819">
        <v>2.2000000000000002</v>
      </c>
      <c r="E1819" s="116">
        <v>13</v>
      </c>
      <c r="F1819" s="101">
        <v>95</v>
      </c>
      <c r="G1819">
        <v>8</v>
      </c>
      <c r="H1819" s="116">
        <v>4.0999999999999996</v>
      </c>
      <c r="I1819">
        <v>57.1</v>
      </c>
      <c r="J1819" t="s">
        <v>367</v>
      </c>
      <c r="K1819">
        <v>18</v>
      </c>
      <c r="L1819">
        <v>41</v>
      </c>
      <c r="M1819">
        <v>3600</v>
      </c>
      <c r="N1819">
        <v>200</v>
      </c>
      <c r="O1819">
        <v>4200</v>
      </c>
      <c r="P1819" t="s">
        <v>415</v>
      </c>
      <c r="Q1819">
        <f t="shared" si="60"/>
        <v>2024</v>
      </c>
      <c r="R1819">
        <f t="shared" si="61"/>
        <v>1</v>
      </c>
    </row>
    <row r="1820" spans="1:18">
      <c r="A1820">
        <v>24</v>
      </c>
      <c r="B1820" t="s">
        <v>269</v>
      </c>
      <c r="C1820" s="216">
        <v>45371</v>
      </c>
      <c r="D1820">
        <v>6.4</v>
      </c>
      <c r="E1820" s="116">
        <v>12.3</v>
      </c>
      <c r="F1820" s="101">
        <v>100</v>
      </c>
      <c r="G1820">
        <v>8.1</v>
      </c>
      <c r="H1820" s="116">
        <v>3.7</v>
      </c>
      <c r="I1820">
        <v>67.7</v>
      </c>
      <c r="J1820">
        <v>1.6</v>
      </c>
      <c r="K1820">
        <v>14</v>
      </c>
      <c r="L1820">
        <v>24</v>
      </c>
      <c r="M1820">
        <v>2100</v>
      </c>
      <c r="N1820">
        <v>120</v>
      </c>
      <c r="O1820">
        <v>2600</v>
      </c>
      <c r="P1820" t="s">
        <v>18</v>
      </c>
      <c r="Q1820">
        <f t="shared" si="60"/>
        <v>2024</v>
      </c>
      <c r="R1820">
        <f t="shared" si="61"/>
        <v>3</v>
      </c>
    </row>
    <row r="1821" spans="1:18">
      <c r="A1821">
        <v>24</v>
      </c>
      <c r="B1821" t="s">
        <v>269</v>
      </c>
      <c r="C1821" s="216">
        <v>45427</v>
      </c>
      <c r="D1821">
        <v>14.1</v>
      </c>
      <c r="E1821" s="116">
        <v>10.6</v>
      </c>
      <c r="F1821" s="101">
        <v>103</v>
      </c>
      <c r="G1821">
        <v>8.1</v>
      </c>
      <c r="H1821" s="116">
        <v>2.4</v>
      </c>
      <c r="I1821">
        <v>64.400000000000006</v>
      </c>
      <c r="J1821">
        <v>1.3</v>
      </c>
      <c r="K1821">
        <v>27</v>
      </c>
      <c r="L1821">
        <v>46</v>
      </c>
      <c r="M1821">
        <v>1600</v>
      </c>
      <c r="N1821">
        <v>39</v>
      </c>
      <c r="O1821">
        <v>2100</v>
      </c>
      <c r="P1821" t="s">
        <v>18</v>
      </c>
      <c r="Q1821">
        <f t="shared" si="60"/>
        <v>2024</v>
      </c>
      <c r="R1821">
        <f t="shared" si="61"/>
        <v>5</v>
      </c>
    </row>
    <row r="1822" spans="1:18">
      <c r="A1822">
        <v>24</v>
      </c>
      <c r="B1822" t="s">
        <v>269</v>
      </c>
      <c r="C1822" s="216">
        <v>45483</v>
      </c>
      <c r="D1822">
        <v>19.7</v>
      </c>
      <c r="E1822" s="116">
        <v>9.14</v>
      </c>
      <c r="F1822" s="101">
        <v>100</v>
      </c>
      <c r="G1822" t="s">
        <v>18</v>
      </c>
      <c r="H1822" s="116" t="s">
        <v>18</v>
      </c>
      <c r="I1822" t="s">
        <v>18</v>
      </c>
      <c r="J1822" t="s">
        <v>18</v>
      </c>
      <c r="K1822" t="s">
        <v>18</v>
      </c>
      <c r="L1822" t="s">
        <v>18</v>
      </c>
      <c r="M1822" t="s">
        <v>18</v>
      </c>
      <c r="N1822" t="s">
        <v>18</v>
      </c>
      <c r="O1822" t="s">
        <v>18</v>
      </c>
      <c r="P1822" t="s">
        <v>416</v>
      </c>
      <c r="Q1822">
        <f t="shared" si="60"/>
        <v>2024</v>
      </c>
      <c r="R1822">
        <f t="shared" si="61"/>
        <v>7</v>
      </c>
    </row>
    <row r="1823" spans="1:18">
      <c r="A1823">
        <v>24</v>
      </c>
      <c r="B1823" t="s">
        <v>269</v>
      </c>
      <c r="C1823" s="216">
        <v>45552</v>
      </c>
      <c r="D1823">
        <v>15.3</v>
      </c>
      <c r="E1823" s="116">
        <v>9.27</v>
      </c>
      <c r="F1823" s="101">
        <v>93</v>
      </c>
      <c r="G1823">
        <v>7.9</v>
      </c>
      <c r="H1823" s="116">
        <v>3</v>
      </c>
      <c r="I1823">
        <v>84</v>
      </c>
      <c r="J1823">
        <v>0.53</v>
      </c>
      <c r="K1823">
        <v>43</v>
      </c>
      <c r="L1823">
        <v>62</v>
      </c>
      <c r="M1823">
        <v>660</v>
      </c>
      <c r="N1823" t="s">
        <v>148</v>
      </c>
      <c r="O1823">
        <v>740</v>
      </c>
      <c r="P1823" t="s">
        <v>18</v>
      </c>
      <c r="Q1823">
        <f t="shared" si="60"/>
        <v>2024</v>
      </c>
      <c r="R1823">
        <f t="shared" si="61"/>
        <v>9</v>
      </c>
    </row>
    <row r="1824" spans="1:18">
      <c r="A1824">
        <v>24</v>
      </c>
      <c r="B1824" t="s">
        <v>269</v>
      </c>
      <c r="C1824" s="216">
        <v>45610</v>
      </c>
      <c r="D1824">
        <v>9</v>
      </c>
      <c r="E1824" s="116">
        <v>10.43</v>
      </c>
      <c r="F1824" s="101">
        <v>91</v>
      </c>
      <c r="G1824">
        <v>7.9</v>
      </c>
      <c r="H1824" s="116">
        <v>1.7</v>
      </c>
      <c r="I1824">
        <v>78.099999999999994</v>
      </c>
      <c r="J1824">
        <v>1.1000000000000001</v>
      </c>
      <c r="K1824">
        <v>32</v>
      </c>
      <c r="L1824">
        <v>50</v>
      </c>
      <c r="M1824">
        <v>1600</v>
      </c>
      <c r="N1824">
        <v>26</v>
      </c>
      <c r="O1824">
        <v>1800</v>
      </c>
      <c r="P1824" t="s">
        <v>18</v>
      </c>
      <c r="Q1824">
        <f t="shared" si="60"/>
        <v>2024</v>
      </c>
      <c r="R1824">
        <f t="shared" si="61"/>
        <v>11</v>
      </c>
    </row>
    <row r="1825" spans="1:18">
      <c r="A1825">
        <v>25</v>
      </c>
      <c r="B1825" t="s">
        <v>263</v>
      </c>
      <c r="C1825" s="216">
        <v>45309</v>
      </c>
      <c r="D1825">
        <v>0</v>
      </c>
      <c r="E1825" s="116">
        <v>10.3</v>
      </c>
      <c r="F1825" s="101">
        <v>70</v>
      </c>
      <c r="G1825">
        <v>7.4</v>
      </c>
      <c r="H1825" s="116">
        <v>1.9</v>
      </c>
      <c r="I1825">
        <v>40</v>
      </c>
      <c r="J1825" t="s">
        <v>367</v>
      </c>
      <c r="K1825">
        <v>18</v>
      </c>
      <c r="L1825">
        <v>31</v>
      </c>
      <c r="M1825">
        <v>1400</v>
      </c>
      <c r="N1825">
        <v>160</v>
      </c>
      <c r="O1825">
        <v>2500</v>
      </c>
      <c r="P1825" t="s">
        <v>415</v>
      </c>
      <c r="Q1825">
        <f t="shared" si="60"/>
        <v>2024</v>
      </c>
      <c r="R1825">
        <f t="shared" si="61"/>
        <v>1</v>
      </c>
    </row>
    <row r="1826" spans="1:18">
      <c r="A1826">
        <v>25</v>
      </c>
      <c r="B1826" t="s">
        <v>263</v>
      </c>
      <c r="C1826" s="216">
        <v>45346</v>
      </c>
      <c r="D1826">
        <v>5.2</v>
      </c>
      <c r="E1826" s="116">
        <v>12.7</v>
      </c>
      <c r="F1826" s="101">
        <v>100</v>
      </c>
      <c r="G1826">
        <v>7.9</v>
      </c>
      <c r="H1826" s="116">
        <v>2.8</v>
      </c>
      <c r="I1826">
        <v>32</v>
      </c>
      <c r="J1826">
        <v>1.2</v>
      </c>
      <c r="K1826">
        <v>12</v>
      </c>
      <c r="L1826">
        <v>32</v>
      </c>
      <c r="M1826">
        <v>1300</v>
      </c>
      <c r="N1826">
        <v>21</v>
      </c>
      <c r="O1826">
        <v>2100</v>
      </c>
      <c r="P1826" t="s">
        <v>418</v>
      </c>
      <c r="Q1826">
        <f t="shared" si="60"/>
        <v>2024</v>
      </c>
      <c r="R1826">
        <f t="shared" si="61"/>
        <v>2</v>
      </c>
    </row>
    <row r="1827" spans="1:18">
      <c r="A1827">
        <v>25</v>
      </c>
      <c r="B1827" t="s">
        <v>263</v>
      </c>
      <c r="C1827" s="216">
        <v>45371</v>
      </c>
      <c r="D1827">
        <v>6.5</v>
      </c>
      <c r="E1827" s="116">
        <v>10.1</v>
      </c>
      <c r="F1827" s="101">
        <v>82</v>
      </c>
      <c r="G1827">
        <v>7.9</v>
      </c>
      <c r="H1827" s="116">
        <v>2.2000000000000002</v>
      </c>
      <c r="I1827">
        <v>38.6</v>
      </c>
      <c r="J1827">
        <v>1.9</v>
      </c>
      <c r="K1827">
        <v>7</v>
      </c>
      <c r="L1827">
        <v>46</v>
      </c>
      <c r="M1827">
        <v>1000</v>
      </c>
      <c r="N1827">
        <v>30</v>
      </c>
      <c r="O1827">
        <v>2100</v>
      </c>
      <c r="P1827" t="s">
        <v>18</v>
      </c>
      <c r="Q1827">
        <f t="shared" si="60"/>
        <v>2024</v>
      </c>
      <c r="R1827">
        <f t="shared" si="61"/>
        <v>3</v>
      </c>
    </row>
    <row r="1828" spans="1:18">
      <c r="A1828">
        <v>25</v>
      </c>
      <c r="B1828" t="s">
        <v>263</v>
      </c>
      <c r="C1828" s="216">
        <v>45398</v>
      </c>
      <c r="D1828">
        <v>10.4</v>
      </c>
      <c r="E1828" s="116">
        <v>10.6</v>
      </c>
      <c r="F1828" s="101">
        <v>95</v>
      </c>
      <c r="G1828">
        <v>8</v>
      </c>
      <c r="H1828" s="116">
        <v>5.2</v>
      </c>
      <c r="I1828">
        <v>39.5</v>
      </c>
      <c r="J1828">
        <v>2.2999999999999998</v>
      </c>
      <c r="K1828">
        <v>7</v>
      </c>
      <c r="L1828">
        <v>44</v>
      </c>
      <c r="M1828">
        <v>940</v>
      </c>
      <c r="N1828">
        <v>23</v>
      </c>
      <c r="O1828">
        <v>1900</v>
      </c>
      <c r="P1828" t="s">
        <v>18</v>
      </c>
      <c r="Q1828">
        <f t="shared" si="60"/>
        <v>2024</v>
      </c>
      <c r="R1828">
        <f t="shared" si="61"/>
        <v>4</v>
      </c>
    </row>
    <row r="1829" spans="1:18">
      <c r="A1829">
        <v>25</v>
      </c>
      <c r="B1829" t="s">
        <v>263</v>
      </c>
      <c r="C1829" s="216">
        <v>45427</v>
      </c>
      <c r="D1829">
        <v>16.399999999999999</v>
      </c>
      <c r="E1829" s="116">
        <v>10.8</v>
      </c>
      <c r="F1829" s="101">
        <v>111</v>
      </c>
      <c r="G1829">
        <v>8.3000000000000007</v>
      </c>
      <c r="H1829" s="116">
        <v>5.3</v>
      </c>
      <c r="I1829">
        <v>39.299999999999997</v>
      </c>
      <c r="J1829">
        <v>2.4</v>
      </c>
      <c r="K1829">
        <v>13</v>
      </c>
      <c r="L1829">
        <v>54</v>
      </c>
      <c r="M1829">
        <v>720</v>
      </c>
      <c r="N1829">
        <v>21</v>
      </c>
      <c r="O1829">
        <v>1300</v>
      </c>
      <c r="P1829" t="s">
        <v>18</v>
      </c>
      <c r="Q1829">
        <f t="shared" si="60"/>
        <v>2024</v>
      </c>
      <c r="R1829">
        <f t="shared" si="61"/>
        <v>5</v>
      </c>
    </row>
    <row r="1830" spans="1:18">
      <c r="A1830">
        <v>25</v>
      </c>
      <c r="B1830" t="s">
        <v>263</v>
      </c>
      <c r="C1830" s="216">
        <v>45456</v>
      </c>
      <c r="D1830">
        <v>15.8</v>
      </c>
      <c r="E1830" s="116">
        <v>10.5</v>
      </c>
      <c r="F1830" s="101">
        <v>106</v>
      </c>
      <c r="G1830">
        <v>8.1</v>
      </c>
      <c r="H1830" s="116">
        <v>11</v>
      </c>
      <c r="I1830">
        <v>42.2</v>
      </c>
      <c r="J1830">
        <v>1.9</v>
      </c>
      <c r="K1830">
        <v>26</v>
      </c>
      <c r="L1830">
        <v>75</v>
      </c>
      <c r="M1830">
        <v>360</v>
      </c>
      <c r="N1830">
        <v>34</v>
      </c>
      <c r="O1830">
        <v>1100</v>
      </c>
      <c r="P1830" t="s">
        <v>18</v>
      </c>
      <c r="Q1830">
        <f t="shared" si="60"/>
        <v>2024</v>
      </c>
      <c r="R1830">
        <f t="shared" si="61"/>
        <v>6</v>
      </c>
    </row>
    <row r="1831" spans="1:18">
      <c r="A1831">
        <v>25</v>
      </c>
      <c r="B1831" t="s">
        <v>263</v>
      </c>
      <c r="C1831" s="216">
        <v>45483</v>
      </c>
      <c r="D1831">
        <v>21.7</v>
      </c>
      <c r="E1831" s="116">
        <v>10.75</v>
      </c>
      <c r="F1831" s="101">
        <v>122</v>
      </c>
      <c r="G1831" t="s">
        <v>18</v>
      </c>
      <c r="H1831" s="116" t="s">
        <v>18</v>
      </c>
      <c r="I1831" t="s">
        <v>18</v>
      </c>
      <c r="J1831" t="s">
        <v>18</v>
      </c>
      <c r="K1831" t="s">
        <v>18</v>
      </c>
      <c r="L1831" t="s">
        <v>18</v>
      </c>
      <c r="M1831" t="s">
        <v>18</v>
      </c>
      <c r="N1831" t="s">
        <v>18</v>
      </c>
      <c r="O1831" t="s">
        <v>18</v>
      </c>
      <c r="P1831" t="s">
        <v>416</v>
      </c>
      <c r="Q1831">
        <f t="shared" si="60"/>
        <v>2024</v>
      </c>
      <c r="R1831">
        <f t="shared" si="61"/>
        <v>7</v>
      </c>
    </row>
    <row r="1832" spans="1:18">
      <c r="A1832">
        <v>25</v>
      </c>
      <c r="B1832" t="s">
        <v>263</v>
      </c>
      <c r="C1832" s="216">
        <v>45524</v>
      </c>
      <c r="D1832">
        <v>19.399999999999999</v>
      </c>
      <c r="E1832" s="116">
        <v>9.66</v>
      </c>
      <c r="F1832" s="101">
        <v>105</v>
      </c>
      <c r="G1832">
        <v>8</v>
      </c>
      <c r="H1832" s="116">
        <v>6.2</v>
      </c>
      <c r="I1832">
        <v>46.1</v>
      </c>
      <c r="J1832">
        <v>0.75</v>
      </c>
      <c r="K1832">
        <v>5.9</v>
      </c>
      <c r="L1832">
        <v>57</v>
      </c>
      <c r="M1832">
        <v>280</v>
      </c>
      <c r="N1832">
        <v>42</v>
      </c>
      <c r="O1832">
        <v>850</v>
      </c>
      <c r="P1832" t="s">
        <v>18</v>
      </c>
      <c r="Q1832">
        <f t="shared" si="60"/>
        <v>2024</v>
      </c>
      <c r="R1832">
        <f t="shared" si="61"/>
        <v>8</v>
      </c>
    </row>
    <row r="1833" spans="1:18">
      <c r="A1833">
        <v>25</v>
      </c>
      <c r="B1833" t="s">
        <v>263</v>
      </c>
      <c r="C1833" s="216">
        <v>45552</v>
      </c>
      <c r="D1833">
        <v>15.8</v>
      </c>
      <c r="E1833" s="116">
        <v>10.029999999999999</v>
      </c>
      <c r="F1833" s="101">
        <v>101</v>
      </c>
      <c r="G1833">
        <v>7.9</v>
      </c>
      <c r="H1833" s="116">
        <v>3.9</v>
      </c>
      <c r="I1833">
        <v>47.1</v>
      </c>
      <c r="J1833">
        <v>0.86</v>
      </c>
      <c r="K1833">
        <v>28</v>
      </c>
      <c r="L1833">
        <v>50</v>
      </c>
      <c r="M1833">
        <v>150</v>
      </c>
      <c r="N1833" t="s">
        <v>148</v>
      </c>
      <c r="O1833">
        <v>910</v>
      </c>
      <c r="P1833" t="s">
        <v>18</v>
      </c>
      <c r="Q1833">
        <f t="shared" si="60"/>
        <v>2024</v>
      </c>
      <c r="R1833">
        <f t="shared" si="61"/>
        <v>9</v>
      </c>
    </row>
    <row r="1834" spans="1:18">
      <c r="A1834">
        <v>25</v>
      </c>
      <c r="B1834" t="s">
        <v>263</v>
      </c>
      <c r="C1834" s="216">
        <v>45575</v>
      </c>
      <c r="D1834">
        <v>13</v>
      </c>
      <c r="E1834" s="116">
        <v>9.48</v>
      </c>
      <c r="F1834" s="101">
        <v>90</v>
      </c>
      <c r="G1834">
        <v>7.8</v>
      </c>
      <c r="H1834" s="116">
        <v>6.8</v>
      </c>
      <c r="I1834">
        <v>40.4</v>
      </c>
      <c r="J1834">
        <v>1.6</v>
      </c>
      <c r="K1834">
        <v>41</v>
      </c>
      <c r="L1834">
        <v>69</v>
      </c>
      <c r="M1834">
        <v>190</v>
      </c>
      <c r="N1834">
        <v>54</v>
      </c>
      <c r="O1834">
        <v>920</v>
      </c>
      <c r="P1834" t="s">
        <v>18</v>
      </c>
      <c r="Q1834">
        <f t="shared" si="60"/>
        <v>2024</v>
      </c>
      <c r="R1834">
        <f t="shared" si="61"/>
        <v>10</v>
      </c>
    </row>
    <row r="1835" spans="1:18">
      <c r="A1835">
        <v>25</v>
      </c>
      <c r="B1835" t="s">
        <v>263</v>
      </c>
      <c r="C1835" s="216">
        <v>45610</v>
      </c>
      <c r="D1835">
        <v>8.6</v>
      </c>
      <c r="E1835" s="116">
        <v>11.04</v>
      </c>
      <c r="F1835" s="101">
        <v>95</v>
      </c>
      <c r="G1835">
        <v>7.9</v>
      </c>
      <c r="H1835" s="116">
        <v>16</v>
      </c>
      <c r="I1835">
        <v>44.6</v>
      </c>
      <c r="J1835">
        <v>2.1</v>
      </c>
      <c r="K1835">
        <v>31</v>
      </c>
      <c r="L1835">
        <v>70</v>
      </c>
      <c r="M1835">
        <v>190</v>
      </c>
      <c r="N1835">
        <v>130</v>
      </c>
      <c r="O1835">
        <v>1200</v>
      </c>
      <c r="P1835" t="s">
        <v>18</v>
      </c>
      <c r="Q1835">
        <f t="shared" si="60"/>
        <v>2024</v>
      </c>
      <c r="R1835">
        <f t="shared" si="61"/>
        <v>11</v>
      </c>
    </row>
    <row r="1836" spans="1:18">
      <c r="A1836">
        <v>25</v>
      </c>
      <c r="B1836" t="s">
        <v>263</v>
      </c>
      <c r="C1836" s="216">
        <v>45642</v>
      </c>
      <c r="D1836">
        <v>6.6</v>
      </c>
      <c r="E1836" s="116">
        <v>11.42</v>
      </c>
      <c r="F1836" s="101">
        <v>93</v>
      </c>
      <c r="G1836">
        <v>8</v>
      </c>
      <c r="H1836" s="116">
        <v>19</v>
      </c>
      <c r="I1836">
        <v>43.1</v>
      </c>
      <c r="J1836">
        <v>2.6</v>
      </c>
      <c r="K1836">
        <v>23</v>
      </c>
      <c r="L1836">
        <v>150</v>
      </c>
      <c r="M1836">
        <v>810</v>
      </c>
      <c r="N1836">
        <v>110</v>
      </c>
      <c r="O1836">
        <v>1900</v>
      </c>
      <c r="P1836" t="s">
        <v>18</v>
      </c>
      <c r="Q1836">
        <f t="shared" si="60"/>
        <v>2024</v>
      </c>
      <c r="R1836">
        <f t="shared" si="61"/>
        <v>12</v>
      </c>
    </row>
    <row r="1837" spans="1:18">
      <c r="A1837">
        <v>27</v>
      </c>
      <c r="B1837" t="s">
        <v>264</v>
      </c>
      <c r="C1837" s="216">
        <v>45309</v>
      </c>
      <c r="D1837">
        <v>3</v>
      </c>
      <c r="E1837" s="116">
        <v>12.6</v>
      </c>
      <c r="F1837" s="101">
        <v>94</v>
      </c>
      <c r="G1837">
        <v>8</v>
      </c>
      <c r="H1837" s="116">
        <v>1.7</v>
      </c>
      <c r="I1837">
        <v>32.799999999999997</v>
      </c>
      <c r="J1837" t="s">
        <v>367</v>
      </c>
      <c r="K1837">
        <v>28</v>
      </c>
      <c r="L1837">
        <v>42</v>
      </c>
      <c r="M1837">
        <v>1500</v>
      </c>
      <c r="N1837">
        <v>410</v>
      </c>
      <c r="O1837">
        <v>2800</v>
      </c>
      <c r="P1837" t="s">
        <v>415</v>
      </c>
      <c r="Q1837">
        <f t="shared" si="60"/>
        <v>2024</v>
      </c>
      <c r="R1837">
        <f t="shared" si="61"/>
        <v>1</v>
      </c>
    </row>
    <row r="1838" spans="1:18">
      <c r="A1838">
        <v>27</v>
      </c>
      <c r="B1838" t="s">
        <v>264</v>
      </c>
      <c r="C1838" s="216">
        <v>45371</v>
      </c>
      <c r="D1838">
        <v>5.8</v>
      </c>
      <c r="E1838" s="116">
        <v>11.7</v>
      </c>
      <c r="F1838" s="101">
        <v>94</v>
      </c>
      <c r="G1838">
        <v>8</v>
      </c>
      <c r="H1838" s="116">
        <v>4</v>
      </c>
      <c r="I1838">
        <v>32.1</v>
      </c>
      <c r="J1838">
        <v>2.7</v>
      </c>
      <c r="K1838">
        <v>2.6</v>
      </c>
      <c r="L1838">
        <v>25</v>
      </c>
      <c r="M1838">
        <v>1500</v>
      </c>
      <c r="N1838">
        <v>96</v>
      </c>
      <c r="O1838">
        <v>2900</v>
      </c>
      <c r="P1838" t="s">
        <v>18</v>
      </c>
      <c r="Q1838">
        <f t="shared" si="60"/>
        <v>2024</v>
      </c>
      <c r="R1838">
        <f t="shared" si="61"/>
        <v>3</v>
      </c>
    </row>
    <row r="1839" spans="1:18">
      <c r="A1839">
        <v>27</v>
      </c>
      <c r="B1839" t="s">
        <v>264</v>
      </c>
      <c r="C1839" s="216">
        <v>45427</v>
      </c>
      <c r="D1839">
        <v>16.399999999999999</v>
      </c>
      <c r="E1839" s="116">
        <v>8.6</v>
      </c>
      <c r="F1839" s="101">
        <v>88</v>
      </c>
      <c r="G1839">
        <v>8</v>
      </c>
      <c r="H1839" s="116">
        <v>2.6</v>
      </c>
      <c r="I1839">
        <v>32.700000000000003</v>
      </c>
      <c r="J1839">
        <v>2.7</v>
      </c>
      <c r="K1839" t="s">
        <v>149</v>
      </c>
      <c r="L1839">
        <v>44</v>
      </c>
      <c r="M1839">
        <v>920</v>
      </c>
      <c r="N1839">
        <v>70</v>
      </c>
      <c r="O1839">
        <v>1700</v>
      </c>
      <c r="P1839" t="s">
        <v>18</v>
      </c>
      <c r="Q1839">
        <f t="shared" si="60"/>
        <v>2024</v>
      </c>
      <c r="R1839">
        <f t="shared" si="61"/>
        <v>5</v>
      </c>
    </row>
    <row r="1840" spans="1:18">
      <c r="A1840">
        <v>27</v>
      </c>
      <c r="B1840" t="s">
        <v>264</v>
      </c>
      <c r="C1840" s="216">
        <v>45483</v>
      </c>
      <c r="D1840">
        <v>21.3</v>
      </c>
      <c r="E1840" s="116">
        <v>12.4</v>
      </c>
      <c r="F1840" s="101">
        <v>140</v>
      </c>
      <c r="G1840" t="s">
        <v>18</v>
      </c>
      <c r="H1840" s="116" t="s">
        <v>18</v>
      </c>
      <c r="I1840" t="s">
        <v>18</v>
      </c>
      <c r="J1840" t="s">
        <v>18</v>
      </c>
      <c r="K1840" t="s">
        <v>18</v>
      </c>
      <c r="L1840" t="s">
        <v>18</v>
      </c>
      <c r="M1840" t="s">
        <v>18</v>
      </c>
      <c r="N1840" t="s">
        <v>18</v>
      </c>
      <c r="O1840" t="s">
        <v>18</v>
      </c>
      <c r="P1840" t="s">
        <v>416</v>
      </c>
      <c r="Q1840">
        <f t="shared" si="60"/>
        <v>2024</v>
      </c>
      <c r="R1840">
        <f t="shared" si="61"/>
        <v>7</v>
      </c>
    </row>
    <row r="1841" spans="1:18">
      <c r="A1841">
        <v>27</v>
      </c>
      <c r="B1841" t="s">
        <v>264</v>
      </c>
      <c r="C1841" s="216">
        <v>45552</v>
      </c>
      <c r="D1841">
        <v>16.7</v>
      </c>
      <c r="E1841" s="116">
        <v>2.68</v>
      </c>
      <c r="F1841" s="101">
        <v>28</v>
      </c>
      <c r="G1841">
        <v>7.5</v>
      </c>
      <c r="H1841" s="116">
        <v>8.5</v>
      </c>
      <c r="I1841">
        <v>28.8</v>
      </c>
      <c r="J1841">
        <v>1.7</v>
      </c>
      <c r="K1841">
        <v>210</v>
      </c>
      <c r="L1841">
        <v>260</v>
      </c>
      <c r="M1841">
        <v>29</v>
      </c>
      <c r="N1841">
        <v>710</v>
      </c>
      <c r="O1841">
        <v>1800</v>
      </c>
      <c r="P1841" t="s">
        <v>18</v>
      </c>
      <c r="Q1841">
        <f t="shared" si="60"/>
        <v>2024</v>
      </c>
      <c r="R1841">
        <f t="shared" si="61"/>
        <v>9</v>
      </c>
    </row>
    <row r="1842" spans="1:18">
      <c r="A1842">
        <v>27</v>
      </c>
      <c r="B1842" t="s">
        <v>264</v>
      </c>
      <c r="C1842" s="216">
        <v>45610</v>
      </c>
      <c r="D1842">
        <v>8.6</v>
      </c>
      <c r="E1842" s="116">
        <v>7.72</v>
      </c>
      <c r="F1842" s="101">
        <v>66</v>
      </c>
      <c r="G1842">
        <v>7.8</v>
      </c>
      <c r="H1842" s="116">
        <v>1.4</v>
      </c>
      <c r="I1842">
        <v>32.6</v>
      </c>
      <c r="J1842">
        <v>1.6</v>
      </c>
      <c r="K1842">
        <v>39</v>
      </c>
      <c r="L1842">
        <v>61</v>
      </c>
      <c r="M1842">
        <v>310</v>
      </c>
      <c r="N1842">
        <v>130</v>
      </c>
      <c r="O1842">
        <v>1000</v>
      </c>
      <c r="P1842" t="s">
        <v>18</v>
      </c>
      <c r="Q1842">
        <f t="shared" si="60"/>
        <v>2024</v>
      </c>
      <c r="R1842">
        <f t="shared" si="61"/>
        <v>11</v>
      </c>
    </row>
    <row r="1843" spans="1:18">
      <c r="A1843">
        <v>29</v>
      </c>
      <c r="B1843" t="s">
        <v>295</v>
      </c>
      <c r="C1843" s="216">
        <v>45302</v>
      </c>
      <c r="D1843">
        <v>0.6</v>
      </c>
      <c r="E1843" s="116">
        <v>14.5</v>
      </c>
      <c r="F1843" s="101">
        <v>101</v>
      </c>
      <c r="G1843">
        <v>8.1</v>
      </c>
      <c r="H1843" s="116">
        <v>3.5</v>
      </c>
      <c r="I1843">
        <v>39</v>
      </c>
      <c r="J1843" t="s">
        <v>18</v>
      </c>
      <c r="K1843" t="s">
        <v>149</v>
      </c>
      <c r="L1843">
        <v>66</v>
      </c>
      <c r="M1843">
        <v>3700</v>
      </c>
      <c r="N1843">
        <v>100</v>
      </c>
      <c r="O1843">
        <v>4700</v>
      </c>
      <c r="P1843" t="s">
        <v>419</v>
      </c>
      <c r="Q1843">
        <f t="shared" si="60"/>
        <v>2024</v>
      </c>
      <c r="R1843">
        <f t="shared" si="61"/>
        <v>1</v>
      </c>
    </row>
    <row r="1844" spans="1:18">
      <c r="A1844">
        <v>29</v>
      </c>
      <c r="B1844" t="s">
        <v>295</v>
      </c>
      <c r="C1844" s="216">
        <v>45346</v>
      </c>
      <c r="D1844">
        <v>3.7</v>
      </c>
      <c r="E1844" s="116">
        <v>13.3</v>
      </c>
      <c r="F1844" s="101">
        <v>101</v>
      </c>
      <c r="G1844">
        <v>8</v>
      </c>
      <c r="H1844" s="116">
        <v>3.6</v>
      </c>
      <c r="I1844">
        <v>32.700000000000003</v>
      </c>
      <c r="J1844" t="s">
        <v>18</v>
      </c>
      <c r="K1844">
        <v>46</v>
      </c>
      <c r="L1844">
        <v>60</v>
      </c>
      <c r="M1844">
        <v>3700</v>
      </c>
      <c r="N1844">
        <v>63</v>
      </c>
      <c r="O1844">
        <v>3900</v>
      </c>
      <c r="P1844" t="s">
        <v>18</v>
      </c>
      <c r="Q1844">
        <f t="shared" si="60"/>
        <v>2024</v>
      </c>
      <c r="R1844">
        <f t="shared" si="61"/>
        <v>2</v>
      </c>
    </row>
    <row r="1845" spans="1:18">
      <c r="A1845">
        <v>29</v>
      </c>
      <c r="B1845" t="s">
        <v>295</v>
      </c>
      <c r="C1845" s="216">
        <v>45364</v>
      </c>
      <c r="D1845">
        <v>3.8</v>
      </c>
      <c r="E1845" s="116">
        <v>12.5</v>
      </c>
      <c r="F1845" s="101">
        <v>95</v>
      </c>
      <c r="G1845">
        <v>8.1</v>
      </c>
      <c r="H1845" s="116">
        <v>2.9</v>
      </c>
      <c r="I1845">
        <v>35.1</v>
      </c>
      <c r="J1845" t="s">
        <v>18</v>
      </c>
      <c r="K1845">
        <v>40</v>
      </c>
      <c r="L1845">
        <v>63</v>
      </c>
      <c r="M1845">
        <v>3600</v>
      </c>
      <c r="N1845">
        <v>40</v>
      </c>
      <c r="O1845">
        <v>3900</v>
      </c>
      <c r="P1845" t="s">
        <v>18</v>
      </c>
      <c r="Q1845">
        <f t="shared" si="60"/>
        <v>2024</v>
      </c>
      <c r="R1845">
        <f t="shared" si="61"/>
        <v>3</v>
      </c>
    </row>
    <row r="1846" spans="1:18">
      <c r="A1846">
        <v>29</v>
      </c>
      <c r="B1846" t="s">
        <v>295</v>
      </c>
      <c r="C1846" s="216">
        <v>45398</v>
      </c>
      <c r="D1846">
        <v>8.9</v>
      </c>
      <c r="E1846" s="116">
        <v>12.5</v>
      </c>
      <c r="F1846" s="101">
        <v>108</v>
      </c>
      <c r="G1846">
        <v>8.6999999999999993</v>
      </c>
      <c r="H1846" s="116">
        <v>2.7</v>
      </c>
      <c r="I1846">
        <v>36.1</v>
      </c>
      <c r="J1846" t="s">
        <v>18</v>
      </c>
      <c r="K1846">
        <v>2.6</v>
      </c>
      <c r="L1846">
        <v>30</v>
      </c>
      <c r="M1846">
        <v>3100</v>
      </c>
      <c r="N1846">
        <v>20</v>
      </c>
      <c r="O1846">
        <v>4300</v>
      </c>
      <c r="P1846" t="s">
        <v>18</v>
      </c>
      <c r="Q1846">
        <f t="shared" si="60"/>
        <v>2024</v>
      </c>
      <c r="R1846">
        <f t="shared" si="61"/>
        <v>4</v>
      </c>
    </row>
    <row r="1847" spans="1:18">
      <c r="A1847">
        <v>29</v>
      </c>
      <c r="B1847" t="s">
        <v>295</v>
      </c>
      <c r="C1847" s="216">
        <v>45427</v>
      </c>
      <c r="D1847">
        <v>15.4</v>
      </c>
      <c r="E1847" s="116">
        <v>9.6999999999999993</v>
      </c>
      <c r="F1847" s="101">
        <v>97</v>
      </c>
      <c r="G1847">
        <v>8.6</v>
      </c>
      <c r="H1847" s="116">
        <v>2.5</v>
      </c>
      <c r="I1847">
        <v>35.9</v>
      </c>
      <c r="J1847" t="s">
        <v>18</v>
      </c>
      <c r="K1847">
        <v>3</v>
      </c>
      <c r="L1847">
        <v>27</v>
      </c>
      <c r="M1847">
        <v>2600</v>
      </c>
      <c r="N1847">
        <v>64</v>
      </c>
      <c r="O1847">
        <v>3100</v>
      </c>
      <c r="P1847" t="s">
        <v>18</v>
      </c>
      <c r="Q1847">
        <f t="shared" si="60"/>
        <v>2024</v>
      </c>
      <c r="R1847">
        <f t="shared" si="61"/>
        <v>5</v>
      </c>
    </row>
    <row r="1848" spans="1:18">
      <c r="A1848">
        <v>29</v>
      </c>
      <c r="B1848" t="s">
        <v>295</v>
      </c>
      <c r="C1848" s="216">
        <v>45456</v>
      </c>
      <c r="D1848">
        <v>17</v>
      </c>
      <c r="E1848" s="116">
        <v>8.9</v>
      </c>
      <c r="F1848" s="101">
        <v>92</v>
      </c>
      <c r="G1848">
        <v>8.5</v>
      </c>
      <c r="H1848" s="116">
        <v>3</v>
      </c>
      <c r="I1848">
        <v>37.200000000000003</v>
      </c>
      <c r="J1848" t="s">
        <v>18</v>
      </c>
      <c r="K1848">
        <v>5.6</v>
      </c>
      <c r="L1848">
        <v>32</v>
      </c>
      <c r="M1848">
        <v>1900</v>
      </c>
      <c r="N1848">
        <v>75</v>
      </c>
      <c r="O1848">
        <v>2500</v>
      </c>
      <c r="P1848" t="s">
        <v>396</v>
      </c>
      <c r="Q1848">
        <f t="shared" si="60"/>
        <v>2024</v>
      </c>
      <c r="R1848">
        <f t="shared" si="61"/>
        <v>6</v>
      </c>
    </row>
    <row r="1849" spans="1:18">
      <c r="A1849">
        <v>29</v>
      </c>
      <c r="B1849" t="s">
        <v>295</v>
      </c>
      <c r="C1849" s="216">
        <v>45482</v>
      </c>
      <c r="D1849">
        <v>19.2</v>
      </c>
      <c r="E1849" s="116">
        <v>11.1</v>
      </c>
      <c r="F1849" s="101">
        <v>120</v>
      </c>
      <c r="G1849">
        <v>8.6</v>
      </c>
      <c r="H1849" s="116">
        <v>6.9</v>
      </c>
      <c r="I1849">
        <v>36.4</v>
      </c>
      <c r="J1849" t="s">
        <v>18</v>
      </c>
      <c r="K1849">
        <v>18</v>
      </c>
      <c r="L1849">
        <v>68</v>
      </c>
      <c r="M1849">
        <v>1200</v>
      </c>
      <c r="N1849">
        <v>12</v>
      </c>
      <c r="O1849">
        <v>2000</v>
      </c>
      <c r="P1849" t="s">
        <v>18</v>
      </c>
      <c r="Q1849">
        <f t="shared" si="60"/>
        <v>2024</v>
      </c>
      <c r="R1849">
        <f t="shared" si="61"/>
        <v>7</v>
      </c>
    </row>
    <row r="1850" spans="1:18">
      <c r="A1850">
        <v>29</v>
      </c>
      <c r="B1850" t="s">
        <v>295</v>
      </c>
      <c r="C1850" s="216">
        <v>45524</v>
      </c>
      <c r="D1850">
        <v>20.2</v>
      </c>
      <c r="E1850" s="116">
        <v>9.64</v>
      </c>
      <c r="F1850" s="101">
        <v>106</v>
      </c>
      <c r="G1850">
        <v>8.9</v>
      </c>
      <c r="H1850" s="116">
        <v>20</v>
      </c>
      <c r="I1850">
        <v>29.9</v>
      </c>
      <c r="J1850" t="s">
        <v>18</v>
      </c>
      <c r="K1850">
        <v>29</v>
      </c>
      <c r="L1850">
        <v>130</v>
      </c>
      <c r="M1850" t="s">
        <v>148</v>
      </c>
      <c r="N1850" t="s">
        <v>148</v>
      </c>
      <c r="O1850">
        <v>1000</v>
      </c>
      <c r="P1850" t="s">
        <v>18</v>
      </c>
      <c r="Q1850">
        <f t="shared" si="60"/>
        <v>2024</v>
      </c>
      <c r="R1850">
        <f t="shared" si="61"/>
        <v>8</v>
      </c>
    </row>
    <row r="1851" spans="1:18">
      <c r="A1851">
        <v>29</v>
      </c>
      <c r="B1851" t="s">
        <v>295</v>
      </c>
      <c r="C1851" s="216">
        <v>45552</v>
      </c>
      <c r="D1851">
        <v>17.3</v>
      </c>
      <c r="E1851" s="116">
        <v>7.74</v>
      </c>
      <c r="F1851" s="101">
        <v>81</v>
      </c>
      <c r="G1851">
        <v>8.3000000000000007</v>
      </c>
      <c r="H1851" s="116">
        <v>11</v>
      </c>
      <c r="I1851">
        <v>30.7</v>
      </c>
      <c r="J1851" t="s">
        <v>18</v>
      </c>
      <c r="K1851">
        <v>99</v>
      </c>
      <c r="L1851">
        <v>190</v>
      </c>
      <c r="M1851" t="s">
        <v>148</v>
      </c>
      <c r="N1851" t="s">
        <v>148</v>
      </c>
      <c r="O1851">
        <v>980</v>
      </c>
      <c r="P1851" t="s">
        <v>18</v>
      </c>
      <c r="Q1851">
        <f t="shared" si="60"/>
        <v>2024</v>
      </c>
      <c r="R1851">
        <f t="shared" si="61"/>
        <v>9</v>
      </c>
    </row>
    <row r="1852" spans="1:18">
      <c r="A1852">
        <v>29</v>
      </c>
      <c r="B1852" t="s">
        <v>295</v>
      </c>
      <c r="C1852" s="216">
        <v>45580</v>
      </c>
      <c r="D1852">
        <v>11.7</v>
      </c>
      <c r="E1852" s="116">
        <v>8.0399999999999991</v>
      </c>
      <c r="F1852" s="101">
        <v>74</v>
      </c>
      <c r="G1852">
        <v>8</v>
      </c>
      <c r="H1852" s="116">
        <v>5.2</v>
      </c>
      <c r="I1852">
        <v>31.6</v>
      </c>
      <c r="J1852" t="s">
        <v>18</v>
      </c>
      <c r="K1852">
        <v>110</v>
      </c>
      <c r="L1852">
        <v>150</v>
      </c>
      <c r="M1852">
        <v>340</v>
      </c>
      <c r="N1852">
        <v>160</v>
      </c>
      <c r="O1852">
        <v>1100</v>
      </c>
      <c r="P1852" t="s">
        <v>18</v>
      </c>
      <c r="Q1852">
        <f t="shared" si="60"/>
        <v>2024</v>
      </c>
      <c r="R1852">
        <f t="shared" si="61"/>
        <v>10</v>
      </c>
    </row>
    <row r="1853" spans="1:18">
      <c r="A1853">
        <v>29</v>
      </c>
      <c r="B1853" t="s">
        <v>295</v>
      </c>
      <c r="C1853" s="216">
        <v>45608</v>
      </c>
      <c r="D1853">
        <v>9.3000000000000007</v>
      </c>
      <c r="E1853" s="116">
        <v>10.119999999999999</v>
      </c>
      <c r="F1853" s="101">
        <v>88</v>
      </c>
      <c r="G1853">
        <v>8.1</v>
      </c>
      <c r="H1853" s="116">
        <v>4.5</v>
      </c>
      <c r="I1853">
        <v>35.6</v>
      </c>
      <c r="J1853" t="s">
        <v>18</v>
      </c>
      <c r="K1853">
        <v>20</v>
      </c>
      <c r="L1853">
        <v>120</v>
      </c>
      <c r="M1853">
        <v>590</v>
      </c>
      <c r="N1853">
        <v>95</v>
      </c>
      <c r="O1853">
        <v>1200</v>
      </c>
      <c r="P1853" t="s">
        <v>18</v>
      </c>
      <c r="Q1853">
        <f t="shared" si="60"/>
        <v>2024</v>
      </c>
      <c r="R1853">
        <f t="shared" si="61"/>
        <v>11</v>
      </c>
    </row>
    <row r="1854" spans="1:18">
      <c r="A1854">
        <v>29</v>
      </c>
      <c r="B1854" t="s">
        <v>295</v>
      </c>
      <c r="C1854" s="216">
        <v>45643</v>
      </c>
      <c r="D1854">
        <v>4.5</v>
      </c>
      <c r="E1854" s="116">
        <v>12.33</v>
      </c>
      <c r="F1854" s="101">
        <v>95</v>
      </c>
      <c r="G1854">
        <v>8.1999999999999993</v>
      </c>
      <c r="H1854" s="116">
        <v>5.2</v>
      </c>
      <c r="I1854">
        <v>38.5</v>
      </c>
      <c r="J1854" t="s">
        <v>18</v>
      </c>
      <c r="K1854">
        <v>45</v>
      </c>
      <c r="L1854">
        <v>84</v>
      </c>
      <c r="M1854">
        <v>1200</v>
      </c>
      <c r="N1854">
        <v>12</v>
      </c>
      <c r="O1854">
        <v>1800</v>
      </c>
      <c r="P1854" t="s">
        <v>18</v>
      </c>
      <c r="Q1854">
        <f t="shared" si="60"/>
        <v>2024</v>
      </c>
      <c r="R1854">
        <f t="shared" si="61"/>
        <v>12</v>
      </c>
    </row>
    <row r="1855" spans="1:18">
      <c r="A1855">
        <v>30</v>
      </c>
      <c r="B1855" t="s">
        <v>296</v>
      </c>
      <c r="C1855" s="216">
        <v>45302</v>
      </c>
      <c r="D1855" t="s">
        <v>18</v>
      </c>
      <c r="E1855" s="116" t="s">
        <v>18</v>
      </c>
      <c r="F1855" s="101" t="s">
        <v>18</v>
      </c>
      <c r="G1855" t="s">
        <v>18</v>
      </c>
      <c r="H1855" s="116" t="s">
        <v>18</v>
      </c>
      <c r="I1855" t="s">
        <v>18</v>
      </c>
      <c r="J1855" t="s">
        <v>18</v>
      </c>
      <c r="K1855" t="s">
        <v>18</v>
      </c>
      <c r="L1855" t="s">
        <v>18</v>
      </c>
      <c r="M1855" t="s">
        <v>18</v>
      </c>
      <c r="N1855" t="s">
        <v>18</v>
      </c>
      <c r="O1855" t="s">
        <v>18</v>
      </c>
      <c r="P1855" t="s">
        <v>420</v>
      </c>
      <c r="Q1855">
        <f t="shared" si="60"/>
        <v>2024</v>
      </c>
      <c r="R1855">
        <f t="shared" si="61"/>
        <v>1</v>
      </c>
    </row>
    <row r="1856" spans="1:18">
      <c r="A1856">
        <v>30</v>
      </c>
      <c r="B1856" t="s">
        <v>296</v>
      </c>
      <c r="C1856" s="216">
        <v>45346</v>
      </c>
      <c r="D1856">
        <v>3.7</v>
      </c>
      <c r="E1856" s="116">
        <v>13.1</v>
      </c>
      <c r="F1856" s="101">
        <v>99</v>
      </c>
      <c r="G1856" t="s">
        <v>18</v>
      </c>
      <c r="H1856" s="116" t="s">
        <v>18</v>
      </c>
      <c r="I1856" t="s">
        <v>18</v>
      </c>
      <c r="J1856" t="s">
        <v>18</v>
      </c>
      <c r="K1856">
        <v>40</v>
      </c>
      <c r="L1856">
        <v>58</v>
      </c>
      <c r="M1856">
        <v>3700</v>
      </c>
      <c r="N1856">
        <v>70</v>
      </c>
      <c r="O1856">
        <v>3900</v>
      </c>
      <c r="P1856" t="s">
        <v>18</v>
      </c>
      <c r="Q1856">
        <f t="shared" si="60"/>
        <v>2024</v>
      </c>
      <c r="R1856">
        <f t="shared" si="61"/>
        <v>2</v>
      </c>
    </row>
    <row r="1857" spans="1:18">
      <c r="A1857">
        <v>30</v>
      </c>
      <c r="B1857" t="s">
        <v>296</v>
      </c>
      <c r="C1857" s="216">
        <v>45364</v>
      </c>
      <c r="D1857">
        <v>4.0999999999999996</v>
      </c>
      <c r="E1857" s="116">
        <v>12.5</v>
      </c>
      <c r="F1857" s="101">
        <v>96</v>
      </c>
      <c r="G1857" t="s">
        <v>18</v>
      </c>
      <c r="H1857" s="116" t="s">
        <v>18</v>
      </c>
      <c r="I1857" t="s">
        <v>18</v>
      </c>
      <c r="J1857" t="s">
        <v>18</v>
      </c>
      <c r="K1857">
        <v>39</v>
      </c>
      <c r="L1857">
        <v>63</v>
      </c>
      <c r="M1857">
        <v>3700</v>
      </c>
      <c r="N1857">
        <v>39</v>
      </c>
      <c r="O1857">
        <v>3900</v>
      </c>
      <c r="P1857" t="s">
        <v>18</v>
      </c>
      <c r="Q1857">
        <f t="shared" si="60"/>
        <v>2024</v>
      </c>
      <c r="R1857">
        <f t="shared" si="61"/>
        <v>3</v>
      </c>
    </row>
    <row r="1858" spans="1:18">
      <c r="A1858">
        <v>30</v>
      </c>
      <c r="B1858" t="s">
        <v>296</v>
      </c>
      <c r="C1858" s="216">
        <v>45398</v>
      </c>
      <c r="D1858">
        <v>8.8000000000000007</v>
      </c>
      <c r="E1858" s="116">
        <v>12.5</v>
      </c>
      <c r="F1858" s="101">
        <v>108</v>
      </c>
      <c r="G1858" t="s">
        <v>18</v>
      </c>
      <c r="H1858" s="116" t="s">
        <v>18</v>
      </c>
      <c r="I1858" t="s">
        <v>18</v>
      </c>
      <c r="J1858" t="s">
        <v>18</v>
      </c>
      <c r="K1858">
        <v>2.2999999999999998</v>
      </c>
      <c r="L1858">
        <v>30</v>
      </c>
      <c r="M1858">
        <v>3100</v>
      </c>
      <c r="N1858">
        <v>26</v>
      </c>
      <c r="O1858">
        <v>4300</v>
      </c>
      <c r="P1858" t="s">
        <v>18</v>
      </c>
      <c r="Q1858">
        <f t="shared" si="60"/>
        <v>2024</v>
      </c>
      <c r="R1858">
        <f t="shared" si="61"/>
        <v>4</v>
      </c>
    </row>
    <row r="1859" spans="1:18">
      <c r="A1859">
        <v>30</v>
      </c>
      <c r="B1859" t="s">
        <v>296</v>
      </c>
      <c r="C1859" s="216">
        <v>45427</v>
      </c>
      <c r="D1859">
        <v>14.8</v>
      </c>
      <c r="E1859" s="116">
        <v>7.3</v>
      </c>
      <c r="F1859" s="101">
        <v>72</v>
      </c>
      <c r="G1859" t="s">
        <v>18</v>
      </c>
      <c r="H1859" s="116" t="s">
        <v>18</v>
      </c>
      <c r="I1859" t="s">
        <v>18</v>
      </c>
      <c r="J1859" t="s">
        <v>18</v>
      </c>
      <c r="K1859" t="s">
        <v>149</v>
      </c>
      <c r="L1859">
        <v>22</v>
      </c>
      <c r="M1859">
        <v>2500</v>
      </c>
      <c r="N1859">
        <v>110</v>
      </c>
      <c r="O1859">
        <v>2900</v>
      </c>
      <c r="P1859" t="s">
        <v>18</v>
      </c>
      <c r="Q1859">
        <f t="shared" si="60"/>
        <v>2024</v>
      </c>
      <c r="R1859">
        <f t="shared" si="61"/>
        <v>5</v>
      </c>
    </row>
    <row r="1860" spans="1:18">
      <c r="A1860">
        <v>30</v>
      </c>
      <c r="B1860" t="s">
        <v>296</v>
      </c>
      <c r="C1860" s="216">
        <v>45456</v>
      </c>
      <c r="D1860">
        <v>16.600000000000001</v>
      </c>
      <c r="E1860" s="116">
        <v>8.9</v>
      </c>
      <c r="F1860" s="101">
        <v>92</v>
      </c>
      <c r="G1860" t="s">
        <v>18</v>
      </c>
      <c r="H1860" s="116" t="s">
        <v>18</v>
      </c>
      <c r="I1860" t="s">
        <v>18</v>
      </c>
      <c r="J1860" t="s">
        <v>18</v>
      </c>
      <c r="K1860">
        <v>4.0999999999999996</v>
      </c>
      <c r="L1860">
        <v>38</v>
      </c>
      <c r="M1860">
        <v>1900</v>
      </c>
      <c r="N1860">
        <v>78</v>
      </c>
      <c r="O1860">
        <v>2500</v>
      </c>
      <c r="P1860" t="s">
        <v>396</v>
      </c>
      <c r="Q1860">
        <f t="shared" si="60"/>
        <v>2024</v>
      </c>
      <c r="R1860">
        <f t="shared" si="61"/>
        <v>6</v>
      </c>
    </row>
    <row r="1861" spans="1:18">
      <c r="A1861">
        <v>30</v>
      </c>
      <c r="B1861" t="s">
        <v>296</v>
      </c>
      <c r="C1861" s="216">
        <v>45482</v>
      </c>
      <c r="D1861">
        <v>18.399999999999999</v>
      </c>
      <c r="E1861" s="116">
        <v>7.4</v>
      </c>
      <c r="F1861" s="101">
        <v>79</v>
      </c>
      <c r="G1861" t="s">
        <v>18</v>
      </c>
      <c r="H1861" s="116" t="s">
        <v>18</v>
      </c>
      <c r="I1861" t="s">
        <v>18</v>
      </c>
      <c r="J1861" t="s">
        <v>18</v>
      </c>
      <c r="K1861" t="s">
        <v>149</v>
      </c>
      <c r="L1861">
        <v>72</v>
      </c>
      <c r="M1861">
        <v>1200</v>
      </c>
      <c r="N1861">
        <v>170</v>
      </c>
      <c r="O1861">
        <v>1800</v>
      </c>
      <c r="P1861" t="s">
        <v>18</v>
      </c>
      <c r="Q1861">
        <f t="shared" si="60"/>
        <v>2024</v>
      </c>
      <c r="R1861">
        <f t="shared" si="61"/>
        <v>7</v>
      </c>
    </row>
    <row r="1862" spans="1:18">
      <c r="A1862">
        <v>30</v>
      </c>
      <c r="B1862" t="s">
        <v>296</v>
      </c>
      <c r="C1862" s="216">
        <v>45524</v>
      </c>
      <c r="D1862">
        <v>19.8</v>
      </c>
      <c r="E1862" s="116">
        <v>4.1399999999999997</v>
      </c>
      <c r="F1862" s="101">
        <v>45</v>
      </c>
      <c r="G1862" t="s">
        <v>18</v>
      </c>
      <c r="H1862" s="116" t="s">
        <v>18</v>
      </c>
      <c r="I1862" t="s">
        <v>18</v>
      </c>
      <c r="J1862" t="s">
        <v>18</v>
      </c>
      <c r="K1862">
        <v>100</v>
      </c>
      <c r="L1862">
        <v>210</v>
      </c>
      <c r="M1862" t="s">
        <v>148</v>
      </c>
      <c r="N1862">
        <v>110</v>
      </c>
      <c r="O1862">
        <v>930</v>
      </c>
      <c r="P1862" t="s">
        <v>18</v>
      </c>
      <c r="Q1862">
        <f t="shared" si="60"/>
        <v>2024</v>
      </c>
      <c r="R1862">
        <f t="shared" si="61"/>
        <v>8</v>
      </c>
    </row>
    <row r="1863" spans="1:18">
      <c r="A1863">
        <v>30</v>
      </c>
      <c r="B1863" t="s">
        <v>296</v>
      </c>
      <c r="C1863" s="216">
        <v>45552</v>
      </c>
      <c r="D1863">
        <v>16.8</v>
      </c>
      <c r="E1863" s="116">
        <v>5.51</v>
      </c>
      <c r="F1863" s="101">
        <v>57</v>
      </c>
      <c r="G1863" t="s">
        <v>18</v>
      </c>
      <c r="H1863" s="116" t="s">
        <v>18</v>
      </c>
      <c r="I1863" t="s">
        <v>18</v>
      </c>
      <c r="J1863" t="s">
        <v>18</v>
      </c>
      <c r="K1863">
        <v>120</v>
      </c>
      <c r="L1863">
        <v>180</v>
      </c>
      <c r="M1863">
        <v>11</v>
      </c>
      <c r="N1863">
        <v>180</v>
      </c>
      <c r="O1863">
        <v>880</v>
      </c>
      <c r="P1863" t="s">
        <v>18</v>
      </c>
      <c r="Q1863">
        <f t="shared" si="60"/>
        <v>2024</v>
      </c>
      <c r="R1863">
        <f t="shared" si="61"/>
        <v>9</v>
      </c>
    </row>
    <row r="1864" spans="1:18">
      <c r="A1864">
        <v>30</v>
      </c>
      <c r="B1864" t="s">
        <v>296</v>
      </c>
      <c r="C1864" s="216">
        <v>45580</v>
      </c>
      <c r="D1864">
        <v>11.4</v>
      </c>
      <c r="E1864" s="116">
        <v>7.9</v>
      </c>
      <c r="F1864" s="101">
        <v>73</v>
      </c>
      <c r="G1864" t="s">
        <v>18</v>
      </c>
      <c r="H1864" s="116" t="s">
        <v>18</v>
      </c>
      <c r="I1864" t="s">
        <v>18</v>
      </c>
      <c r="J1864" t="s">
        <v>18</v>
      </c>
      <c r="K1864">
        <v>110</v>
      </c>
      <c r="L1864">
        <v>150</v>
      </c>
      <c r="M1864">
        <v>340</v>
      </c>
      <c r="N1864">
        <v>160</v>
      </c>
      <c r="O1864">
        <v>1200</v>
      </c>
      <c r="P1864" t="s">
        <v>18</v>
      </c>
      <c r="Q1864">
        <f t="shared" si="60"/>
        <v>2024</v>
      </c>
      <c r="R1864">
        <f t="shared" si="61"/>
        <v>10</v>
      </c>
    </row>
    <row r="1865" spans="1:18">
      <c r="A1865">
        <v>30</v>
      </c>
      <c r="B1865" t="s">
        <v>296</v>
      </c>
      <c r="C1865" s="216">
        <v>45608</v>
      </c>
      <c r="D1865">
        <v>9.1</v>
      </c>
      <c r="E1865" s="116">
        <v>10.16</v>
      </c>
      <c r="F1865" s="101">
        <v>88</v>
      </c>
      <c r="G1865" t="s">
        <v>18</v>
      </c>
      <c r="H1865" s="116" t="s">
        <v>18</v>
      </c>
      <c r="I1865" t="s">
        <v>18</v>
      </c>
      <c r="J1865" t="s">
        <v>18</v>
      </c>
      <c r="K1865">
        <v>72</v>
      </c>
      <c r="L1865">
        <v>110</v>
      </c>
      <c r="M1865">
        <v>580</v>
      </c>
      <c r="N1865">
        <v>69</v>
      </c>
      <c r="O1865">
        <v>1100</v>
      </c>
      <c r="P1865" t="s">
        <v>18</v>
      </c>
      <c r="Q1865">
        <f t="shared" si="60"/>
        <v>2024</v>
      </c>
      <c r="R1865">
        <f t="shared" si="61"/>
        <v>11</v>
      </c>
    </row>
    <row r="1866" spans="1:18">
      <c r="A1866">
        <v>30</v>
      </c>
      <c r="B1866" t="s">
        <v>296</v>
      </c>
      <c r="C1866" s="216">
        <v>45643</v>
      </c>
      <c r="D1866">
        <v>4.9000000000000004</v>
      </c>
      <c r="E1866" s="116">
        <v>12.2</v>
      </c>
      <c r="F1866" s="101">
        <v>95</v>
      </c>
      <c r="G1866" t="s">
        <v>18</v>
      </c>
      <c r="H1866" s="116" t="s">
        <v>18</v>
      </c>
      <c r="I1866" t="s">
        <v>18</v>
      </c>
      <c r="J1866" t="s">
        <v>18</v>
      </c>
      <c r="K1866">
        <v>43</v>
      </c>
      <c r="L1866">
        <v>100</v>
      </c>
      <c r="M1866">
        <v>1400</v>
      </c>
      <c r="N1866" t="s">
        <v>148</v>
      </c>
      <c r="O1866">
        <v>1900</v>
      </c>
      <c r="P1866" t="s">
        <v>18</v>
      </c>
      <c r="Q1866">
        <f t="shared" si="60"/>
        <v>2024</v>
      </c>
      <c r="R1866">
        <f t="shared" si="61"/>
        <v>12</v>
      </c>
    </row>
  </sheetData>
  <sortState xmlns:xlrd2="http://schemas.microsoft.com/office/spreadsheetml/2017/richdata2" ref="A7:T1086">
    <sortCondition ref="A7:A1086"/>
    <sortCondition ref="C7:C1086"/>
  </sortState>
  <conditionalFormatting sqref="S7:S222 D925:K925 D931:K931 D937:K939 D970:K970 M970:O970 D1034:K1034 D1036:K1038 D1040:K1040 D1051:K1051 D1082:K1082 D971:O975 P970:S975 D869:S924 D1867:S65348 D926:S930 M925:S925 D932:S936 M931:S931 M937:S939 D1035:S1035 M1034:S1034 D1039:S1039 M1036:S1038 D1041:S1050 M1040:S1040 D1052:S1081 M1051:S1051 D1083:S1084 M1082:S1082 D976:S1000 D940:S969 D6:P114 D1:S5 D1005:S1033 D1001:O1004 Q1001:S1004 D1085:P1866 S1085:S1866">
    <cfRule type="cellIs" priority="68" stopIfTrue="1" operator="between">
      <formula>"0,000000001"</formula>
      <formula>100000000</formula>
    </cfRule>
  </conditionalFormatting>
  <conditionalFormatting sqref="D115:P246 D865:P868 D862:P862 D856:P857 D796:P847 D788:P791 D685:P786 D682:P682 D680:P680 D668:P669 D676:P678 D565:P666 D562:P562 D556:P557 D548:P549 D495:P546 D491:P491 D384:P488 D382:P382 D376:P377 D372:P372 D369:P369 D272:P282 D265:P270 D262:P263 D259:P259 D256:P257 D287:P366 D283:O286">
    <cfRule type="cellIs" priority="66" stopIfTrue="1" operator="between">
      <formula>0.000000001</formula>
      <formula>100000000</formula>
    </cfRule>
  </conditionalFormatting>
  <conditionalFormatting sqref="Q79:R102">
    <cfRule type="cellIs" priority="65" stopIfTrue="1" operator="between">
      <formula>"0,000000001"</formula>
      <formula>100000000</formula>
    </cfRule>
  </conditionalFormatting>
  <conditionalFormatting sqref="Q103:R856">
    <cfRule type="cellIs" priority="60" stopIfTrue="1" operator="between">
      <formula>"0,000000001"</formula>
      <formula>100000000</formula>
    </cfRule>
  </conditionalFormatting>
  <conditionalFormatting sqref="S223:S868">
    <cfRule type="cellIs" priority="64" stopIfTrue="1" operator="between">
      <formula>"0,000000001"</formula>
      <formula>100000000</formula>
    </cfRule>
  </conditionalFormatting>
  <conditionalFormatting sqref="D863:P864 D858:P861 D848:P855 D792:P795 D787:P787 D683:P684 D681:P681 D679:P679 D667:P667 D670:P675 D563:P564 D558:P561 D550:P555 D547:P547 D492:P494 D489:P490 D383:P383 D378:P381 D373:P375 D370:P371 D367:P368 D271:P271 D264:P264 D260:P261 D258:P258 D247:P255">
    <cfRule type="cellIs" priority="63" stopIfTrue="1" operator="between">
      <formula>0.000000001</formula>
      <formula>100000000</formula>
    </cfRule>
  </conditionalFormatting>
  <conditionalFormatting sqref="Q857:R868">
    <cfRule type="cellIs" priority="62" stopIfTrue="1" operator="between">
      <formula>"0,000000001"</formula>
      <formula>100000000</formula>
    </cfRule>
  </conditionalFormatting>
  <conditionalFormatting sqref="Q7:R78">
    <cfRule type="cellIs" priority="61" stopIfTrue="1" operator="between">
      <formula>"0,000000001"</formula>
      <formula>100000000</formula>
    </cfRule>
  </conditionalFormatting>
  <conditionalFormatting sqref="S6">
    <cfRule type="cellIs" priority="54" stopIfTrue="1" operator="between">
      <formula>"0,000000001"</formula>
      <formula>100000000</formula>
    </cfRule>
  </conditionalFormatting>
  <conditionalFormatting sqref="Q6:R6">
    <cfRule type="cellIs" priority="53" stopIfTrue="1" operator="between">
      <formula>"0,000000001"</formula>
      <formula>100000000</formula>
    </cfRule>
  </conditionalFormatting>
  <conditionalFormatting sqref="Q1085:R1086">
    <cfRule type="cellIs" priority="50" stopIfTrue="1" operator="between">
      <formula>"0,000000001"</formula>
      <formula>100000000</formula>
    </cfRule>
  </conditionalFormatting>
  <conditionalFormatting sqref="L925">
    <cfRule type="cellIs" priority="49" stopIfTrue="1" operator="between">
      <formula>0.000000001</formula>
      <formula>100000000</formula>
    </cfRule>
  </conditionalFormatting>
  <conditionalFormatting sqref="L931">
    <cfRule type="cellIs" priority="48" stopIfTrue="1" operator="between">
      <formula>0.000000001</formula>
      <formula>100000000</formula>
    </cfRule>
  </conditionalFormatting>
  <conditionalFormatting sqref="L937:L939">
    <cfRule type="cellIs" priority="47" stopIfTrue="1" operator="between">
      <formula>0.000000001</formula>
      <formula>100000000</formula>
    </cfRule>
  </conditionalFormatting>
  <conditionalFormatting sqref="L970">
    <cfRule type="cellIs" priority="46" stopIfTrue="1" operator="between">
      <formula>0.000000001</formula>
      <formula>100000000</formula>
    </cfRule>
  </conditionalFormatting>
  <conditionalFormatting sqref="L1034">
    <cfRule type="cellIs" priority="45" stopIfTrue="1" operator="between">
      <formula>0.000000001</formula>
      <formula>100000000</formula>
    </cfRule>
  </conditionalFormatting>
  <conditionalFormatting sqref="L1036:L1038">
    <cfRule type="cellIs" priority="44" stopIfTrue="1" operator="between">
      <formula>0.000000001</formula>
      <formula>100000000</formula>
    </cfRule>
  </conditionalFormatting>
  <conditionalFormatting sqref="L1040">
    <cfRule type="cellIs" priority="43" stopIfTrue="1" operator="between">
      <formula>0.000000001</formula>
      <formula>100000000</formula>
    </cfRule>
  </conditionalFormatting>
  <conditionalFormatting sqref="L1051">
    <cfRule type="cellIs" priority="42" stopIfTrue="1" operator="between">
      <formula>0.000000001</formula>
      <formula>100000000</formula>
    </cfRule>
  </conditionalFormatting>
  <conditionalFormatting sqref="L1082">
    <cfRule type="cellIs" priority="41" stopIfTrue="1" operator="between">
      <formula>0.000000001</formula>
      <formula>100000000</formula>
    </cfRule>
  </conditionalFormatting>
  <conditionalFormatting sqref="Q1087:R1194">
    <cfRule type="cellIs" priority="6" stopIfTrue="1" operator="between">
      <formula>"0,000000001"</formula>
      <formula>100000000</formula>
    </cfRule>
  </conditionalFormatting>
  <conditionalFormatting sqref="P283:P286">
    <cfRule type="cellIs" priority="4" stopIfTrue="1" operator="between">
      <formula>0.000000001</formula>
      <formula>100000000</formula>
    </cfRule>
  </conditionalFormatting>
  <conditionalFormatting sqref="P1001:P1004">
    <cfRule type="cellIs" priority="3" stopIfTrue="1" operator="between">
      <formula>"0,000000001"</formula>
      <formula>100000000</formula>
    </cfRule>
  </conditionalFormatting>
  <conditionalFormatting sqref="Q1195:R1680">
    <cfRule type="cellIs" priority="2" stopIfTrue="1" operator="between">
      <formula>"0,000000001"</formula>
      <formula>100000000</formula>
    </cfRule>
  </conditionalFormatting>
  <conditionalFormatting sqref="Q1681:R1866">
    <cfRule type="cellIs" priority="1" stopIfTrue="1" operator="between">
      <formula>"0,000000001"</formula>
      <formula>100000000</formula>
    </cfRule>
  </conditionalFormatting>
  <pageMargins left="0.19685039370078741" right="0.23622047244094491" top="0.71" bottom="0.27" header="0.51181102362204722" footer="0.19"/>
  <pageSetup paperSize="9" scale="70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07D6-DB82-4D58-801B-DFF9D32DD8E4}">
  <sheetPr codeName="Blad15">
    <tabColor rgb="FF00B050"/>
  </sheetPr>
  <dimension ref="A1:AR287"/>
  <sheetViews>
    <sheetView showRowColHeaders="0" zoomScaleNormal="10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6.90625" defaultRowHeight="11.5"/>
  <cols>
    <col min="1" max="1" width="7" style="1" hidden="1" customWidth="1"/>
    <col min="2" max="2" width="40.453125" style="3" customWidth="1"/>
    <col min="3" max="3" width="11.54296875" style="9" customWidth="1"/>
    <col min="4" max="4" width="6.36328125" style="78" customWidth="1"/>
    <col min="5" max="5" width="7" style="78" customWidth="1"/>
    <col min="6" max="6" width="5.453125" style="6" customWidth="1"/>
    <col min="7" max="7" width="7.08984375" style="78" customWidth="1"/>
    <col min="8" max="8" width="6" style="8" customWidth="1"/>
    <col min="9" max="9" width="5.08984375" style="78" customWidth="1"/>
    <col min="10" max="10" width="6" style="78" customWidth="1"/>
    <col min="11" max="11" width="6.36328125" style="6" customWidth="1"/>
    <col min="12" max="12" width="6" style="6" customWidth="1"/>
    <col min="13" max="13" width="7.54296875" style="6" customWidth="1"/>
    <col min="14" max="14" width="7" style="6" customWidth="1"/>
    <col min="15" max="15" width="4" style="6" customWidth="1"/>
    <col min="16" max="16" width="0.6328125" style="6" customWidth="1"/>
    <col min="17" max="17" width="30.90625" style="104" customWidth="1"/>
    <col min="18" max="16384" width="6.90625" style="3"/>
  </cols>
  <sheetData>
    <row r="1" spans="1:44" s="388" customFormat="1" ht="88.5" customHeight="1">
      <c r="A1" s="389"/>
      <c r="B1" s="390" t="s">
        <v>406</v>
      </c>
      <c r="C1" s="440"/>
      <c r="D1" s="392"/>
      <c r="E1" s="392"/>
      <c r="F1" s="393"/>
      <c r="G1" s="392"/>
      <c r="H1" s="394"/>
      <c r="I1" s="392"/>
      <c r="J1" s="392"/>
      <c r="K1" s="393"/>
      <c r="L1" s="393"/>
      <c r="M1" s="393"/>
      <c r="N1" s="393"/>
      <c r="O1" s="393"/>
      <c r="P1" s="393"/>
      <c r="Q1" s="395"/>
    </row>
    <row r="2" spans="1:44" s="388" customFormat="1" ht="26.25" customHeight="1" thickBot="1">
      <c r="A2" s="389"/>
      <c r="B2" s="439" t="s">
        <v>118</v>
      </c>
      <c r="C2" s="440"/>
      <c r="D2" s="392"/>
      <c r="E2" s="392"/>
      <c r="F2" s="393"/>
      <c r="G2" s="392"/>
      <c r="H2" s="394"/>
      <c r="I2" s="392"/>
      <c r="J2" s="392"/>
      <c r="K2" s="393"/>
      <c r="L2" s="393"/>
      <c r="M2" s="393"/>
      <c r="N2" s="393"/>
      <c r="O2" s="396"/>
      <c r="P2" s="396"/>
      <c r="Q2" s="395"/>
    </row>
    <row r="3" spans="1:44" ht="28.25" customHeight="1">
      <c r="B3" s="335" t="s">
        <v>404</v>
      </c>
      <c r="C3" s="249"/>
      <c r="D3" s="250"/>
      <c r="E3" s="250"/>
      <c r="F3" s="251"/>
      <c r="G3" s="250"/>
      <c r="H3" s="252"/>
      <c r="I3" s="250"/>
      <c r="J3" s="250"/>
      <c r="K3" s="251"/>
      <c r="L3" s="251"/>
      <c r="M3" s="251"/>
      <c r="N3" s="253"/>
      <c r="O3" s="254"/>
      <c r="P3" s="254"/>
      <c r="Q3" s="254"/>
      <c r="R3" s="256"/>
      <c r="S3" s="257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</row>
    <row r="4" spans="1:44" ht="20">
      <c r="B4" s="336" t="s">
        <v>98</v>
      </c>
      <c r="C4" s="249"/>
      <c r="D4" s="250"/>
      <c r="E4" s="250"/>
      <c r="F4" s="251"/>
      <c r="G4" s="250"/>
      <c r="H4" s="252"/>
      <c r="I4" s="250"/>
      <c r="J4" s="250"/>
      <c r="K4" s="251"/>
      <c r="L4" s="251"/>
      <c r="M4" s="251"/>
      <c r="N4" s="254"/>
      <c r="O4" s="254"/>
      <c r="P4" s="254"/>
      <c r="Q4" s="255"/>
      <c r="R4" s="256"/>
      <c r="S4" s="257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</row>
    <row r="5" spans="1:44" ht="13">
      <c r="B5" s="337" t="s">
        <v>304</v>
      </c>
      <c r="C5" s="249"/>
      <c r="D5" s="250"/>
      <c r="E5" s="250"/>
      <c r="F5" s="251"/>
      <c r="G5" s="250"/>
      <c r="H5" s="252"/>
      <c r="I5" s="250"/>
      <c r="J5" s="250"/>
      <c r="K5" s="251"/>
      <c r="L5" s="251"/>
      <c r="M5" s="251"/>
      <c r="N5" s="254"/>
      <c r="O5" s="254"/>
      <c r="P5" s="254"/>
      <c r="Q5" s="254"/>
      <c r="R5" s="256"/>
      <c r="S5" s="257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</row>
    <row r="6" spans="1:44" s="61" customFormat="1" ht="26.25" customHeight="1">
      <c r="A6" s="60"/>
      <c r="B6" s="259"/>
      <c r="C6" s="260"/>
      <c r="D6" s="250"/>
      <c r="E6" s="250"/>
      <c r="F6" s="251"/>
      <c r="G6" s="261"/>
      <c r="H6" s="252"/>
      <c r="I6" s="250"/>
      <c r="J6" s="250"/>
      <c r="K6" s="251"/>
      <c r="L6" s="251"/>
      <c r="M6" s="251"/>
      <c r="N6" s="251"/>
      <c r="O6" s="251"/>
      <c r="P6" s="251"/>
      <c r="Q6" s="262"/>
      <c r="R6" s="263"/>
      <c r="S6" s="263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</row>
    <row r="7" spans="1:44" s="325" customFormat="1" ht="11.25" customHeight="1">
      <c r="A7" s="317" t="s">
        <v>2</v>
      </c>
      <c r="B7" s="318" t="s">
        <v>3</v>
      </c>
      <c r="C7" s="319" t="s">
        <v>4</v>
      </c>
      <c r="D7" s="320" t="s">
        <v>7</v>
      </c>
      <c r="E7" s="321" t="s">
        <v>270</v>
      </c>
      <c r="F7" s="321"/>
      <c r="G7" s="321"/>
      <c r="H7" s="320"/>
      <c r="I7" s="320"/>
      <c r="J7" s="321"/>
      <c r="K7" s="322"/>
      <c r="L7" s="322"/>
      <c r="M7" s="322"/>
      <c r="N7" s="323"/>
      <c r="O7" s="322"/>
      <c r="P7" s="322"/>
      <c r="Q7" s="318" t="s">
        <v>39</v>
      </c>
      <c r="R7" s="324"/>
    </row>
    <row r="8" spans="1:44" s="334" customFormat="1" ht="12">
      <c r="A8" s="326" t="s">
        <v>14</v>
      </c>
      <c r="B8" s="327" t="s">
        <v>15</v>
      </c>
      <c r="C8" s="328" t="s">
        <v>16</v>
      </c>
      <c r="D8" s="329" t="s">
        <v>106</v>
      </c>
      <c r="E8" s="329" t="s">
        <v>271</v>
      </c>
      <c r="F8" s="329"/>
      <c r="G8" s="329"/>
      <c r="H8" s="329"/>
      <c r="I8" s="329"/>
      <c r="J8" s="330"/>
      <c r="K8" s="331"/>
      <c r="L8" s="332"/>
      <c r="M8" s="332"/>
      <c r="N8" s="331"/>
      <c r="O8" s="331"/>
      <c r="P8" s="331"/>
      <c r="Q8" s="333"/>
      <c r="R8" s="327"/>
    </row>
    <row r="9" spans="1:44" s="460" customFormat="1" ht="17.25" customHeight="1">
      <c r="A9" s="473">
        <v>250</v>
      </c>
      <c r="B9" s="474" t="s">
        <v>96</v>
      </c>
      <c r="C9" s="479"/>
      <c r="D9" s="508"/>
      <c r="E9" s="508"/>
      <c r="F9" s="509"/>
      <c r="G9" s="508"/>
      <c r="H9" s="510"/>
      <c r="I9" s="511"/>
      <c r="J9" s="508"/>
      <c r="K9" s="509"/>
      <c r="L9" s="509"/>
      <c r="M9" s="509"/>
      <c r="N9" s="509"/>
      <c r="O9" s="509"/>
      <c r="P9" s="509"/>
      <c r="Q9" s="512"/>
      <c r="R9" s="458"/>
      <c r="S9" s="459"/>
    </row>
    <row r="10" spans="1:44" s="102" customFormat="1" ht="12" customHeight="1">
      <c r="A10" s="118">
        <v>3</v>
      </c>
      <c r="B10" s="102" t="s">
        <v>252</v>
      </c>
      <c r="C10" s="124">
        <v>45671</v>
      </c>
      <c r="D10" s="192">
        <v>13.79</v>
      </c>
      <c r="E10" s="192"/>
      <c r="F10" s="214" t="s">
        <v>18</v>
      </c>
      <c r="G10" s="192"/>
      <c r="H10" s="192"/>
      <c r="I10" s="192"/>
      <c r="J10" s="195"/>
      <c r="K10" s="195"/>
      <c r="L10" s="195"/>
      <c r="M10" s="195"/>
      <c r="N10" s="195"/>
      <c r="O10" s="195"/>
      <c r="P10" s="195"/>
      <c r="Q10" s="199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</row>
    <row r="11" spans="1:44" s="102" customFormat="1" ht="12" customHeight="1">
      <c r="A11" s="118">
        <v>5</v>
      </c>
      <c r="B11" s="102" t="s">
        <v>253</v>
      </c>
      <c r="C11" s="124">
        <v>45671</v>
      </c>
      <c r="D11" s="192">
        <v>12.94</v>
      </c>
      <c r="E11" s="192"/>
      <c r="F11" s="214" t="s">
        <v>18</v>
      </c>
      <c r="G11" s="192"/>
      <c r="H11" s="192"/>
      <c r="I11" s="192"/>
      <c r="J11" s="195"/>
      <c r="K11" s="195"/>
      <c r="L11" s="195"/>
      <c r="M11" s="195"/>
      <c r="N11" s="195"/>
      <c r="O11" s="195"/>
      <c r="P11" s="195"/>
      <c r="Q11" s="199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</row>
    <row r="12" spans="1:44" s="102" customFormat="1" ht="12" customHeight="1">
      <c r="A12" s="118">
        <v>6</v>
      </c>
      <c r="B12" s="102" t="s">
        <v>265</v>
      </c>
      <c r="C12" s="124">
        <v>45671</v>
      </c>
      <c r="D12" s="192">
        <v>13.14</v>
      </c>
      <c r="E12" s="192"/>
      <c r="F12" s="214" t="s">
        <v>18</v>
      </c>
      <c r="G12" s="192"/>
      <c r="H12" s="192"/>
      <c r="I12" s="192"/>
      <c r="J12" s="195"/>
      <c r="K12" s="195"/>
      <c r="L12" s="195"/>
      <c r="M12" s="195"/>
      <c r="N12" s="195"/>
      <c r="O12" s="195"/>
      <c r="P12" s="195"/>
      <c r="Q12" s="199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</row>
    <row r="13" spans="1:44" s="102" customFormat="1" ht="12" customHeight="1">
      <c r="A13" s="118">
        <v>7</v>
      </c>
      <c r="B13" s="102" t="s">
        <v>254</v>
      </c>
      <c r="C13" s="124">
        <v>45671</v>
      </c>
      <c r="D13" s="192">
        <v>13.24</v>
      </c>
      <c r="E13" s="192"/>
      <c r="F13" s="214" t="s">
        <v>18</v>
      </c>
      <c r="G13" s="192"/>
      <c r="H13" s="192"/>
      <c r="I13" s="192"/>
      <c r="J13" s="195"/>
      <c r="K13" s="195"/>
      <c r="L13" s="195"/>
      <c r="M13" s="195"/>
      <c r="N13" s="195"/>
      <c r="O13" s="195"/>
      <c r="P13" s="195"/>
      <c r="Q13" s="199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</row>
    <row r="14" spans="1:44" s="102" customFormat="1" ht="12" customHeight="1">
      <c r="A14" s="118">
        <v>9</v>
      </c>
      <c r="B14" s="102" t="s">
        <v>255</v>
      </c>
      <c r="C14" s="124">
        <v>45670</v>
      </c>
      <c r="D14" s="192">
        <v>14.28</v>
      </c>
      <c r="E14" s="192"/>
      <c r="F14" s="214" t="s">
        <v>18</v>
      </c>
      <c r="G14" s="192"/>
      <c r="H14" s="192"/>
      <c r="I14" s="192"/>
      <c r="J14" s="195"/>
      <c r="K14" s="195"/>
      <c r="L14" s="195"/>
      <c r="M14" s="195"/>
      <c r="N14" s="195"/>
      <c r="O14" s="195"/>
      <c r="P14" s="195"/>
      <c r="Q14" s="199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61"/>
      <c r="AH14" s="461"/>
      <c r="AI14" s="461"/>
      <c r="AJ14" s="461"/>
      <c r="AK14" s="461"/>
      <c r="AL14" s="461"/>
      <c r="AM14" s="461"/>
      <c r="AN14" s="461"/>
      <c r="AO14" s="461"/>
      <c r="AP14" s="461"/>
      <c r="AQ14" s="461"/>
      <c r="AR14" s="461"/>
    </row>
    <row r="15" spans="1:44" s="102" customFormat="1" ht="12" customHeight="1">
      <c r="A15" s="118">
        <v>11</v>
      </c>
      <c r="B15" s="102" t="s">
        <v>256</v>
      </c>
      <c r="C15" s="124">
        <v>45670</v>
      </c>
      <c r="D15" s="192">
        <v>14.46</v>
      </c>
      <c r="E15" s="192"/>
      <c r="F15" s="214" t="s">
        <v>18</v>
      </c>
      <c r="G15" s="192"/>
      <c r="H15" s="192"/>
      <c r="I15" s="192"/>
      <c r="J15" s="195"/>
      <c r="K15" s="195"/>
      <c r="L15" s="195"/>
      <c r="M15" s="195"/>
      <c r="N15" s="195"/>
      <c r="O15" s="195"/>
      <c r="P15" s="195"/>
      <c r="Q15" s="199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</row>
    <row r="16" spans="1:44" s="102" customFormat="1" ht="12" customHeight="1">
      <c r="A16" s="118">
        <v>13</v>
      </c>
      <c r="B16" s="102" t="s">
        <v>257</v>
      </c>
      <c r="C16" s="124">
        <v>45671</v>
      </c>
      <c r="D16" s="192">
        <v>13.47</v>
      </c>
      <c r="E16" s="192"/>
      <c r="F16" s="214" t="s">
        <v>18</v>
      </c>
      <c r="G16" s="192"/>
      <c r="H16" s="192"/>
      <c r="I16" s="192"/>
      <c r="J16" s="195"/>
      <c r="K16" s="195"/>
      <c r="L16" s="195"/>
      <c r="M16" s="195"/>
      <c r="N16" s="195"/>
      <c r="O16" s="195"/>
      <c r="P16" s="195"/>
      <c r="Q16" s="199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</row>
    <row r="17" spans="1:44" s="102" customFormat="1" ht="12" customHeight="1">
      <c r="A17" s="118">
        <v>15</v>
      </c>
      <c r="B17" s="102" t="s">
        <v>258</v>
      </c>
      <c r="C17" s="124">
        <v>45671</v>
      </c>
      <c r="D17" s="192">
        <v>12.46</v>
      </c>
      <c r="E17" s="192"/>
      <c r="F17" s="214" t="s">
        <v>18</v>
      </c>
      <c r="G17" s="192"/>
      <c r="H17" s="192"/>
      <c r="I17" s="192"/>
      <c r="J17" s="195"/>
      <c r="K17" s="195"/>
      <c r="L17" s="195"/>
      <c r="M17" s="195"/>
      <c r="N17" s="195"/>
      <c r="O17" s="195"/>
      <c r="P17" s="195"/>
      <c r="Q17" s="199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</row>
    <row r="18" spans="1:44" s="102" customFormat="1" ht="12" customHeight="1">
      <c r="A18" s="118">
        <v>17</v>
      </c>
      <c r="B18" s="102" t="s">
        <v>259</v>
      </c>
      <c r="C18" s="124">
        <v>45671</v>
      </c>
      <c r="D18" s="192">
        <v>13.57</v>
      </c>
      <c r="E18" s="192"/>
      <c r="F18" s="214" t="s">
        <v>18</v>
      </c>
      <c r="G18" s="192"/>
      <c r="H18" s="192"/>
      <c r="I18" s="192"/>
      <c r="J18" s="195"/>
      <c r="K18" s="195"/>
      <c r="L18" s="195"/>
      <c r="M18" s="195"/>
      <c r="N18" s="195"/>
      <c r="O18" s="195"/>
      <c r="P18" s="195"/>
      <c r="Q18" s="199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</row>
    <row r="19" spans="1:44" s="102" customFormat="1" ht="12" customHeight="1">
      <c r="A19" s="118">
        <v>18</v>
      </c>
      <c r="B19" s="102" t="s">
        <v>266</v>
      </c>
      <c r="C19" s="124">
        <v>45670</v>
      </c>
      <c r="D19" s="192">
        <v>14.05</v>
      </c>
      <c r="E19" s="192"/>
      <c r="F19" s="214" t="s">
        <v>18</v>
      </c>
      <c r="G19" s="192"/>
      <c r="H19" s="192"/>
      <c r="I19" s="192"/>
      <c r="J19" s="195"/>
      <c r="K19" s="195"/>
      <c r="L19" s="195"/>
      <c r="M19" s="195"/>
      <c r="N19" s="195"/>
      <c r="O19" s="195"/>
      <c r="P19" s="195"/>
      <c r="Q19" s="199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1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</row>
    <row r="20" spans="1:44" s="102" customFormat="1" ht="12" customHeight="1">
      <c r="A20" s="118">
        <v>19</v>
      </c>
      <c r="B20" s="102" t="s">
        <v>260</v>
      </c>
      <c r="C20" s="124">
        <v>45671</v>
      </c>
      <c r="D20" s="192">
        <v>13.31</v>
      </c>
      <c r="E20" s="192"/>
      <c r="F20" s="214" t="s">
        <v>18</v>
      </c>
      <c r="G20" s="192"/>
      <c r="H20" s="192"/>
      <c r="I20" s="192"/>
      <c r="J20" s="195"/>
      <c r="K20" s="195"/>
      <c r="L20" s="195"/>
      <c r="M20" s="195"/>
      <c r="N20" s="195"/>
      <c r="O20" s="195"/>
      <c r="P20" s="195"/>
      <c r="Q20" s="199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</row>
    <row r="21" spans="1:44" s="102" customFormat="1" ht="12" customHeight="1">
      <c r="A21" s="118">
        <v>20</v>
      </c>
      <c r="B21" s="102" t="s">
        <v>267</v>
      </c>
      <c r="C21" s="124">
        <v>45671</v>
      </c>
      <c r="D21" s="192">
        <v>13.15</v>
      </c>
      <c r="E21" s="192"/>
      <c r="F21" s="214" t="s">
        <v>18</v>
      </c>
      <c r="G21" s="192"/>
      <c r="H21" s="192"/>
      <c r="I21" s="192"/>
      <c r="J21" s="195"/>
      <c r="K21" s="195"/>
      <c r="L21" s="195"/>
      <c r="M21" s="195"/>
      <c r="N21" s="195"/>
      <c r="O21" s="195"/>
      <c r="P21" s="195"/>
      <c r="Q21" s="199"/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1"/>
      <c r="AL21" s="461"/>
      <c r="AM21" s="461"/>
      <c r="AN21" s="461"/>
      <c r="AO21" s="461"/>
      <c r="AP21" s="461"/>
      <c r="AQ21" s="461"/>
      <c r="AR21" s="461"/>
    </row>
    <row r="22" spans="1:44" s="102" customFormat="1" ht="12" customHeight="1">
      <c r="A22" s="118">
        <v>21</v>
      </c>
      <c r="B22" s="102" t="s">
        <v>261</v>
      </c>
      <c r="C22" s="124">
        <v>45671</v>
      </c>
      <c r="D22" s="192">
        <v>13.32</v>
      </c>
      <c r="E22" s="192"/>
      <c r="F22" s="214" t="s">
        <v>18</v>
      </c>
      <c r="G22" s="192"/>
      <c r="H22" s="192"/>
      <c r="I22" s="192"/>
      <c r="J22" s="195"/>
      <c r="K22" s="195"/>
      <c r="L22" s="195"/>
      <c r="M22" s="195"/>
      <c r="N22" s="195"/>
      <c r="O22" s="195"/>
      <c r="P22" s="195"/>
      <c r="Q22" s="199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</row>
    <row r="23" spans="1:44" s="102" customFormat="1" ht="12" customHeight="1">
      <c r="A23" s="118">
        <v>22</v>
      </c>
      <c r="B23" s="102" t="s">
        <v>268</v>
      </c>
      <c r="C23" s="124">
        <v>45671</v>
      </c>
      <c r="D23" s="192">
        <v>13.16</v>
      </c>
      <c r="E23" s="192"/>
      <c r="F23" s="214" t="s">
        <v>18</v>
      </c>
      <c r="G23" s="192"/>
      <c r="H23" s="192"/>
      <c r="I23" s="192"/>
      <c r="J23" s="195"/>
      <c r="K23" s="195"/>
      <c r="L23" s="195"/>
      <c r="M23" s="195"/>
      <c r="N23" s="195"/>
      <c r="O23" s="195"/>
      <c r="P23" s="195"/>
      <c r="Q23" s="199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</row>
    <row r="24" spans="1:44" s="102" customFormat="1" ht="12" customHeight="1">
      <c r="A24" s="118">
        <v>23</v>
      </c>
      <c r="B24" s="102" t="s">
        <v>297</v>
      </c>
      <c r="C24" s="124">
        <v>45671</v>
      </c>
      <c r="D24" s="192">
        <v>12.54</v>
      </c>
      <c r="E24" s="192"/>
      <c r="F24" s="214" t="s">
        <v>18</v>
      </c>
      <c r="G24" s="192"/>
      <c r="H24" s="192"/>
      <c r="I24" s="192"/>
      <c r="J24" s="195"/>
      <c r="K24" s="195"/>
      <c r="L24" s="195"/>
      <c r="M24" s="195"/>
      <c r="N24" s="195"/>
      <c r="O24" s="195"/>
      <c r="P24" s="195"/>
      <c r="Q24" s="199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</row>
    <row r="25" spans="1:44" s="102" customFormat="1" ht="12" customHeight="1">
      <c r="A25" s="118">
        <v>24</v>
      </c>
      <c r="B25" s="102" t="s">
        <v>269</v>
      </c>
      <c r="C25" s="124">
        <v>45671</v>
      </c>
      <c r="D25" s="192">
        <v>12.92</v>
      </c>
      <c r="E25" s="192"/>
      <c r="F25" s="214" t="s">
        <v>18</v>
      </c>
      <c r="G25" s="192"/>
      <c r="H25" s="192"/>
      <c r="I25" s="192"/>
      <c r="J25" s="195"/>
      <c r="K25" s="195"/>
      <c r="L25" s="195"/>
      <c r="M25" s="195"/>
      <c r="N25" s="195"/>
      <c r="O25" s="195"/>
      <c r="P25" s="195"/>
      <c r="Q25" s="199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</row>
    <row r="26" spans="1:44" s="102" customFormat="1" ht="12" customHeight="1">
      <c r="A26" s="118">
        <v>25</v>
      </c>
      <c r="B26" s="102" t="s">
        <v>263</v>
      </c>
      <c r="C26" s="124">
        <v>45671</v>
      </c>
      <c r="D26" s="192">
        <v>12.02</v>
      </c>
      <c r="E26" s="192"/>
      <c r="F26" s="214" t="s">
        <v>18</v>
      </c>
      <c r="G26" s="192"/>
      <c r="H26" s="192"/>
      <c r="I26" s="192"/>
      <c r="J26" s="195"/>
      <c r="K26" s="195"/>
      <c r="L26" s="195"/>
      <c r="M26" s="195"/>
      <c r="N26" s="195"/>
      <c r="O26" s="195"/>
      <c r="P26" s="195"/>
      <c r="Q26" s="199"/>
      <c r="R26" s="461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1"/>
      <c r="AP26" s="461"/>
      <c r="AQ26" s="461"/>
      <c r="AR26" s="461"/>
    </row>
    <row r="27" spans="1:44" s="102" customFormat="1" ht="12" customHeight="1">
      <c r="A27" s="118">
        <v>27</v>
      </c>
      <c r="B27" s="102" t="s">
        <v>264</v>
      </c>
      <c r="C27" s="124">
        <v>45671</v>
      </c>
      <c r="D27" s="192">
        <v>12.84</v>
      </c>
      <c r="E27" s="192"/>
      <c r="F27" s="214" t="s">
        <v>18</v>
      </c>
      <c r="G27" s="192"/>
      <c r="H27" s="192"/>
      <c r="I27" s="192"/>
      <c r="J27" s="195"/>
      <c r="K27" s="195"/>
      <c r="L27" s="195"/>
      <c r="M27" s="195"/>
      <c r="N27" s="195"/>
      <c r="O27" s="195"/>
      <c r="P27" s="195"/>
      <c r="Q27" s="199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</row>
    <row r="28" spans="1:44" s="102" customFormat="1" ht="12" customHeight="1">
      <c r="A28" s="118">
        <v>29</v>
      </c>
      <c r="B28" s="102" t="s">
        <v>295</v>
      </c>
      <c r="C28" s="124">
        <v>45670</v>
      </c>
      <c r="D28" s="192">
        <v>13.74</v>
      </c>
      <c r="E28" s="192">
        <v>1.5</v>
      </c>
      <c r="F28" s="214" t="s">
        <v>18</v>
      </c>
      <c r="G28" s="192"/>
      <c r="H28" s="192"/>
      <c r="I28" s="192"/>
      <c r="J28" s="195"/>
      <c r="K28" s="195"/>
      <c r="L28" s="195"/>
      <c r="M28" s="195"/>
      <c r="N28" s="195"/>
      <c r="O28" s="195"/>
      <c r="P28" s="195"/>
      <c r="Q28" s="199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1"/>
      <c r="AP28" s="461"/>
      <c r="AQ28" s="461"/>
      <c r="AR28" s="461"/>
    </row>
    <row r="29" spans="1:44" s="102" customFormat="1" ht="12" customHeight="1">
      <c r="A29" s="118">
        <v>30</v>
      </c>
      <c r="B29" s="102" t="s">
        <v>296</v>
      </c>
      <c r="C29" s="124">
        <v>45670</v>
      </c>
      <c r="D29" s="192">
        <v>13.24</v>
      </c>
      <c r="E29" s="192"/>
      <c r="F29" s="214" t="s">
        <v>18</v>
      </c>
      <c r="G29" s="192"/>
      <c r="H29" s="192"/>
      <c r="I29" s="192"/>
      <c r="J29" s="195"/>
      <c r="K29" s="195"/>
      <c r="L29" s="195"/>
      <c r="M29" s="195"/>
      <c r="N29" s="195"/>
      <c r="O29" s="195"/>
      <c r="P29" s="195"/>
      <c r="Q29" s="199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1"/>
    </row>
    <row r="30" spans="1:44">
      <c r="A30" s="1">
        <v>200</v>
      </c>
      <c r="B30" s="62" t="s">
        <v>97</v>
      </c>
      <c r="C30" s="124"/>
      <c r="D30" s="590" t="s">
        <v>407</v>
      </c>
      <c r="E30" s="268"/>
      <c r="F30" s="269"/>
      <c r="G30" s="268"/>
      <c r="H30" s="268"/>
      <c r="I30" s="268"/>
      <c r="J30" s="268"/>
      <c r="K30" s="269"/>
      <c r="L30" s="269"/>
      <c r="M30" s="269"/>
      <c r="N30" s="269"/>
      <c r="O30" s="269"/>
      <c r="P30" s="269"/>
      <c r="Q30" s="199"/>
      <c r="R30" s="462"/>
      <c r="S30" s="463"/>
      <c r="T30" s="464"/>
      <c r="U30" s="464"/>
      <c r="V30" s="460"/>
      <c r="W30" s="460"/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/>
      <c r="AJ30" s="460"/>
      <c r="AK30" s="460"/>
      <c r="AL30" s="460"/>
      <c r="AM30" s="460"/>
      <c r="AN30" s="460"/>
      <c r="AO30" s="460"/>
      <c r="AP30" s="460"/>
      <c r="AQ30" s="460"/>
      <c r="AR30" s="460"/>
    </row>
    <row r="31" spans="1:44" s="460" customFormat="1" ht="17.25" customHeight="1">
      <c r="A31" s="473">
        <v>250</v>
      </c>
      <c r="B31" s="474" t="s">
        <v>21</v>
      </c>
      <c r="C31" s="742"/>
      <c r="D31" s="591"/>
      <c r="E31" s="591"/>
      <c r="F31" s="555"/>
      <c r="G31" s="591"/>
      <c r="H31" s="591"/>
      <c r="I31" s="591"/>
      <c r="J31" s="591"/>
      <c r="K31" s="555"/>
      <c r="L31" s="555"/>
      <c r="M31" s="555"/>
      <c r="N31" s="555"/>
      <c r="O31" s="555"/>
      <c r="P31" s="555"/>
      <c r="Q31" s="512"/>
      <c r="R31" s="465"/>
      <c r="S31" s="463"/>
      <c r="T31" s="464"/>
      <c r="U31" s="464"/>
    </row>
    <row r="32" spans="1:44" s="102" customFormat="1" ht="12" customHeight="1">
      <c r="A32" s="117">
        <v>3</v>
      </c>
      <c r="B32" s="102" t="s">
        <v>252</v>
      </c>
      <c r="C32" s="124">
        <v>45706</v>
      </c>
      <c r="D32" s="192">
        <v>14.72</v>
      </c>
      <c r="E32" s="192"/>
      <c r="F32" s="214" t="s">
        <v>18</v>
      </c>
      <c r="G32" s="192"/>
      <c r="H32" s="192"/>
      <c r="I32" s="192"/>
      <c r="J32" s="195"/>
      <c r="K32" s="195"/>
      <c r="L32" s="195"/>
      <c r="M32" s="195"/>
      <c r="N32" s="195"/>
      <c r="O32" s="195"/>
      <c r="P32" s="195"/>
      <c r="Q32" s="743"/>
      <c r="R32" s="466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61"/>
      <c r="AR32" s="461"/>
    </row>
    <row r="33" spans="1:44" s="102" customFormat="1" ht="12" customHeight="1">
      <c r="A33" s="117">
        <v>6</v>
      </c>
      <c r="B33" s="102" t="s">
        <v>265</v>
      </c>
      <c r="C33" s="124">
        <v>45706</v>
      </c>
      <c r="D33" s="192">
        <v>13.91</v>
      </c>
      <c r="E33" s="192"/>
      <c r="F33" s="214" t="s">
        <v>18</v>
      </c>
      <c r="G33" s="192"/>
      <c r="H33" s="192"/>
      <c r="I33" s="192"/>
      <c r="J33" s="195"/>
      <c r="K33" s="195"/>
      <c r="L33" s="195"/>
      <c r="M33" s="195"/>
      <c r="N33" s="195"/>
      <c r="O33" s="195"/>
      <c r="P33" s="195"/>
      <c r="Q33" s="743"/>
      <c r="R33" s="466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461"/>
      <c r="AJ33" s="461"/>
      <c r="AK33" s="461"/>
      <c r="AL33" s="461"/>
      <c r="AM33" s="461"/>
      <c r="AN33" s="461"/>
      <c r="AO33" s="461"/>
      <c r="AP33" s="461"/>
      <c r="AQ33" s="461"/>
      <c r="AR33" s="461"/>
    </row>
    <row r="34" spans="1:44" s="102" customFormat="1" ht="12" customHeight="1">
      <c r="A34" s="117">
        <v>7</v>
      </c>
      <c r="B34" s="122" t="s">
        <v>254</v>
      </c>
      <c r="C34" s="124">
        <v>45706</v>
      </c>
      <c r="D34" s="192">
        <v>14.37</v>
      </c>
      <c r="E34" s="192"/>
      <c r="F34" s="214" t="s">
        <v>18</v>
      </c>
      <c r="G34" s="192"/>
      <c r="H34" s="192"/>
      <c r="I34" s="192"/>
      <c r="J34" s="195"/>
      <c r="K34" s="195"/>
      <c r="L34" s="195"/>
      <c r="M34" s="195"/>
      <c r="N34" s="195"/>
      <c r="O34" s="195"/>
      <c r="P34" s="195"/>
      <c r="Q34" s="743"/>
      <c r="R34" s="466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</row>
    <row r="35" spans="1:44" s="102" customFormat="1" ht="12" customHeight="1">
      <c r="A35" s="117">
        <v>11</v>
      </c>
      <c r="B35" s="102" t="s">
        <v>256</v>
      </c>
      <c r="C35" s="124">
        <v>45706</v>
      </c>
      <c r="D35" s="192">
        <v>14.3</v>
      </c>
      <c r="E35" s="192"/>
      <c r="F35" s="214" t="s">
        <v>18</v>
      </c>
      <c r="G35" s="192"/>
      <c r="H35" s="192"/>
      <c r="I35" s="192"/>
      <c r="J35" s="195"/>
      <c r="K35" s="195"/>
      <c r="L35" s="195"/>
      <c r="M35" s="195"/>
      <c r="N35" s="195"/>
      <c r="O35" s="195"/>
      <c r="P35" s="195"/>
      <c r="Q35" s="743"/>
      <c r="R35" s="466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1"/>
      <c r="AQ35" s="461"/>
      <c r="AR35" s="461"/>
    </row>
    <row r="36" spans="1:44" s="102" customFormat="1" ht="12" customHeight="1">
      <c r="A36" s="118">
        <v>19</v>
      </c>
      <c r="B36" s="102" t="s">
        <v>260</v>
      </c>
      <c r="C36" s="124">
        <v>45706</v>
      </c>
      <c r="D36" s="192">
        <v>14.71</v>
      </c>
      <c r="E36" s="192"/>
      <c r="F36" s="214" t="s">
        <v>18</v>
      </c>
      <c r="G36" s="192"/>
      <c r="H36" s="192"/>
      <c r="I36" s="192"/>
      <c r="J36" s="192"/>
      <c r="K36" s="195"/>
      <c r="L36" s="195"/>
      <c r="M36" s="195"/>
      <c r="N36" s="195"/>
      <c r="O36" s="195"/>
      <c r="P36" s="195"/>
      <c r="Q36" s="743"/>
      <c r="R36" s="466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</row>
    <row r="37" spans="1:44" s="102" customFormat="1" ht="12" customHeight="1">
      <c r="A37" s="118">
        <v>20</v>
      </c>
      <c r="B37" s="102" t="s">
        <v>267</v>
      </c>
      <c r="C37" s="124">
        <v>45706</v>
      </c>
      <c r="D37" s="192">
        <v>14.46</v>
      </c>
      <c r="E37" s="192"/>
      <c r="F37" s="214" t="s">
        <v>18</v>
      </c>
      <c r="G37" s="192"/>
      <c r="H37" s="192"/>
      <c r="I37" s="192"/>
      <c r="J37" s="195"/>
      <c r="K37" s="195"/>
      <c r="L37" s="195"/>
      <c r="M37" s="195"/>
      <c r="N37" s="195"/>
      <c r="O37" s="195"/>
      <c r="P37" s="195"/>
      <c r="Q37" s="743"/>
      <c r="R37" s="466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</row>
    <row r="38" spans="1:44" s="102" customFormat="1" ht="12" customHeight="1">
      <c r="A38" s="117">
        <v>21</v>
      </c>
      <c r="B38" s="102" t="s">
        <v>261</v>
      </c>
      <c r="C38" s="124">
        <v>45706</v>
      </c>
      <c r="D38" s="192">
        <v>14.99</v>
      </c>
      <c r="E38" s="192"/>
      <c r="F38" s="214" t="s">
        <v>18</v>
      </c>
      <c r="G38" s="192"/>
      <c r="H38" s="192"/>
      <c r="I38" s="192"/>
      <c r="J38" s="195"/>
      <c r="K38" s="195"/>
      <c r="L38" s="195"/>
      <c r="M38" s="195"/>
      <c r="N38" s="195"/>
      <c r="O38" s="195"/>
      <c r="P38" s="195"/>
      <c r="Q38" s="743"/>
      <c r="R38" s="466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</row>
    <row r="39" spans="1:44" s="102" customFormat="1" ht="12" customHeight="1">
      <c r="A39" s="117">
        <v>25</v>
      </c>
      <c r="B39" s="122" t="s">
        <v>263</v>
      </c>
      <c r="C39" s="124">
        <v>45706</v>
      </c>
      <c r="D39" s="192">
        <v>13.61</v>
      </c>
      <c r="E39" s="192"/>
      <c r="F39" s="214" t="s">
        <v>18</v>
      </c>
      <c r="G39" s="192"/>
      <c r="H39" s="192"/>
      <c r="I39" s="192"/>
      <c r="J39" s="195"/>
      <c r="K39" s="195"/>
      <c r="L39" s="195"/>
      <c r="M39" s="195"/>
      <c r="N39" s="195"/>
      <c r="O39" s="195"/>
      <c r="P39" s="195"/>
      <c r="Q39" s="743"/>
      <c r="R39" s="466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  <c r="AI39" s="461"/>
      <c r="AJ39" s="461"/>
      <c r="AK39" s="461"/>
      <c r="AL39" s="461"/>
      <c r="AM39" s="461"/>
      <c r="AN39" s="461"/>
      <c r="AO39" s="461"/>
      <c r="AP39" s="461"/>
      <c r="AQ39" s="461"/>
      <c r="AR39" s="461"/>
    </row>
    <row r="40" spans="1:44" s="102" customFormat="1" ht="12" customHeight="1">
      <c r="A40" s="118">
        <v>29</v>
      </c>
      <c r="B40" s="102" t="s">
        <v>295</v>
      </c>
      <c r="C40" s="124"/>
      <c r="D40" s="192"/>
      <c r="E40" s="192"/>
      <c r="F40" s="214" t="s">
        <v>18</v>
      </c>
      <c r="G40" s="192"/>
      <c r="H40" s="192"/>
      <c r="I40" s="192"/>
      <c r="J40" s="195"/>
      <c r="K40" s="195"/>
      <c r="L40" s="195"/>
      <c r="M40" s="195"/>
      <c r="N40" s="195"/>
      <c r="O40" s="195"/>
      <c r="P40" s="195"/>
      <c r="Q40" s="743"/>
      <c r="R40" s="466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</row>
    <row r="41" spans="1:44" s="102" customFormat="1" ht="12" customHeight="1">
      <c r="A41" s="118">
        <v>30</v>
      </c>
      <c r="B41" s="102" t="s">
        <v>296</v>
      </c>
      <c r="C41" s="124"/>
      <c r="D41" s="192"/>
      <c r="E41" s="192"/>
      <c r="F41" s="214" t="s">
        <v>18</v>
      </c>
      <c r="G41" s="192"/>
      <c r="H41" s="192"/>
      <c r="I41" s="192"/>
      <c r="J41" s="195"/>
      <c r="K41" s="195"/>
      <c r="L41" s="195"/>
      <c r="M41" s="195"/>
      <c r="N41" s="195"/>
      <c r="O41" s="195"/>
      <c r="P41" s="195"/>
      <c r="Q41" s="743"/>
      <c r="R41" s="466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</row>
    <row r="42" spans="1:44">
      <c r="A42" s="1">
        <v>200</v>
      </c>
      <c r="B42" s="62" t="s">
        <v>97</v>
      </c>
      <c r="C42" s="592"/>
      <c r="D42" s="590" t="s">
        <v>431</v>
      </c>
      <c r="E42" s="268"/>
      <c r="F42" s="214"/>
      <c r="G42" s="268"/>
      <c r="H42" s="268"/>
      <c r="I42" s="268"/>
      <c r="J42" s="268"/>
      <c r="K42" s="269"/>
      <c r="L42" s="269"/>
      <c r="M42" s="269"/>
      <c r="N42" s="269"/>
      <c r="O42" s="269"/>
      <c r="P42" s="269"/>
      <c r="Q42" s="199"/>
      <c r="R42" s="462"/>
      <c r="S42" s="463"/>
      <c r="T42" s="464"/>
      <c r="U42" s="464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460"/>
      <c r="AM42" s="460"/>
      <c r="AN42" s="460"/>
      <c r="AO42" s="460"/>
      <c r="AP42" s="460"/>
      <c r="AQ42" s="460"/>
      <c r="AR42" s="460"/>
    </row>
    <row r="43" spans="1:44" s="460" customFormat="1" ht="17.25" customHeight="1">
      <c r="A43" s="473">
        <v>250</v>
      </c>
      <c r="B43" s="474" t="s">
        <v>22</v>
      </c>
      <c r="C43" s="744"/>
      <c r="D43" s="591"/>
      <c r="E43" s="591"/>
      <c r="F43" s="556"/>
      <c r="G43" s="591"/>
      <c r="H43" s="591"/>
      <c r="I43" s="591"/>
      <c r="J43" s="591"/>
      <c r="K43" s="555"/>
      <c r="L43" s="555"/>
      <c r="M43" s="555"/>
      <c r="N43" s="555"/>
      <c r="O43" s="555"/>
      <c r="P43" s="555"/>
      <c r="Q43" s="512"/>
      <c r="R43" s="465"/>
      <c r="S43" s="463"/>
      <c r="T43" s="464"/>
      <c r="U43" s="464"/>
    </row>
    <row r="44" spans="1:44" s="102" customFormat="1" ht="12" customHeight="1">
      <c r="A44" s="117">
        <v>3</v>
      </c>
      <c r="B44" s="102" t="s">
        <v>252</v>
      </c>
      <c r="C44" s="206">
        <v>45734</v>
      </c>
      <c r="D44" s="192">
        <v>13.33</v>
      </c>
      <c r="E44" s="192"/>
      <c r="F44" s="214" t="s">
        <v>18</v>
      </c>
      <c r="G44" s="192"/>
      <c r="H44" s="192"/>
      <c r="I44" s="192"/>
      <c r="J44" s="195"/>
      <c r="K44" s="195"/>
      <c r="L44" s="195"/>
      <c r="M44" s="195"/>
      <c r="N44" s="195"/>
      <c r="O44" s="195"/>
      <c r="P44" s="195"/>
      <c r="Q44" s="199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</row>
    <row r="45" spans="1:44" s="102" customFormat="1" ht="12" customHeight="1">
      <c r="A45" s="117">
        <v>5</v>
      </c>
      <c r="B45" s="102" t="s">
        <v>253</v>
      </c>
      <c r="C45" s="206">
        <v>45734</v>
      </c>
      <c r="D45" s="192">
        <v>11.35</v>
      </c>
      <c r="E45" s="192"/>
      <c r="F45" s="214" t="s">
        <v>18</v>
      </c>
      <c r="G45" s="192"/>
      <c r="H45" s="192"/>
      <c r="I45" s="192"/>
      <c r="J45" s="195"/>
      <c r="K45" s="195"/>
      <c r="L45" s="195"/>
      <c r="M45" s="195"/>
      <c r="N45" s="195"/>
      <c r="O45" s="195"/>
      <c r="P45" s="195"/>
      <c r="Q45" s="199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</row>
    <row r="46" spans="1:44" s="102" customFormat="1" ht="12" customHeight="1">
      <c r="A46" s="117">
        <v>6</v>
      </c>
      <c r="B46" s="102" t="s">
        <v>265</v>
      </c>
      <c r="C46" s="206">
        <v>45734</v>
      </c>
      <c r="D46" s="192">
        <v>11.48</v>
      </c>
      <c r="E46" s="192"/>
      <c r="F46" s="214" t="s">
        <v>18</v>
      </c>
      <c r="G46" s="192"/>
      <c r="H46" s="192"/>
      <c r="I46" s="192"/>
      <c r="J46" s="195"/>
      <c r="K46" s="195"/>
      <c r="L46" s="195"/>
      <c r="M46" s="195"/>
      <c r="N46" s="195"/>
      <c r="O46" s="195"/>
      <c r="P46" s="195"/>
      <c r="Q46" s="199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</row>
    <row r="47" spans="1:44" s="102" customFormat="1" ht="12" customHeight="1">
      <c r="A47" s="117">
        <v>7</v>
      </c>
      <c r="B47" s="102" t="s">
        <v>254</v>
      </c>
      <c r="C47" s="206">
        <v>45728</v>
      </c>
      <c r="D47" s="192">
        <v>15.03</v>
      </c>
      <c r="E47" s="192"/>
      <c r="F47" s="214" t="s">
        <v>18</v>
      </c>
      <c r="G47" s="192"/>
      <c r="H47" s="192"/>
      <c r="I47" s="192"/>
      <c r="J47" s="195"/>
      <c r="K47" s="195"/>
      <c r="L47" s="195"/>
      <c r="M47" s="195"/>
      <c r="N47" s="195"/>
      <c r="O47" s="195"/>
      <c r="P47" s="195"/>
      <c r="Q47" s="199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</row>
    <row r="48" spans="1:44" s="102" customFormat="1" ht="12" customHeight="1">
      <c r="A48" s="117">
        <v>9</v>
      </c>
      <c r="B48" s="102" t="s">
        <v>255</v>
      </c>
      <c r="C48" s="206">
        <v>45728</v>
      </c>
      <c r="D48" s="192">
        <v>12.93</v>
      </c>
      <c r="E48" s="192"/>
      <c r="F48" s="214" t="s">
        <v>18</v>
      </c>
      <c r="G48" s="192"/>
      <c r="H48" s="192"/>
      <c r="I48" s="192"/>
      <c r="J48" s="192"/>
      <c r="K48" s="195"/>
      <c r="L48" s="195"/>
      <c r="M48" s="195"/>
      <c r="N48" s="195"/>
      <c r="O48" s="195"/>
      <c r="P48" s="195"/>
      <c r="Q48" s="199"/>
      <c r="R48" s="461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</row>
    <row r="49" spans="1:44" s="102" customFormat="1" ht="12" customHeight="1">
      <c r="A49" s="117">
        <v>11</v>
      </c>
      <c r="B49" s="102" t="s">
        <v>256</v>
      </c>
      <c r="C49" s="206">
        <v>45728</v>
      </c>
      <c r="D49" s="192">
        <v>12.25</v>
      </c>
      <c r="E49" s="192"/>
      <c r="F49" s="214" t="s">
        <v>18</v>
      </c>
      <c r="G49" s="192"/>
      <c r="H49" s="192"/>
      <c r="I49" s="192"/>
      <c r="J49" s="195"/>
      <c r="K49" s="195"/>
      <c r="L49" s="195"/>
      <c r="M49" s="195"/>
      <c r="N49" s="195"/>
      <c r="O49" s="195"/>
      <c r="P49" s="195"/>
      <c r="Q49" s="199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</row>
    <row r="50" spans="1:44" s="102" customFormat="1" ht="12" customHeight="1">
      <c r="A50" s="117">
        <v>13</v>
      </c>
      <c r="B50" s="102" t="s">
        <v>257</v>
      </c>
      <c r="C50" s="206">
        <v>45734</v>
      </c>
      <c r="D50" s="192">
        <v>16.53</v>
      </c>
      <c r="E50" s="192"/>
      <c r="F50" s="214" t="s">
        <v>18</v>
      </c>
      <c r="G50" s="192"/>
      <c r="H50" s="192"/>
      <c r="I50" s="192"/>
      <c r="J50" s="195"/>
      <c r="K50" s="195"/>
      <c r="L50" s="195"/>
      <c r="M50" s="195"/>
      <c r="N50" s="195"/>
      <c r="O50" s="195"/>
      <c r="P50" s="195"/>
      <c r="Q50" s="199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</row>
    <row r="51" spans="1:44" s="102" customFormat="1" ht="12" customHeight="1">
      <c r="A51" s="117">
        <v>15</v>
      </c>
      <c r="B51" s="102" t="s">
        <v>258</v>
      </c>
      <c r="C51" s="206">
        <v>45734</v>
      </c>
      <c r="D51" s="192">
        <v>14.25</v>
      </c>
      <c r="E51" s="192"/>
      <c r="F51" s="214" t="s">
        <v>18</v>
      </c>
      <c r="G51" s="192"/>
      <c r="H51" s="192"/>
      <c r="I51" s="192"/>
      <c r="J51" s="195"/>
      <c r="K51" s="195"/>
      <c r="L51" s="195"/>
      <c r="M51" s="195"/>
      <c r="N51" s="195"/>
      <c r="O51" s="195"/>
      <c r="P51" s="195"/>
      <c r="Q51" s="199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</row>
    <row r="52" spans="1:44" s="102" customFormat="1" ht="12" customHeight="1">
      <c r="A52" s="117">
        <v>17</v>
      </c>
      <c r="B52" s="102" t="s">
        <v>259</v>
      </c>
      <c r="C52" s="206">
        <v>45734</v>
      </c>
      <c r="D52" s="192">
        <v>13.88</v>
      </c>
      <c r="E52" s="192"/>
      <c r="F52" s="214" t="s">
        <v>18</v>
      </c>
      <c r="G52" s="192"/>
      <c r="H52" s="192"/>
      <c r="I52" s="192"/>
      <c r="J52" s="192"/>
      <c r="K52" s="195"/>
      <c r="L52" s="195"/>
      <c r="M52" s="195"/>
      <c r="N52" s="195"/>
      <c r="O52" s="195"/>
      <c r="P52" s="195"/>
      <c r="Q52" s="199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</row>
    <row r="53" spans="1:44" s="102" customFormat="1" ht="12" customHeight="1">
      <c r="A53" s="117">
        <v>18</v>
      </c>
      <c r="B53" s="102" t="s">
        <v>266</v>
      </c>
      <c r="C53" s="206">
        <v>45728</v>
      </c>
      <c r="D53" s="192">
        <v>13.39</v>
      </c>
      <c r="E53" s="192"/>
      <c r="F53" s="214" t="s">
        <v>18</v>
      </c>
      <c r="G53" s="192"/>
      <c r="H53" s="192"/>
      <c r="I53" s="192"/>
      <c r="J53" s="195"/>
      <c r="K53" s="195"/>
      <c r="L53" s="195"/>
      <c r="M53" s="195"/>
      <c r="N53" s="195"/>
      <c r="O53" s="195"/>
      <c r="P53" s="195"/>
      <c r="Q53" s="20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</row>
    <row r="54" spans="1:44" s="102" customFormat="1" ht="12" customHeight="1">
      <c r="A54" s="118">
        <v>19</v>
      </c>
      <c r="B54" s="102" t="s">
        <v>260</v>
      </c>
      <c r="C54" s="206">
        <v>45734</v>
      </c>
      <c r="D54" s="192">
        <v>17.86</v>
      </c>
      <c r="E54" s="192"/>
      <c r="F54" s="214" t="s">
        <v>18</v>
      </c>
      <c r="G54" s="192"/>
      <c r="H54" s="192"/>
      <c r="I54" s="192"/>
      <c r="J54" s="195"/>
      <c r="K54" s="195"/>
      <c r="L54" s="195"/>
      <c r="M54" s="195"/>
      <c r="N54" s="195"/>
      <c r="O54" s="195"/>
      <c r="P54" s="195"/>
      <c r="Q54" s="20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1"/>
      <c r="AP54" s="461"/>
      <c r="AQ54" s="461"/>
      <c r="AR54" s="461"/>
    </row>
    <row r="55" spans="1:44" s="102" customFormat="1" ht="12" customHeight="1">
      <c r="A55" s="118">
        <v>20</v>
      </c>
      <c r="B55" s="102" t="s">
        <v>267</v>
      </c>
      <c r="C55" s="206">
        <v>45734</v>
      </c>
      <c r="D55" s="192">
        <v>16.8</v>
      </c>
      <c r="E55" s="192"/>
      <c r="F55" s="214" t="s">
        <v>18</v>
      </c>
      <c r="G55" s="192"/>
      <c r="H55" s="192"/>
      <c r="I55" s="192"/>
      <c r="J55" s="195"/>
      <c r="K55" s="195"/>
      <c r="L55" s="195"/>
      <c r="M55" s="195"/>
      <c r="N55" s="195"/>
      <c r="O55" s="195"/>
      <c r="P55" s="195"/>
      <c r="Q55" s="20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1"/>
      <c r="AP55" s="461"/>
      <c r="AQ55" s="461"/>
      <c r="AR55" s="461"/>
    </row>
    <row r="56" spans="1:44" s="102" customFormat="1" ht="12" customHeight="1">
      <c r="A56" s="117">
        <v>21</v>
      </c>
      <c r="B56" s="102" t="s">
        <v>261</v>
      </c>
      <c r="C56" s="206">
        <v>45734</v>
      </c>
      <c r="D56" s="192">
        <v>16.05</v>
      </c>
      <c r="E56" s="192"/>
      <c r="F56" s="214" t="s">
        <v>18</v>
      </c>
      <c r="G56" s="192"/>
      <c r="H56" s="192"/>
      <c r="I56" s="192"/>
      <c r="J56" s="195"/>
      <c r="K56" s="195"/>
      <c r="L56" s="195"/>
      <c r="M56" s="195"/>
      <c r="N56" s="195"/>
      <c r="O56" s="195"/>
      <c r="P56" s="195"/>
      <c r="Q56" s="201"/>
      <c r="R56" s="461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461"/>
    </row>
    <row r="57" spans="1:44" s="102" customFormat="1" ht="12" customHeight="1">
      <c r="A57" s="117">
        <v>22</v>
      </c>
      <c r="B57" s="102" t="s">
        <v>268</v>
      </c>
      <c r="C57" s="206">
        <v>45734</v>
      </c>
      <c r="D57" s="192">
        <v>14.05</v>
      </c>
      <c r="E57" s="192"/>
      <c r="F57" s="214" t="s">
        <v>18</v>
      </c>
      <c r="G57" s="192"/>
      <c r="H57" s="192"/>
      <c r="I57" s="192"/>
      <c r="J57" s="195"/>
      <c r="K57" s="195"/>
      <c r="L57" s="195"/>
      <c r="M57" s="195"/>
      <c r="N57" s="195"/>
      <c r="O57" s="195"/>
      <c r="P57" s="195"/>
      <c r="Q57" s="20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</row>
    <row r="58" spans="1:44" s="102" customFormat="1" ht="12" customHeight="1">
      <c r="A58" s="117">
        <v>23</v>
      </c>
      <c r="B58" s="102" t="s">
        <v>297</v>
      </c>
      <c r="C58" s="206">
        <v>45734</v>
      </c>
      <c r="D58" s="192">
        <v>15.4</v>
      </c>
      <c r="E58" s="192"/>
      <c r="F58" s="214" t="s">
        <v>18</v>
      </c>
      <c r="G58" s="192"/>
      <c r="H58" s="192"/>
      <c r="I58" s="192"/>
      <c r="J58" s="195"/>
      <c r="K58" s="195"/>
      <c r="L58" s="195"/>
      <c r="M58" s="195"/>
      <c r="N58" s="195"/>
      <c r="O58" s="195"/>
      <c r="P58" s="195"/>
      <c r="Q58" s="20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</row>
    <row r="59" spans="1:44" s="102" customFormat="1" ht="12" customHeight="1">
      <c r="A59" s="117">
        <v>24</v>
      </c>
      <c r="B59" s="102" t="s">
        <v>269</v>
      </c>
      <c r="C59" s="206">
        <v>45734</v>
      </c>
      <c r="D59" s="192">
        <v>16.57</v>
      </c>
      <c r="E59" s="192"/>
      <c r="F59" s="214" t="s">
        <v>18</v>
      </c>
      <c r="G59" s="192"/>
      <c r="H59" s="192"/>
      <c r="I59" s="192"/>
      <c r="J59" s="195"/>
      <c r="K59" s="195"/>
      <c r="L59" s="195"/>
      <c r="M59" s="195"/>
      <c r="N59" s="195"/>
      <c r="O59" s="195"/>
      <c r="P59" s="195"/>
      <c r="Q59" s="20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</row>
    <row r="60" spans="1:44" s="102" customFormat="1" ht="12" customHeight="1">
      <c r="A60" s="117">
        <v>25</v>
      </c>
      <c r="B60" s="102" t="s">
        <v>263</v>
      </c>
      <c r="C60" s="206">
        <v>45728</v>
      </c>
      <c r="D60" s="192">
        <v>12.3</v>
      </c>
      <c r="E60" s="192"/>
      <c r="F60" s="214" t="s">
        <v>18</v>
      </c>
      <c r="G60" s="192"/>
      <c r="H60" s="192"/>
      <c r="I60" s="192"/>
      <c r="J60" s="195"/>
      <c r="K60" s="195"/>
      <c r="L60" s="195"/>
      <c r="M60" s="195"/>
      <c r="N60" s="195"/>
      <c r="O60" s="195"/>
      <c r="P60" s="195"/>
      <c r="Q60" s="20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1"/>
      <c r="AJ60" s="461"/>
      <c r="AK60" s="461"/>
      <c r="AL60" s="461"/>
      <c r="AM60" s="461"/>
      <c r="AN60" s="461"/>
      <c r="AO60" s="461"/>
      <c r="AP60" s="461"/>
      <c r="AQ60" s="461"/>
      <c r="AR60" s="461"/>
    </row>
    <row r="61" spans="1:44" s="102" customFormat="1" ht="12" customHeight="1">
      <c r="A61" s="117">
        <v>27</v>
      </c>
      <c r="B61" s="102" t="s">
        <v>264</v>
      </c>
      <c r="C61" s="206">
        <v>45734</v>
      </c>
      <c r="D61" s="192">
        <v>14.25</v>
      </c>
      <c r="E61" s="192"/>
      <c r="F61" s="214" t="s">
        <v>18</v>
      </c>
      <c r="G61" s="192"/>
      <c r="H61" s="192"/>
      <c r="I61" s="192"/>
      <c r="J61" s="195"/>
      <c r="K61" s="195"/>
      <c r="L61" s="195"/>
      <c r="M61" s="195"/>
      <c r="N61" s="195"/>
      <c r="O61" s="195"/>
      <c r="P61" s="195"/>
      <c r="Q61" s="201"/>
      <c r="R61" s="461"/>
      <c r="S61" s="461"/>
      <c r="T61" s="461"/>
      <c r="U61" s="461"/>
      <c r="V61" s="461"/>
      <c r="W61" s="461"/>
      <c r="X61" s="461"/>
      <c r="Y61" s="461"/>
      <c r="Z61" s="461"/>
      <c r="AA61" s="461"/>
      <c r="AB61" s="461"/>
      <c r="AC61" s="461"/>
      <c r="AD61" s="461"/>
      <c r="AE61" s="461"/>
      <c r="AF61" s="461"/>
      <c r="AG61" s="461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</row>
    <row r="62" spans="1:44" s="102" customFormat="1" ht="12" customHeight="1">
      <c r="A62" s="118">
        <v>29</v>
      </c>
      <c r="B62" s="102" t="s">
        <v>295</v>
      </c>
      <c r="C62" s="206">
        <v>45728</v>
      </c>
      <c r="D62" s="192">
        <v>14.6</v>
      </c>
      <c r="E62" s="192">
        <v>1.6</v>
      </c>
      <c r="F62" s="214" t="s">
        <v>18</v>
      </c>
      <c r="G62" s="192"/>
      <c r="H62" s="192"/>
      <c r="I62" s="192"/>
      <c r="J62" s="195"/>
      <c r="K62" s="195"/>
      <c r="L62" s="195"/>
      <c r="M62" s="195"/>
      <c r="N62" s="195"/>
      <c r="O62" s="195"/>
      <c r="P62" s="195"/>
      <c r="Q62" s="201"/>
      <c r="R62" s="461"/>
      <c r="S62" s="461"/>
      <c r="T62" s="461"/>
      <c r="U62" s="461"/>
      <c r="V62" s="461"/>
      <c r="W62" s="461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  <c r="AJ62" s="461"/>
      <c r="AK62" s="461"/>
      <c r="AL62" s="461"/>
      <c r="AM62" s="461"/>
      <c r="AN62" s="461"/>
      <c r="AO62" s="461"/>
      <c r="AP62" s="461"/>
      <c r="AQ62" s="461"/>
      <c r="AR62" s="461"/>
    </row>
    <row r="63" spans="1:44" s="102" customFormat="1" ht="12" customHeight="1">
      <c r="A63" s="118">
        <v>30</v>
      </c>
      <c r="B63" s="102" t="s">
        <v>296</v>
      </c>
      <c r="C63" s="206">
        <v>45728</v>
      </c>
      <c r="D63" s="192">
        <v>14.55</v>
      </c>
      <c r="E63" s="192"/>
      <c r="F63" s="214" t="s">
        <v>18</v>
      </c>
      <c r="G63" s="192"/>
      <c r="H63" s="192"/>
      <c r="I63" s="192"/>
      <c r="J63" s="195"/>
      <c r="K63" s="195"/>
      <c r="L63" s="195"/>
      <c r="M63" s="195"/>
      <c r="N63" s="195"/>
      <c r="O63" s="195"/>
      <c r="P63" s="195"/>
      <c r="Q63" s="20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</row>
    <row r="64" spans="1:44">
      <c r="A64" s="1">
        <v>200</v>
      </c>
      <c r="B64" s="62" t="s">
        <v>97</v>
      </c>
      <c r="C64" s="593"/>
      <c r="D64" s="590" t="s">
        <v>407</v>
      </c>
      <c r="E64" s="268"/>
      <c r="F64" s="269"/>
      <c r="G64" s="268"/>
      <c r="H64" s="268"/>
      <c r="I64" s="268"/>
      <c r="J64" s="268"/>
      <c r="K64" s="269"/>
      <c r="L64" s="269"/>
      <c r="M64" s="269"/>
      <c r="N64" s="269"/>
      <c r="O64" s="195"/>
      <c r="P64" s="195"/>
      <c r="Q64" s="199"/>
      <c r="R64" s="462"/>
      <c r="S64" s="463"/>
      <c r="T64" s="464"/>
      <c r="U64" s="464"/>
      <c r="V64" s="460"/>
      <c r="W64" s="460"/>
      <c r="X64" s="460"/>
      <c r="Y64" s="460"/>
      <c r="Z64" s="460"/>
      <c r="AA64" s="460"/>
      <c r="AB64" s="460"/>
      <c r="AC64" s="460"/>
      <c r="AD64" s="460"/>
      <c r="AE64" s="460"/>
      <c r="AF64" s="460"/>
      <c r="AG64" s="460"/>
      <c r="AH64" s="460"/>
      <c r="AI64" s="460"/>
      <c r="AJ64" s="460"/>
      <c r="AK64" s="460"/>
      <c r="AL64" s="460"/>
      <c r="AM64" s="460"/>
      <c r="AN64" s="460"/>
      <c r="AO64" s="460"/>
      <c r="AP64" s="460"/>
      <c r="AQ64" s="460"/>
      <c r="AR64" s="460"/>
    </row>
    <row r="65" spans="1:44" s="460" customFormat="1" ht="17.25" customHeight="1">
      <c r="A65" s="473">
        <v>250</v>
      </c>
      <c r="B65" s="474" t="s">
        <v>23</v>
      </c>
      <c r="C65" s="594"/>
      <c r="D65" s="591"/>
      <c r="E65" s="591"/>
      <c r="F65" s="556"/>
      <c r="G65" s="591"/>
      <c r="H65" s="591"/>
      <c r="I65" s="591"/>
      <c r="J65" s="591"/>
      <c r="K65" s="555"/>
      <c r="L65" s="555"/>
      <c r="M65" s="555"/>
      <c r="N65" s="555"/>
      <c r="O65" s="555"/>
      <c r="P65" s="555"/>
      <c r="Q65" s="512"/>
      <c r="R65" s="465"/>
      <c r="S65" s="463"/>
      <c r="T65" s="464"/>
      <c r="U65" s="464"/>
    </row>
    <row r="66" spans="1:44" s="110" customFormat="1" ht="12" customHeight="1">
      <c r="A66" s="117">
        <v>3</v>
      </c>
      <c r="B66" s="102" t="s">
        <v>252</v>
      </c>
      <c r="C66" s="206">
        <v>45761</v>
      </c>
      <c r="D66" s="192">
        <v>9.98</v>
      </c>
      <c r="E66" s="192"/>
      <c r="F66" s="214" t="s">
        <v>18</v>
      </c>
      <c r="G66" s="192"/>
      <c r="H66" s="192"/>
      <c r="I66" s="192"/>
      <c r="J66" s="192"/>
      <c r="K66" s="195"/>
      <c r="L66" s="195"/>
      <c r="M66" s="197"/>
      <c r="N66" s="197"/>
      <c r="O66" s="197"/>
      <c r="P66" s="197"/>
      <c r="Q66" s="199"/>
      <c r="R66" s="467"/>
      <c r="S66" s="467"/>
      <c r="T66" s="467"/>
      <c r="U66" s="467"/>
      <c r="V66" s="467"/>
      <c r="W66" s="467"/>
      <c r="X66" s="467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7"/>
      <c r="AJ66" s="467"/>
      <c r="AK66" s="467"/>
      <c r="AL66" s="467"/>
      <c r="AM66" s="467"/>
      <c r="AN66" s="467"/>
      <c r="AO66" s="467"/>
      <c r="AP66" s="467"/>
      <c r="AQ66" s="467"/>
      <c r="AR66" s="467"/>
    </row>
    <row r="67" spans="1:44" s="110" customFormat="1" ht="12" customHeight="1">
      <c r="A67" s="117">
        <v>6</v>
      </c>
      <c r="B67" s="102" t="s">
        <v>265</v>
      </c>
      <c r="C67" s="206">
        <v>45761</v>
      </c>
      <c r="D67" s="192">
        <v>8.5399999999999991</v>
      </c>
      <c r="E67" s="198"/>
      <c r="F67" s="214" t="s">
        <v>18</v>
      </c>
      <c r="G67" s="192"/>
      <c r="H67" s="198"/>
      <c r="I67" s="192"/>
      <c r="J67" s="195"/>
      <c r="K67" s="195"/>
      <c r="L67" s="195"/>
      <c r="M67" s="197"/>
      <c r="N67" s="197"/>
      <c r="O67" s="197"/>
      <c r="P67" s="197"/>
      <c r="Q67" s="199"/>
      <c r="R67" s="467"/>
      <c r="S67" s="467"/>
      <c r="T67" s="467"/>
      <c r="U67" s="467"/>
      <c r="V67" s="467"/>
      <c r="W67" s="467"/>
      <c r="X67" s="467"/>
      <c r="Y67" s="467"/>
      <c r="Z67" s="467"/>
      <c r="AA67" s="467"/>
      <c r="AB67" s="467"/>
      <c r="AC67" s="467"/>
      <c r="AD67" s="467"/>
      <c r="AE67" s="467"/>
      <c r="AF67" s="467"/>
      <c r="AG67" s="467"/>
      <c r="AH67" s="467"/>
      <c r="AI67" s="467"/>
      <c r="AJ67" s="467"/>
      <c r="AK67" s="467"/>
      <c r="AL67" s="467"/>
      <c r="AM67" s="467"/>
      <c r="AN67" s="467"/>
      <c r="AO67" s="467"/>
      <c r="AP67" s="467"/>
      <c r="AQ67" s="467"/>
      <c r="AR67" s="467"/>
    </row>
    <row r="68" spans="1:44" s="110" customFormat="1" ht="12" customHeight="1">
      <c r="A68" s="117">
        <v>7</v>
      </c>
      <c r="B68" s="102" t="s">
        <v>254</v>
      </c>
      <c r="C68" s="206">
        <v>45761</v>
      </c>
      <c r="D68" s="192">
        <v>11.89</v>
      </c>
      <c r="E68" s="198"/>
      <c r="F68" s="214" t="s">
        <v>18</v>
      </c>
      <c r="G68" s="192"/>
      <c r="H68" s="198"/>
      <c r="I68" s="192"/>
      <c r="J68" s="195"/>
      <c r="K68" s="195"/>
      <c r="L68" s="195"/>
      <c r="M68" s="197"/>
      <c r="N68" s="197"/>
      <c r="O68" s="197"/>
      <c r="P68" s="197"/>
      <c r="Q68" s="199"/>
      <c r="R68" s="467"/>
      <c r="S68" s="467"/>
      <c r="T68" s="467"/>
      <c r="U68" s="467"/>
      <c r="V68" s="467"/>
      <c r="W68" s="467"/>
      <c r="X68" s="467"/>
      <c r="Y68" s="467"/>
      <c r="Z68" s="467"/>
      <c r="AA68" s="467"/>
      <c r="AB68" s="467"/>
      <c r="AC68" s="467"/>
      <c r="AD68" s="467"/>
      <c r="AE68" s="467"/>
      <c r="AF68" s="467"/>
      <c r="AG68" s="467"/>
      <c r="AH68" s="467"/>
      <c r="AI68" s="467"/>
      <c r="AJ68" s="467"/>
      <c r="AK68" s="467"/>
      <c r="AL68" s="467"/>
      <c r="AM68" s="467"/>
      <c r="AN68" s="467"/>
      <c r="AO68" s="467"/>
      <c r="AP68" s="467"/>
      <c r="AQ68" s="467"/>
      <c r="AR68" s="467"/>
    </row>
    <row r="69" spans="1:44" s="102" customFormat="1" ht="12" customHeight="1">
      <c r="A69" s="117">
        <v>11</v>
      </c>
      <c r="B69" s="102" t="s">
        <v>256</v>
      </c>
      <c r="C69" s="206">
        <v>45761</v>
      </c>
      <c r="D69" s="192">
        <v>10.88</v>
      </c>
      <c r="E69" s="192"/>
      <c r="F69" s="214" t="s">
        <v>18</v>
      </c>
      <c r="G69" s="192"/>
      <c r="H69" s="192"/>
      <c r="I69" s="192"/>
      <c r="J69" s="195"/>
      <c r="K69" s="195"/>
      <c r="L69" s="195"/>
      <c r="M69" s="195"/>
      <c r="N69" s="195"/>
      <c r="O69" s="195"/>
      <c r="P69" s="195"/>
      <c r="Q69" s="199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</row>
    <row r="70" spans="1:44" s="102" customFormat="1" ht="12" customHeight="1">
      <c r="A70" s="118">
        <v>19</v>
      </c>
      <c r="B70" s="102" t="s">
        <v>260</v>
      </c>
      <c r="C70" s="206">
        <v>45761</v>
      </c>
      <c r="D70" s="192">
        <v>10.5</v>
      </c>
      <c r="E70" s="192"/>
      <c r="F70" s="214" t="s">
        <v>18</v>
      </c>
      <c r="G70" s="192"/>
      <c r="H70" s="192"/>
      <c r="I70" s="192"/>
      <c r="J70" s="192"/>
      <c r="K70" s="195"/>
      <c r="L70" s="195"/>
      <c r="M70" s="195"/>
      <c r="N70" s="195"/>
      <c r="O70" s="195"/>
      <c r="P70" s="195"/>
      <c r="Q70" s="199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</row>
    <row r="71" spans="1:44" s="102" customFormat="1" ht="12" customHeight="1">
      <c r="A71" s="118">
        <v>20</v>
      </c>
      <c r="B71" s="102" t="s">
        <v>267</v>
      </c>
      <c r="C71" s="206">
        <v>45761</v>
      </c>
      <c r="D71" s="192">
        <v>12.59</v>
      </c>
      <c r="E71" s="192"/>
      <c r="F71" s="214" t="s">
        <v>18</v>
      </c>
      <c r="G71" s="192"/>
      <c r="H71" s="192"/>
      <c r="I71" s="192"/>
      <c r="J71" s="192"/>
      <c r="K71" s="195"/>
      <c r="L71" s="195"/>
      <c r="M71" s="195"/>
      <c r="N71" s="195"/>
      <c r="O71" s="195"/>
      <c r="P71" s="195"/>
      <c r="Q71" s="199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  <c r="AL71" s="461"/>
      <c r="AM71" s="461"/>
      <c r="AN71" s="461"/>
      <c r="AO71" s="461"/>
      <c r="AP71" s="461"/>
      <c r="AQ71" s="461"/>
      <c r="AR71" s="461"/>
    </row>
    <row r="72" spans="1:44" s="102" customFormat="1" ht="12" customHeight="1">
      <c r="A72" s="117">
        <v>21</v>
      </c>
      <c r="B72" s="102" t="s">
        <v>261</v>
      </c>
      <c r="C72" s="206">
        <v>45761</v>
      </c>
      <c r="D72" s="192">
        <v>12.15</v>
      </c>
      <c r="E72" s="192"/>
      <c r="F72" s="214" t="s">
        <v>18</v>
      </c>
      <c r="G72" s="192"/>
      <c r="H72" s="192"/>
      <c r="I72" s="192"/>
      <c r="J72" s="195"/>
      <c r="K72" s="195"/>
      <c r="L72" s="195"/>
      <c r="M72" s="195"/>
      <c r="N72" s="195"/>
      <c r="O72" s="195"/>
      <c r="P72" s="195"/>
      <c r="Q72" s="199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61"/>
      <c r="AN72" s="461"/>
      <c r="AO72" s="461"/>
      <c r="AP72" s="461"/>
      <c r="AQ72" s="461"/>
      <c r="AR72" s="461"/>
    </row>
    <row r="73" spans="1:44" s="102" customFormat="1" ht="12" customHeight="1">
      <c r="A73" s="117">
        <v>25</v>
      </c>
      <c r="B73" s="102" t="s">
        <v>263</v>
      </c>
      <c r="C73" s="206">
        <v>45761</v>
      </c>
      <c r="D73" s="192">
        <v>11.58</v>
      </c>
      <c r="E73" s="192"/>
      <c r="F73" s="214" t="s">
        <v>18</v>
      </c>
      <c r="G73" s="192"/>
      <c r="H73" s="192"/>
      <c r="I73" s="192"/>
      <c r="J73" s="195"/>
      <c r="K73" s="195"/>
      <c r="L73" s="195"/>
      <c r="M73" s="195"/>
      <c r="N73" s="195"/>
      <c r="O73" s="195"/>
      <c r="P73" s="195"/>
      <c r="Q73" s="199"/>
      <c r="R73" s="461"/>
      <c r="S73" s="461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1"/>
      <c r="AP73" s="461"/>
      <c r="AQ73" s="461"/>
      <c r="AR73" s="461"/>
    </row>
    <row r="74" spans="1:44" s="102" customFormat="1" ht="12" customHeight="1">
      <c r="A74" s="118">
        <v>29</v>
      </c>
      <c r="B74" s="102" t="s">
        <v>295</v>
      </c>
      <c r="C74" s="206">
        <v>45761</v>
      </c>
      <c r="D74" s="192">
        <v>11.78</v>
      </c>
      <c r="E74" s="192">
        <v>3.4</v>
      </c>
      <c r="F74" s="214" t="s">
        <v>18</v>
      </c>
      <c r="G74" s="192"/>
      <c r="H74" s="192"/>
      <c r="I74" s="192"/>
      <c r="J74" s="195"/>
      <c r="K74" s="195"/>
      <c r="L74" s="195"/>
      <c r="M74" s="195"/>
      <c r="N74" s="195"/>
      <c r="O74" s="195"/>
      <c r="P74" s="195"/>
      <c r="Q74" s="199"/>
      <c r="R74" s="46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</row>
    <row r="75" spans="1:44" s="102" customFormat="1" ht="12" customHeight="1">
      <c r="A75" s="118">
        <v>30</v>
      </c>
      <c r="B75" s="102" t="s">
        <v>296</v>
      </c>
      <c r="C75" s="206">
        <v>45761</v>
      </c>
      <c r="D75" s="192">
        <v>11.41</v>
      </c>
      <c r="E75" s="192"/>
      <c r="F75" s="214" t="s">
        <v>18</v>
      </c>
      <c r="G75" s="192"/>
      <c r="H75" s="192"/>
      <c r="I75" s="192"/>
      <c r="J75" s="195"/>
      <c r="K75" s="195"/>
      <c r="L75" s="195"/>
      <c r="M75" s="195"/>
      <c r="N75" s="195"/>
      <c r="O75" s="195"/>
      <c r="P75" s="195"/>
      <c r="Q75" s="199"/>
      <c r="R75" s="461"/>
      <c r="S75" s="461"/>
      <c r="T75" s="461"/>
      <c r="U75" s="461"/>
      <c r="V75" s="461"/>
      <c r="W75" s="461"/>
      <c r="X75" s="461"/>
      <c r="Y75" s="461"/>
      <c r="Z75" s="461"/>
      <c r="AA75" s="461"/>
      <c r="AB75" s="461"/>
      <c r="AC75" s="461"/>
      <c r="AD75" s="461"/>
      <c r="AE75" s="461"/>
      <c r="AF75" s="461"/>
      <c r="AG75" s="461"/>
      <c r="AH75" s="461"/>
      <c r="AI75" s="461"/>
      <c r="AJ75" s="461"/>
      <c r="AK75" s="461"/>
      <c r="AL75" s="461"/>
      <c r="AM75" s="461"/>
      <c r="AN75" s="461"/>
      <c r="AO75" s="461"/>
      <c r="AP75" s="461"/>
      <c r="AQ75" s="461"/>
      <c r="AR75" s="461"/>
    </row>
    <row r="76" spans="1:44">
      <c r="A76" s="1">
        <v>200</v>
      </c>
      <c r="B76" s="62" t="s">
        <v>97</v>
      </c>
      <c r="C76" s="593"/>
      <c r="D76" s="590" t="s">
        <v>431</v>
      </c>
      <c r="E76" s="268"/>
      <c r="F76" s="269"/>
      <c r="G76" s="268"/>
      <c r="H76" s="268"/>
      <c r="I76" s="268"/>
      <c r="J76" s="268"/>
      <c r="K76" s="269"/>
      <c r="L76" s="269"/>
      <c r="M76" s="269"/>
      <c r="N76" s="269"/>
      <c r="O76" s="269"/>
      <c r="P76" s="269"/>
      <c r="Q76" s="199"/>
      <c r="R76" s="462"/>
      <c r="S76" s="463"/>
      <c r="T76" s="464"/>
      <c r="U76" s="464"/>
      <c r="V76" s="460"/>
      <c r="W76" s="460"/>
      <c r="X76" s="460"/>
      <c r="Y76" s="460"/>
      <c r="Z76" s="460"/>
      <c r="AA76" s="460"/>
      <c r="AB76" s="460"/>
      <c r="AC76" s="460"/>
      <c r="AD76" s="460"/>
      <c r="AE76" s="460"/>
      <c r="AF76" s="460"/>
      <c r="AG76" s="460"/>
      <c r="AH76" s="460"/>
      <c r="AI76" s="460"/>
      <c r="AJ76" s="460"/>
      <c r="AK76" s="460"/>
      <c r="AL76" s="460"/>
      <c r="AM76" s="460"/>
      <c r="AN76" s="460"/>
      <c r="AO76" s="460"/>
      <c r="AP76" s="460"/>
      <c r="AQ76" s="460"/>
      <c r="AR76" s="460"/>
    </row>
    <row r="77" spans="1:44" s="460" customFormat="1" ht="17.25" customHeight="1">
      <c r="A77" s="473">
        <v>250</v>
      </c>
      <c r="B77" s="474" t="s">
        <v>24</v>
      </c>
      <c r="C77" s="595"/>
      <c r="D77" s="591"/>
      <c r="E77" s="591"/>
      <c r="F77" s="556"/>
      <c r="G77" s="591"/>
      <c r="H77" s="591"/>
      <c r="I77" s="591"/>
      <c r="J77" s="591"/>
      <c r="K77" s="555"/>
      <c r="L77" s="555"/>
      <c r="M77" s="555"/>
      <c r="N77" s="555"/>
      <c r="O77" s="555"/>
      <c r="P77" s="555"/>
      <c r="Q77" s="512"/>
      <c r="R77" s="465"/>
      <c r="S77" s="463"/>
      <c r="T77" s="464"/>
      <c r="U77" s="464"/>
    </row>
    <row r="78" spans="1:44" s="102" customFormat="1" ht="12" customHeight="1">
      <c r="A78" s="117">
        <v>3</v>
      </c>
      <c r="B78" s="102" t="s">
        <v>252</v>
      </c>
      <c r="C78" s="206" t="s">
        <v>435</v>
      </c>
      <c r="D78" s="192">
        <v>9.42</v>
      </c>
      <c r="E78" s="192"/>
      <c r="F78" s="214" t="s">
        <v>18</v>
      </c>
      <c r="G78" s="192"/>
      <c r="H78" s="192"/>
      <c r="I78" s="192"/>
      <c r="J78" s="195"/>
      <c r="K78" s="195"/>
      <c r="L78" s="195"/>
      <c r="M78" s="195"/>
      <c r="N78" s="195"/>
      <c r="O78" s="195"/>
      <c r="P78" s="195"/>
      <c r="Q78" s="199"/>
      <c r="R78" s="461"/>
      <c r="S78" s="461"/>
      <c r="T78" s="461"/>
      <c r="U78" s="461"/>
      <c r="V78" s="461"/>
      <c r="W78" s="461"/>
      <c r="X78" s="461"/>
      <c r="Y78" s="461"/>
      <c r="Z78" s="461"/>
      <c r="AA78" s="461"/>
      <c r="AB78" s="461"/>
      <c r="AC78" s="461"/>
      <c r="AD78" s="461"/>
      <c r="AE78" s="461"/>
      <c r="AF78" s="461"/>
      <c r="AG78" s="461"/>
      <c r="AH78" s="461"/>
      <c r="AI78" s="461"/>
      <c r="AJ78" s="461"/>
      <c r="AK78" s="461"/>
      <c r="AL78" s="461"/>
      <c r="AM78" s="461"/>
      <c r="AN78" s="461"/>
      <c r="AO78" s="461"/>
      <c r="AP78" s="461"/>
      <c r="AQ78" s="461"/>
      <c r="AR78" s="461"/>
    </row>
    <row r="79" spans="1:44" s="102" customFormat="1" ht="12" customHeight="1">
      <c r="A79" s="117">
        <v>5</v>
      </c>
      <c r="B79" s="102" t="s">
        <v>253</v>
      </c>
      <c r="C79" s="206" t="s">
        <v>435</v>
      </c>
      <c r="D79" s="192">
        <v>9.59</v>
      </c>
      <c r="E79" s="192"/>
      <c r="F79" s="214" t="s">
        <v>18</v>
      </c>
      <c r="G79" s="192"/>
      <c r="H79" s="192"/>
      <c r="I79" s="192"/>
      <c r="J79" s="195"/>
      <c r="K79" s="195"/>
      <c r="L79" s="195"/>
      <c r="M79" s="195"/>
      <c r="N79" s="195"/>
      <c r="O79" s="195"/>
      <c r="P79" s="195"/>
      <c r="Q79" s="199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  <c r="AL79" s="461"/>
      <c r="AM79" s="461"/>
      <c r="AN79" s="461"/>
      <c r="AO79" s="461"/>
      <c r="AP79" s="461"/>
      <c r="AQ79" s="461"/>
      <c r="AR79" s="461"/>
    </row>
    <row r="80" spans="1:44" s="102" customFormat="1" ht="12" customHeight="1">
      <c r="A80" s="117">
        <v>6</v>
      </c>
      <c r="B80" s="102" t="s">
        <v>265</v>
      </c>
      <c r="C80" s="206" t="s">
        <v>435</v>
      </c>
      <c r="D80" s="192">
        <v>10.39</v>
      </c>
      <c r="E80" s="192"/>
      <c r="F80" s="214" t="s">
        <v>18</v>
      </c>
      <c r="G80" s="192"/>
      <c r="H80" s="192"/>
      <c r="I80" s="192"/>
      <c r="J80" s="195"/>
      <c r="K80" s="195"/>
      <c r="L80" s="195"/>
      <c r="M80" s="195"/>
      <c r="N80" s="195"/>
      <c r="O80" s="195"/>
      <c r="P80" s="195"/>
      <c r="Q80" s="199"/>
      <c r="R80" s="461"/>
      <c r="S80" s="461"/>
      <c r="T80" s="461"/>
      <c r="U80" s="461"/>
      <c r="V80" s="461"/>
      <c r="W80" s="461"/>
      <c r="X80" s="461"/>
      <c r="Y80" s="461"/>
      <c r="Z80" s="461"/>
      <c r="AA80" s="461"/>
      <c r="AB80" s="461"/>
      <c r="AC80" s="461"/>
      <c r="AD80" s="461"/>
      <c r="AE80" s="461"/>
      <c r="AF80" s="461"/>
      <c r="AG80" s="461"/>
      <c r="AH80" s="461"/>
      <c r="AI80" s="461"/>
      <c r="AJ80" s="461"/>
      <c r="AK80" s="461"/>
      <c r="AL80" s="461"/>
      <c r="AM80" s="461"/>
      <c r="AN80" s="461"/>
      <c r="AO80" s="461"/>
      <c r="AP80" s="461"/>
      <c r="AQ80" s="461"/>
      <c r="AR80" s="461"/>
    </row>
    <row r="81" spans="1:44" s="102" customFormat="1" ht="12" customHeight="1">
      <c r="A81" s="117">
        <v>7</v>
      </c>
      <c r="B81" s="102" t="s">
        <v>254</v>
      </c>
      <c r="C81" s="206" t="s">
        <v>435</v>
      </c>
      <c r="D81" s="192">
        <v>13.05</v>
      </c>
      <c r="E81" s="192"/>
      <c r="F81" s="214" t="s">
        <v>18</v>
      </c>
      <c r="G81" s="192"/>
      <c r="H81" s="192"/>
      <c r="I81" s="192"/>
      <c r="J81" s="195"/>
      <c r="K81" s="195"/>
      <c r="L81" s="195"/>
      <c r="M81" s="195"/>
      <c r="N81" s="195"/>
      <c r="O81" s="195"/>
      <c r="P81" s="195"/>
      <c r="Q81" s="199"/>
      <c r="R81" s="461"/>
      <c r="S81" s="461"/>
      <c r="T81" s="461"/>
      <c r="U81" s="461"/>
      <c r="V81" s="461"/>
      <c r="W81" s="461"/>
      <c r="X81" s="461"/>
      <c r="Y81" s="461"/>
      <c r="Z81" s="461"/>
      <c r="AA81" s="461"/>
      <c r="AB81" s="461"/>
      <c r="AC81" s="461"/>
      <c r="AD81" s="461"/>
      <c r="AE81" s="461"/>
      <c r="AF81" s="461"/>
      <c r="AG81" s="461"/>
      <c r="AH81" s="461"/>
      <c r="AI81" s="461"/>
      <c r="AJ81" s="461"/>
      <c r="AK81" s="461"/>
      <c r="AL81" s="461"/>
      <c r="AM81" s="461"/>
      <c r="AN81" s="461"/>
      <c r="AO81" s="461"/>
      <c r="AP81" s="461"/>
      <c r="AQ81" s="461"/>
      <c r="AR81" s="461"/>
    </row>
    <row r="82" spans="1:44" s="102" customFormat="1" ht="12" customHeight="1">
      <c r="A82" s="117">
        <v>9</v>
      </c>
      <c r="B82" s="102" t="s">
        <v>255</v>
      </c>
      <c r="C82" s="206" t="s">
        <v>436</v>
      </c>
      <c r="D82" s="192">
        <v>8.43</v>
      </c>
      <c r="E82" s="192"/>
      <c r="F82" s="214" t="s">
        <v>18</v>
      </c>
      <c r="G82" s="192"/>
      <c r="H82" s="192"/>
      <c r="I82" s="192"/>
      <c r="J82" s="192"/>
      <c r="K82" s="195"/>
      <c r="L82" s="195"/>
      <c r="M82" s="195"/>
      <c r="N82" s="195"/>
      <c r="O82" s="195"/>
      <c r="P82" s="195"/>
      <c r="Q82" s="199"/>
      <c r="R82" s="461"/>
      <c r="S82" s="461"/>
      <c r="T82" s="461"/>
      <c r="U82" s="461"/>
      <c r="V82" s="461"/>
      <c r="W82" s="461"/>
      <c r="X82" s="461"/>
      <c r="Y82" s="461"/>
      <c r="Z82" s="461"/>
      <c r="AA82" s="461"/>
      <c r="AB82" s="461"/>
      <c r="AC82" s="461"/>
      <c r="AD82" s="461"/>
      <c r="AE82" s="461"/>
      <c r="AF82" s="461"/>
      <c r="AG82" s="461"/>
      <c r="AH82" s="461"/>
      <c r="AI82" s="461"/>
      <c r="AJ82" s="461"/>
      <c r="AK82" s="461"/>
      <c r="AL82" s="461"/>
      <c r="AM82" s="461"/>
      <c r="AN82" s="461"/>
      <c r="AO82" s="461"/>
      <c r="AP82" s="461"/>
      <c r="AQ82" s="461"/>
      <c r="AR82" s="461"/>
    </row>
    <row r="83" spans="1:44" s="102" customFormat="1" ht="12" customHeight="1">
      <c r="A83" s="117">
        <v>11</v>
      </c>
      <c r="B83" s="102" t="s">
        <v>256</v>
      </c>
      <c r="C83" s="206" t="s">
        <v>435</v>
      </c>
      <c r="D83" s="192">
        <v>10.52</v>
      </c>
      <c r="E83" s="192"/>
      <c r="F83" s="214" t="s">
        <v>18</v>
      </c>
      <c r="G83" s="192"/>
      <c r="H83" s="192"/>
      <c r="I83" s="192"/>
      <c r="J83" s="195"/>
      <c r="K83" s="195"/>
      <c r="L83" s="195"/>
      <c r="M83" s="195"/>
      <c r="N83" s="195"/>
      <c r="O83" s="195"/>
      <c r="P83" s="195"/>
      <c r="Q83" s="199"/>
      <c r="R83" s="461"/>
      <c r="S83" s="461"/>
      <c r="T83" s="461"/>
      <c r="U83" s="461"/>
      <c r="V83" s="461"/>
      <c r="W83" s="461"/>
      <c r="X83" s="461"/>
      <c r="Y83" s="461"/>
      <c r="Z83" s="461"/>
      <c r="AA83" s="461"/>
      <c r="AB83" s="461"/>
      <c r="AC83" s="461"/>
      <c r="AD83" s="461"/>
      <c r="AE83" s="461"/>
      <c r="AF83" s="461"/>
      <c r="AG83" s="461"/>
      <c r="AH83" s="461"/>
      <c r="AI83" s="461"/>
      <c r="AJ83" s="461"/>
      <c r="AK83" s="461"/>
      <c r="AL83" s="461"/>
      <c r="AM83" s="461"/>
      <c r="AN83" s="461"/>
      <c r="AO83" s="461"/>
      <c r="AP83" s="461"/>
      <c r="AQ83" s="461"/>
      <c r="AR83" s="461"/>
    </row>
    <row r="84" spans="1:44" s="102" customFormat="1" ht="12" customHeight="1">
      <c r="A84" s="117">
        <v>13</v>
      </c>
      <c r="B84" s="102" t="s">
        <v>257</v>
      </c>
      <c r="C84" s="206" t="s">
        <v>435</v>
      </c>
      <c r="D84" s="192">
        <v>10.88</v>
      </c>
      <c r="E84" s="192"/>
      <c r="F84" s="214" t="s">
        <v>18</v>
      </c>
      <c r="G84" s="192"/>
      <c r="H84" s="192"/>
      <c r="I84" s="192"/>
      <c r="J84" s="195"/>
      <c r="K84" s="195"/>
      <c r="L84" s="195"/>
      <c r="M84" s="195"/>
      <c r="N84" s="195"/>
      <c r="O84" s="195"/>
      <c r="P84" s="195"/>
      <c r="Q84" s="199"/>
      <c r="R84" s="461"/>
      <c r="S84" s="461"/>
      <c r="T84" s="461"/>
      <c r="U84" s="461"/>
      <c r="V84" s="461"/>
      <c r="W84" s="461"/>
      <c r="X84" s="461"/>
      <c r="Y84" s="461"/>
      <c r="Z84" s="461"/>
      <c r="AA84" s="461"/>
      <c r="AB84" s="461"/>
      <c r="AC84" s="461"/>
      <c r="AD84" s="461"/>
      <c r="AE84" s="461"/>
      <c r="AF84" s="461"/>
      <c r="AG84" s="461"/>
      <c r="AH84" s="461"/>
      <c r="AI84" s="461"/>
      <c r="AJ84" s="461"/>
      <c r="AK84" s="461"/>
      <c r="AL84" s="461"/>
      <c r="AM84" s="461"/>
      <c r="AN84" s="461"/>
      <c r="AO84" s="461"/>
      <c r="AP84" s="461"/>
      <c r="AQ84" s="461"/>
      <c r="AR84" s="461"/>
    </row>
    <row r="85" spans="1:44" s="102" customFormat="1" ht="12" customHeight="1">
      <c r="A85" s="117">
        <v>15</v>
      </c>
      <c r="B85" s="102" t="s">
        <v>258</v>
      </c>
      <c r="C85" s="206" t="s">
        <v>435</v>
      </c>
      <c r="D85" s="192">
        <v>10.98</v>
      </c>
      <c r="E85" s="192"/>
      <c r="F85" s="214" t="s">
        <v>18</v>
      </c>
      <c r="G85" s="192"/>
      <c r="H85" s="192"/>
      <c r="I85" s="192"/>
      <c r="J85" s="195"/>
      <c r="K85" s="195"/>
      <c r="L85" s="195"/>
      <c r="M85" s="195"/>
      <c r="N85" s="195"/>
      <c r="O85" s="195"/>
      <c r="P85" s="195"/>
      <c r="Q85" s="199"/>
      <c r="R85" s="461"/>
      <c r="S85" s="461"/>
      <c r="T85" s="461"/>
      <c r="U85" s="461"/>
      <c r="V85" s="461"/>
      <c r="W85" s="461"/>
      <c r="X85" s="461"/>
      <c r="Y85" s="461"/>
      <c r="Z85" s="461"/>
      <c r="AA85" s="461"/>
      <c r="AB85" s="461"/>
      <c r="AC85" s="461"/>
      <c r="AD85" s="461"/>
      <c r="AE85" s="461"/>
      <c r="AF85" s="461"/>
      <c r="AG85" s="461"/>
      <c r="AH85" s="461"/>
      <c r="AI85" s="461"/>
      <c r="AJ85" s="461"/>
      <c r="AK85" s="461"/>
      <c r="AL85" s="461"/>
      <c r="AM85" s="461"/>
      <c r="AN85" s="461"/>
      <c r="AO85" s="461"/>
      <c r="AP85" s="461"/>
      <c r="AQ85" s="461"/>
      <c r="AR85" s="461"/>
    </row>
    <row r="86" spans="1:44" s="102" customFormat="1" ht="12" customHeight="1">
      <c r="A86" s="117">
        <v>17</v>
      </c>
      <c r="B86" s="102" t="s">
        <v>259</v>
      </c>
      <c r="C86" s="206" t="s">
        <v>435</v>
      </c>
      <c r="D86" s="192">
        <v>11.03</v>
      </c>
      <c r="E86" s="192"/>
      <c r="F86" s="214" t="s">
        <v>18</v>
      </c>
      <c r="G86" s="192"/>
      <c r="H86" s="192"/>
      <c r="I86" s="192"/>
      <c r="J86" s="195"/>
      <c r="K86" s="195"/>
      <c r="L86" s="195"/>
      <c r="M86" s="195"/>
      <c r="N86" s="195"/>
      <c r="O86" s="195"/>
      <c r="P86" s="195"/>
      <c r="Q86" s="199"/>
      <c r="R86" s="461"/>
      <c r="S86" s="461"/>
      <c r="T86" s="461"/>
      <c r="U86" s="461"/>
      <c r="V86" s="461"/>
      <c r="W86" s="461"/>
      <c r="X86" s="461"/>
      <c r="Y86" s="461"/>
      <c r="Z86" s="461"/>
      <c r="AA86" s="461"/>
      <c r="AB86" s="461"/>
      <c r="AC86" s="461"/>
      <c r="AD86" s="461"/>
      <c r="AE86" s="461"/>
      <c r="AF86" s="461"/>
      <c r="AG86" s="461"/>
      <c r="AH86" s="461"/>
      <c r="AI86" s="461"/>
      <c r="AJ86" s="461"/>
      <c r="AK86" s="461"/>
      <c r="AL86" s="461"/>
      <c r="AM86" s="461"/>
      <c r="AN86" s="461"/>
      <c r="AO86" s="461"/>
      <c r="AP86" s="461"/>
      <c r="AQ86" s="461"/>
      <c r="AR86" s="461"/>
    </row>
    <row r="87" spans="1:44" s="102" customFormat="1" ht="12" customHeight="1">
      <c r="A87" s="117">
        <v>18</v>
      </c>
      <c r="B87" s="102" t="s">
        <v>266</v>
      </c>
      <c r="C87" s="206" t="s">
        <v>436</v>
      </c>
      <c r="D87" s="192">
        <v>11.53</v>
      </c>
      <c r="E87" s="192"/>
      <c r="F87" s="214" t="s">
        <v>18</v>
      </c>
      <c r="G87" s="192"/>
      <c r="H87" s="192"/>
      <c r="I87" s="192"/>
      <c r="J87" s="195"/>
      <c r="K87" s="195"/>
      <c r="L87" s="195"/>
      <c r="M87" s="195"/>
      <c r="N87" s="195"/>
      <c r="O87" s="195"/>
      <c r="P87" s="195"/>
      <c r="Q87" s="199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B87" s="461"/>
      <c r="AC87" s="461"/>
      <c r="AD87" s="461"/>
      <c r="AE87" s="461"/>
      <c r="AF87" s="461"/>
      <c r="AG87" s="461"/>
      <c r="AH87" s="461"/>
      <c r="AI87" s="461"/>
      <c r="AJ87" s="461"/>
      <c r="AK87" s="461"/>
      <c r="AL87" s="461"/>
      <c r="AM87" s="461"/>
      <c r="AN87" s="461"/>
      <c r="AO87" s="461"/>
      <c r="AP87" s="461"/>
      <c r="AQ87" s="461"/>
      <c r="AR87" s="461"/>
    </row>
    <row r="88" spans="1:44" s="102" customFormat="1" ht="12" customHeight="1">
      <c r="A88" s="118">
        <v>19</v>
      </c>
      <c r="B88" s="102" t="s">
        <v>260</v>
      </c>
      <c r="C88" s="206" t="s">
        <v>435</v>
      </c>
      <c r="D88" s="192">
        <v>10.050000000000001</v>
      </c>
      <c r="E88" s="192"/>
      <c r="F88" s="214" t="s">
        <v>18</v>
      </c>
      <c r="G88" s="192"/>
      <c r="H88" s="192"/>
      <c r="I88" s="192"/>
      <c r="J88" s="195"/>
      <c r="K88" s="195"/>
      <c r="L88" s="195"/>
      <c r="M88" s="195"/>
      <c r="N88" s="195"/>
      <c r="O88" s="195"/>
      <c r="P88" s="195"/>
      <c r="Q88" s="199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B88" s="461"/>
      <c r="AC88" s="461"/>
      <c r="AD88" s="461"/>
      <c r="AE88" s="461"/>
      <c r="AF88" s="461"/>
      <c r="AG88" s="461"/>
      <c r="AH88" s="461"/>
      <c r="AI88" s="461"/>
      <c r="AJ88" s="461"/>
      <c r="AK88" s="461"/>
      <c r="AL88" s="461"/>
      <c r="AM88" s="461"/>
      <c r="AN88" s="461"/>
      <c r="AO88" s="461"/>
      <c r="AP88" s="461"/>
      <c r="AQ88" s="461"/>
      <c r="AR88" s="461"/>
    </row>
    <row r="89" spans="1:44" s="102" customFormat="1" ht="12" customHeight="1">
      <c r="A89" s="118">
        <v>20</v>
      </c>
      <c r="B89" s="102" t="s">
        <v>267</v>
      </c>
      <c r="C89" s="206" t="s">
        <v>435</v>
      </c>
      <c r="D89" s="192">
        <v>10.1</v>
      </c>
      <c r="E89" s="192"/>
      <c r="F89" s="214" t="s">
        <v>18</v>
      </c>
      <c r="G89" s="192"/>
      <c r="H89" s="192"/>
      <c r="I89" s="192"/>
      <c r="J89" s="195"/>
      <c r="K89" s="195"/>
      <c r="L89" s="195"/>
      <c r="M89" s="195"/>
      <c r="N89" s="195"/>
      <c r="O89" s="195"/>
      <c r="P89" s="195"/>
      <c r="Q89" s="199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B89" s="461"/>
      <c r="AC89" s="461"/>
      <c r="AD89" s="461"/>
      <c r="AE89" s="461"/>
      <c r="AF89" s="461"/>
      <c r="AG89" s="461"/>
      <c r="AH89" s="461"/>
      <c r="AI89" s="461"/>
      <c r="AJ89" s="461"/>
      <c r="AK89" s="461"/>
      <c r="AL89" s="461"/>
      <c r="AM89" s="461"/>
      <c r="AN89" s="461"/>
      <c r="AO89" s="461"/>
      <c r="AP89" s="461"/>
      <c r="AQ89" s="461"/>
      <c r="AR89" s="461"/>
    </row>
    <row r="90" spans="1:44" s="102" customFormat="1" ht="12" customHeight="1">
      <c r="A90" s="117">
        <v>21</v>
      </c>
      <c r="B90" s="102" t="s">
        <v>261</v>
      </c>
      <c r="C90" s="206" t="s">
        <v>435</v>
      </c>
      <c r="D90" s="192">
        <v>11.59</v>
      </c>
      <c r="E90" s="192"/>
      <c r="F90" s="214" t="s">
        <v>18</v>
      </c>
      <c r="G90" s="192"/>
      <c r="H90" s="192"/>
      <c r="I90" s="192"/>
      <c r="J90" s="195"/>
      <c r="K90" s="195"/>
      <c r="L90" s="195"/>
      <c r="M90" s="195"/>
      <c r="N90" s="195"/>
      <c r="O90" s="195"/>
      <c r="P90" s="195"/>
      <c r="Q90" s="199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</row>
    <row r="91" spans="1:44" s="102" customFormat="1" ht="12" customHeight="1">
      <c r="A91" s="117">
        <v>22</v>
      </c>
      <c r="B91" s="102" t="s">
        <v>268</v>
      </c>
      <c r="C91" s="206" t="s">
        <v>435</v>
      </c>
      <c r="D91" s="192">
        <v>10.73</v>
      </c>
      <c r="E91" s="192"/>
      <c r="F91" s="214" t="s">
        <v>18</v>
      </c>
      <c r="G91" s="192"/>
      <c r="H91" s="192"/>
      <c r="I91" s="192"/>
      <c r="J91" s="195"/>
      <c r="K91" s="195"/>
      <c r="L91" s="195"/>
      <c r="M91" s="195"/>
      <c r="N91" s="195"/>
      <c r="O91" s="195"/>
      <c r="P91" s="195"/>
      <c r="Q91" s="199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  <c r="AL91" s="461"/>
      <c r="AM91" s="461"/>
      <c r="AN91" s="461"/>
      <c r="AO91" s="461"/>
      <c r="AP91" s="461"/>
      <c r="AQ91" s="461"/>
      <c r="AR91" s="461"/>
    </row>
    <row r="92" spans="1:44" s="102" customFormat="1" ht="12" customHeight="1">
      <c r="A92" s="117">
        <v>23</v>
      </c>
      <c r="B92" s="102" t="s">
        <v>297</v>
      </c>
      <c r="C92" s="206" t="s">
        <v>435</v>
      </c>
      <c r="D92" s="192">
        <v>11.5</v>
      </c>
      <c r="E92" s="192"/>
      <c r="F92" s="214" t="s">
        <v>18</v>
      </c>
      <c r="G92" s="192"/>
      <c r="H92" s="192"/>
      <c r="I92" s="192"/>
      <c r="J92" s="195"/>
      <c r="K92" s="195"/>
      <c r="L92" s="195"/>
      <c r="M92" s="195"/>
      <c r="N92" s="195"/>
      <c r="O92" s="195"/>
      <c r="P92" s="195"/>
      <c r="Q92" s="199"/>
      <c r="R92" s="461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  <c r="AL92" s="461"/>
      <c r="AM92" s="461"/>
      <c r="AN92" s="461"/>
      <c r="AO92" s="461"/>
      <c r="AP92" s="461"/>
      <c r="AQ92" s="461"/>
      <c r="AR92" s="461"/>
    </row>
    <row r="93" spans="1:44" s="102" customFormat="1" ht="12" customHeight="1">
      <c r="A93" s="117">
        <v>24</v>
      </c>
      <c r="B93" s="102" t="s">
        <v>269</v>
      </c>
      <c r="C93" s="206" t="s">
        <v>435</v>
      </c>
      <c r="D93" s="192">
        <v>12.1</v>
      </c>
      <c r="E93" s="192"/>
      <c r="F93" s="214" t="s">
        <v>18</v>
      </c>
      <c r="G93" s="192"/>
      <c r="H93" s="192"/>
      <c r="I93" s="192"/>
      <c r="J93" s="195"/>
      <c r="K93" s="195"/>
      <c r="L93" s="195"/>
      <c r="M93" s="195"/>
      <c r="N93" s="195"/>
      <c r="O93" s="195"/>
      <c r="P93" s="195"/>
      <c r="Q93" s="199"/>
      <c r="R93" s="461"/>
      <c r="S93" s="461"/>
      <c r="T93" s="461"/>
      <c r="U93" s="461"/>
      <c r="V93" s="461"/>
      <c r="W93" s="461"/>
      <c r="X93" s="461"/>
      <c r="Y93" s="461"/>
      <c r="Z93" s="461"/>
      <c r="AA93" s="461"/>
      <c r="AB93" s="461"/>
      <c r="AC93" s="461"/>
      <c r="AD93" s="461"/>
      <c r="AE93" s="461"/>
      <c r="AF93" s="461"/>
      <c r="AG93" s="461"/>
      <c r="AH93" s="461"/>
      <c r="AI93" s="461"/>
      <c r="AJ93" s="461"/>
      <c r="AK93" s="461"/>
      <c r="AL93" s="461"/>
      <c r="AM93" s="461"/>
      <c r="AN93" s="461"/>
      <c r="AO93" s="461"/>
      <c r="AP93" s="461"/>
      <c r="AQ93" s="461"/>
      <c r="AR93" s="461"/>
    </row>
    <row r="94" spans="1:44" s="102" customFormat="1" ht="12" customHeight="1">
      <c r="A94" s="117">
        <v>25</v>
      </c>
      <c r="B94" s="102" t="s">
        <v>263</v>
      </c>
      <c r="C94" s="206" t="s">
        <v>435</v>
      </c>
      <c r="D94" s="192">
        <v>9.8800000000000008</v>
      </c>
      <c r="E94" s="192"/>
      <c r="F94" s="214" t="s">
        <v>18</v>
      </c>
      <c r="G94" s="192"/>
      <c r="H94" s="192"/>
      <c r="I94" s="192"/>
      <c r="J94" s="195"/>
      <c r="K94" s="195"/>
      <c r="L94" s="195"/>
      <c r="M94" s="195"/>
      <c r="N94" s="195"/>
      <c r="O94" s="195"/>
      <c r="P94" s="195"/>
      <c r="Q94" s="199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</row>
    <row r="95" spans="1:44" s="102" customFormat="1" ht="12" customHeight="1">
      <c r="A95" s="117">
        <v>27</v>
      </c>
      <c r="B95" s="102" t="s">
        <v>264</v>
      </c>
      <c r="C95" s="206" t="s">
        <v>435</v>
      </c>
      <c r="D95" s="192">
        <v>10.3</v>
      </c>
      <c r="E95" s="192"/>
      <c r="F95" s="214" t="s">
        <v>18</v>
      </c>
      <c r="G95" s="192"/>
      <c r="H95" s="192"/>
      <c r="I95" s="192"/>
      <c r="J95" s="195"/>
      <c r="K95" s="195"/>
      <c r="L95" s="195"/>
      <c r="M95" s="195"/>
      <c r="N95" s="195"/>
      <c r="O95" s="195"/>
      <c r="P95" s="195"/>
      <c r="Q95" s="199"/>
      <c r="R95" s="461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  <c r="AL95" s="461"/>
      <c r="AM95" s="461"/>
      <c r="AN95" s="461"/>
      <c r="AO95" s="461"/>
      <c r="AP95" s="461"/>
      <c r="AQ95" s="461"/>
      <c r="AR95" s="461"/>
    </row>
    <row r="96" spans="1:44" s="102" customFormat="1" ht="12" customHeight="1">
      <c r="A96" s="118">
        <v>29</v>
      </c>
      <c r="B96" s="102" t="s">
        <v>295</v>
      </c>
      <c r="C96" s="206" t="s">
        <v>436</v>
      </c>
      <c r="D96" s="192">
        <v>10.79</v>
      </c>
      <c r="E96" s="192">
        <v>1.8</v>
      </c>
      <c r="F96" s="214" t="s">
        <v>18</v>
      </c>
      <c r="G96" s="192"/>
      <c r="H96" s="192"/>
      <c r="I96" s="192"/>
      <c r="J96" s="195"/>
      <c r="K96" s="195"/>
      <c r="L96" s="195"/>
      <c r="M96" s="195"/>
      <c r="N96" s="195"/>
      <c r="O96" s="195"/>
      <c r="P96" s="195"/>
      <c r="Q96" s="199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461"/>
      <c r="AK96" s="461"/>
      <c r="AL96" s="461"/>
      <c r="AM96" s="461"/>
      <c r="AN96" s="461"/>
      <c r="AO96" s="461"/>
      <c r="AP96" s="461"/>
      <c r="AQ96" s="461"/>
      <c r="AR96" s="461"/>
    </row>
    <row r="97" spans="1:44" s="102" customFormat="1" ht="12" customHeight="1">
      <c r="A97" s="118">
        <v>30</v>
      </c>
      <c r="B97" s="102" t="s">
        <v>296</v>
      </c>
      <c r="C97" s="206" t="s">
        <v>436</v>
      </c>
      <c r="D97" s="192">
        <v>10.52</v>
      </c>
      <c r="E97" s="192"/>
      <c r="F97" s="214" t="s">
        <v>18</v>
      </c>
      <c r="G97" s="192"/>
      <c r="H97" s="192"/>
      <c r="I97" s="192"/>
      <c r="J97" s="195"/>
      <c r="K97" s="195"/>
      <c r="L97" s="195"/>
      <c r="M97" s="195"/>
      <c r="N97" s="195"/>
      <c r="O97" s="195"/>
      <c r="P97" s="195"/>
      <c r="Q97" s="199"/>
      <c r="R97" s="461"/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  <c r="AE97" s="461"/>
      <c r="AF97" s="461"/>
      <c r="AG97" s="461"/>
      <c r="AH97" s="461"/>
      <c r="AI97" s="461"/>
      <c r="AJ97" s="461"/>
      <c r="AK97" s="461"/>
      <c r="AL97" s="461"/>
      <c r="AM97" s="461"/>
      <c r="AN97" s="461"/>
      <c r="AO97" s="461"/>
      <c r="AP97" s="461"/>
      <c r="AQ97" s="461"/>
      <c r="AR97" s="461"/>
    </row>
    <row r="98" spans="1:44">
      <c r="A98" s="1">
        <v>200</v>
      </c>
      <c r="B98" s="62" t="s">
        <v>97</v>
      </c>
      <c r="C98" s="592"/>
      <c r="D98" s="590" t="s">
        <v>407</v>
      </c>
      <c r="E98" s="268"/>
      <c r="F98" s="269"/>
      <c r="G98" s="268"/>
      <c r="H98" s="268"/>
      <c r="I98" s="268"/>
      <c r="J98" s="268"/>
      <c r="K98" s="269"/>
      <c r="L98" s="269"/>
      <c r="M98" s="269"/>
      <c r="N98" s="269"/>
      <c r="O98" s="269"/>
      <c r="P98" s="269"/>
      <c r="Q98" s="199"/>
      <c r="R98" s="462"/>
      <c r="S98" s="463"/>
      <c r="T98" s="464"/>
      <c r="U98" s="464"/>
      <c r="V98" s="460"/>
      <c r="W98" s="460"/>
      <c r="X98" s="460"/>
      <c r="Y98" s="460"/>
      <c r="Z98" s="460"/>
      <c r="AA98" s="460"/>
      <c r="AB98" s="460"/>
      <c r="AC98" s="460"/>
      <c r="AD98" s="460"/>
      <c r="AE98" s="460"/>
      <c r="AF98" s="460"/>
      <c r="AG98" s="460"/>
      <c r="AH98" s="460"/>
      <c r="AI98" s="460"/>
      <c r="AJ98" s="460"/>
      <c r="AK98" s="460"/>
      <c r="AL98" s="460"/>
      <c r="AM98" s="460"/>
      <c r="AN98" s="460"/>
      <c r="AO98" s="460"/>
      <c r="AP98" s="460"/>
      <c r="AQ98" s="460"/>
      <c r="AR98" s="460"/>
    </row>
    <row r="99" spans="1:44" s="460" customFormat="1" ht="17.25" customHeight="1">
      <c r="A99" s="473">
        <v>250</v>
      </c>
      <c r="B99" s="474" t="s">
        <v>25</v>
      </c>
      <c r="C99" s="594"/>
      <c r="D99" s="591"/>
      <c r="E99" s="591"/>
      <c r="F99" s="556"/>
      <c r="G99" s="591"/>
      <c r="H99" s="591"/>
      <c r="I99" s="591"/>
      <c r="J99" s="591"/>
      <c r="K99" s="555"/>
      <c r="L99" s="555"/>
      <c r="M99" s="555"/>
      <c r="N99" s="555"/>
      <c r="O99" s="555"/>
      <c r="P99" s="555"/>
      <c r="Q99" s="512"/>
      <c r="R99" s="465"/>
      <c r="S99" s="463"/>
      <c r="T99" s="464"/>
      <c r="U99" s="464"/>
    </row>
    <row r="100" spans="1:44" s="102" customFormat="1" ht="12" customHeight="1">
      <c r="A100" s="117">
        <v>3</v>
      </c>
      <c r="B100" s="122" t="s">
        <v>252</v>
      </c>
      <c r="C100" s="206">
        <v>45826</v>
      </c>
      <c r="D100" s="192">
        <v>8.3800000000000008</v>
      </c>
      <c r="E100" s="192"/>
      <c r="F100" s="214" t="s">
        <v>18</v>
      </c>
      <c r="G100" s="192"/>
      <c r="H100" s="192"/>
      <c r="I100" s="192"/>
      <c r="J100" s="195"/>
      <c r="K100" s="195"/>
      <c r="L100" s="195"/>
      <c r="M100" s="195"/>
      <c r="N100" s="195"/>
      <c r="O100" s="195"/>
      <c r="P100" s="195"/>
      <c r="Q100" s="199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461"/>
      <c r="AR100" s="461"/>
    </row>
    <row r="101" spans="1:44" s="102" customFormat="1" ht="12" customHeight="1">
      <c r="A101" s="117">
        <v>6</v>
      </c>
      <c r="B101" s="102" t="s">
        <v>265</v>
      </c>
      <c r="C101" s="206">
        <v>45826</v>
      </c>
      <c r="D101" s="192">
        <v>9.4700000000000006</v>
      </c>
      <c r="E101" s="192"/>
      <c r="F101" s="214" t="s">
        <v>18</v>
      </c>
      <c r="G101" s="192"/>
      <c r="H101" s="192"/>
      <c r="I101" s="192"/>
      <c r="J101" s="195"/>
      <c r="K101" s="195"/>
      <c r="L101" s="195"/>
      <c r="M101" s="195"/>
      <c r="N101" s="195"/>
      <c r="O101" s="195"/>
      <c r="P101" s="195"/>
      <c r="Q101" s="199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461"/>
      <c r="AK101" s="461"/>
      <c r="AL101" s="461"/>
      <c r="AM101" s="461"/>
      <c r="AN101" s="461"/>
      <c r="AO101" s="461"/>
      <c r="AP101" s="461"/>
      <c r="AQ101" s="461"/>
      <c r="AR101" s="461"/>
    </row>
    <row r="102" spans="1:44" s="102" customFormat="1" ht="12" customHeight="1">
      <c r="A102" s="117">
        <v>7</v>
      </c>
      <c r="B102" s="102" t="s">
        <v>254</v>
      </c>
      <c r="C102" s="206">
        <v>45826</v>
      </c>
      <c r="D102" s="192">
        <v>9.8699999999999992</v>
      </c>
      <c r="E102" s="192"/>
      <c r="F102" s="214" t="s">
        <v>18</v>
      </c>
      <c r="G102" s="192"/>
      <c r="H102" s="192"/>
      <c r="I102" s="192"/>
      <c r="J102" s="195"/>
      <c r="K102" s="195"/>
      <c r="L102" s="195"/>
      <c r="M102" s="195"/>
      <c r="N102" s="195"/>
      <c r="O102" s="195"/>
      <c r="P102" s="195"/>
      <c r="Q102" s="199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461"/>
      <c r="AR102" s="461"/>
    </row>
    <row r="103" spans="1:44" s="102" customFormat="1" ht="12" customHeight="1">
      <c r="A103" s="117">
        <v>11</v>
      </c>
      <c r="B103" s="102" t="s">
        <v>256</v>
      </c>
      <c r="C103" s="206">
        <v>45826</v>
      </c>
      <c r="D103" s="192">
        <v>9.0299999999999994</v>
      </c>
      <c r="E103" s="192"/>
      <c r="F103" s="214" t="s">
        <v>18</v>
      </c>
      <c r="G103" s="192"/>
      <c r="H103" s="192"/>
      <c r="I103" s="192"/>
      <c r="J103" s="195"/>
      <c r="K103" s="195"/>
      <c r="L103" s="195"/>
      <c r="M103" s="195"/>
      <c r="N103" s="195"/>
      <c r="O103" s="195"/>
      <c r="P103" s="195"/>
      <c r="Q103" s="199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</row>
    <row r="104" spans="1:44" s="102" customFormat="1" ht="12" customHeight="1">
      <c r="A104" s="118">
        <v>19</v>
      </c>
      <c r="B104" s="102" t="s">
        <v>260</v>
      </c>
      <c r="C104" s="206">
        <v>45826</v>
      </c>
      <c r="D104" s="192">
        <v>7.31</v>
      </c>
      <c r="E104" s="192"/>
      <c r="F104" s="214" t="s">
        <v>18</v>
      </c>
      <c r="G104" s="192"/>
      <c r="H104" s="192"/>
      <c r="I104" s="192"/>
      <c r="J104" s="195"/>
      <c r="K104" s="195"/>
      <c r="L104" s="195"/>
      <c r="M104" s="195"/>
      <c r="N104" s="195"/>
      <c r="O104" s="195"/>
      <c r="P104" s="195"/>
      <c r="Q104" s="199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</row>
    <row r="105" spans="1:44" s="102" customFormat="1" ht="12" customHeight="1">
      <c r="A105" s="118">
        <v>20</v>
      </c>
      <c r="B105" s="102" t="s">
        <v>267</v>
      </c>
      <c r="C105" s="206">
        <v>45826</v>
      </c>
      <c r="D105" s="192">
        <v>9.52</v>
      </c>
      <c r="E105" s="192"/>
      <c r="F105" s="214" t="s">
        <v>18</v>
      </c>
      <c r="G105" s="192"/>
      <c r="H105" s="192"/>
      <c r="I105" s="192"/>
      <c r="J105" s="195"/>
      <c r="K105" s="195"/>
      <c r="L105" s="195"/>
      <c r="M105" s="195"/>
      <c r="N105" s="195"/>
      <c r="O105" s="195"/>
      <c r="P105" s="195"/>
      <c r="Q105" s="199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</row>
    <row r="106" spans="1:44" s="102" customFormat="1" ht="12" customHeight="1">
      <c r="A106" s="117">
        <v>21</v>
      </c>
      <c r="B106" s="102" t="s">
        <v>261</v>
      </c>
      <c r="C106" s="206">
        <v>45826</v>
      </c>
      <c r="D106" s="192">
        <v>9.89</v>
      </c>
      <c r="E106" s="192"/>
      <c r="F106" s="214" t="s">
        <v>18</v>
      </c>
      <c r="G106" s="192"/>
      <c r="H106" s="192"/>
      <c r="I106" s="192"/>
      <c r="J106" s="195"/>
      <c r="K106" s="195"/>
      <c r="L106" s="195"/>
      <c r="M106" s="195"/>
      <c r="N106" s="195"/>
      <c r="O106" s="195"/>
      <c r="P106" s="195"/>
      <c r="Q106" s="199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</row>
    <row r="107" spans="1:44" s="102" customFormat="1" ht="12" customHeight="1">
      <c r="A107" s="117">
        <v>25</v>
      </c>
      <c r="B107" s="102" t="s">
        <v>263</v>
      </c>
      <c r="C107" s="206">
        <v>45826</v>
      </c>
      <c r="D107" s="192">
        <v>9.08</v>
      </c>
      <c r="E107" s="192"/>
      <c r="F107" s="214" t="s">
        <v>18</v>
      </c>
      <c r="G107" s="192"/>
      <c r="H107" s="192"/>
      <c r="I107" s="192"/>
      <c r="J107" s="195"/>
      <c r="K107" s="195"/>
      <c r="L107" s="195"/>
      <c r="M107" s="195"/>
      <c r="N107" s="195"/>
      <c r="O107" s="195"/>
      <c r="P107" s="195"/>
      <c r="Q107" s="199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</row>
    <row r="108" spans="1:44" s="102" customFormat="1" ht="12" customHeight="1">
      <c r="A108" s="118">
        <v>29</v>
      </c>
      <c r="B108" s="102" t="s">
        <v>295</v>
      </c>
      <c r="C108" s="206"/>
      <c r="D108" s="745"/>
      <c r="E108" s="745"/>
      <c r="F108" s="746" t="s">
        <v>18</v>
      </c>
      <c r="G108" s="743"/>
      <c r="H108" s="192"/>
      <c r="I108" s="192"/>
      <c r="J108" s="195"/>
      <c r="K108" s="195"/>
      <c r="L108" s="195"/>
      <c r="M108" s="195"/>
      <c r="N108" s="195"/>
      <c r="O108" s="195"/>
      <c r="P108" s="195"/>
      <c r="Q108" s="743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</row>
    <row r="109" spans="1:44" s="102" customFormat="1" ht="12" customHeight="1">
      <c r="A109" s="118">
        <v>30</v>
      </c>
      <c r="B109" s="102" t="s">
        <v>296</v>
      </c>
      <c r="C109" s="206"/>
      <c r="D109" s="745"/>
      <c r="E109" s="745"/>
      <c r="F109" s="746" t="s">
        <v>18</v>
      </c>
      <c r="G109" s="743"/>
      <c r="H109" s="192"/>
      <c r="I109" s="192"/>
      <c r="J109" s="195"/>
      <c r="K109" s="195"/>
      <c r="L109" s="195"/>
      <c r="M109" s="195"/>
      <c r="N109" s="195"/>
      <c r="O109" s="195"/>
      <c r="P109" s="195"/>
      <c r="Q109" s="743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</row>
    <row r="110" spans="1:44">
      <c r="A110" s="1">
        <v>200</v>
      </c>
      <c r="B110" s="62" t="s">
        <v>97</v>
      </c>
      <c r="C110" s="592"/>
      <c r="D110" s="590" t="s">
        <v>438</v>
      </c>
      <c r="E110" s="268"/>
      <c r="F110" s="269"/>
      <c r="G110" s="268"/>
      <c r="H110" s="268"/>
      <c r="I110" s="268"/>
      <c r="J110" s="268"/>
      <c r="K110" s="269"/>
      <c r="L110" s="269"/>
      <c r="M110" s="269"/>
      <c r="N110" s="269"/>
      <c r="O110" s="269"/>
      <c r="P110" s="269"/>
      <c r="Q110" s="199"/>
      <c r="R110" s="462"/>
      <c r="S110" s="463"/>
      <c r="T110" s="464"/>
      <c r="U110" s="464"/>
      <c r="V110" s="460"/>
      <c r="W110" s="460"/>
      <c r="X110" s="460"/>
      <c r="Y110" s="460"/>
      <c r="Z110" s="460"/>
      <c r="AA110" s="460"/>
      <c r="AB110" s="460"/>
      <c r="AC110" s="460"/>
      <c r="AD110" s="460"/>
      <c r="AE110" s="460"/>
      <c r="AF110" s="460"/>
      <c r="AG110" s="460"/>
      <c r="AH110" s="460"/>
      <c r="AI110" s="460"/>
      <c r="AJ110" s="460"/>
      <c r="AK110" s="460"/>
      <c r="AL110" s="460"/>
      <c r="AM110" s="460"/>
      <c r="AN110" s="460"/>
      <c r="AO110" s="460"/>
      <c r="AP110" s="460"/>
      <c r="AQ110" s="460"/>
      <c r="AR110" s="460"/>
    </row>
    <row r="111" spans="1:44" s="460" customFormat="1" ht="17.25" customHeight="1">
      <c r="A111" s="473">
        <v>250</v>
      </c>
      <c r="B111" s="474" t="s">
        <v>26</v>
      </c>
      <c r="C111" s="594"/>
      <c r="D111" s="591"/>
      <c r="E111" s="591"/>
      <c r="F111" s="556"/>
      <c r="G111" s="591"/>
      <c r="H111" s="591"/>
      <c r="I111" s="591"/>
      <c r="J111" s="591"/>
      <c r="K111" s="555"/>
      <c r="L111" s="555"/>
      <c r="M111" s="555"/>
      <c r="N111" s="555"/>
      <c r="O111" s="555"/>
      <c r="P111" s="555"/>
      <c r="Q111" s="512"/>
      <c r="R111" s="465"/>
      <c r="S111" s="463"/>
      <c r="T111" s="464"/>
      <c r="U111" s="464"/>
    </row>
    <row r="112" spans="1:44" s="102" customFormat="1" ht="12" customHeight="1">
      <c r="A112" s="117">
        <v>3</v>
      </c>
      <c r="B112" s="102" t="s">
        <v>252</v>
      </c>
      <c r="C112" s="206">
        <v>45848</v>
      </c>
      <c r="D112" s="192">
        <v>7.6</v>
      </c>
      <c r="E112" s="192"/>
      <c r="F112" s="214" t="s">
        <v>18</v>
      </c>
      <c r="G112" s="192"/>
      <c r="H112" s="192"/>
      <c r="I112" s="192"/>
      <c r="J112" s="195"/>
      <c r="K112" s="195"/>
      <c r="L112" s="195"/>
      <c r="M112" s="195"/>
      <c r="N112" s="195"/>
      <c r="O112" s="195"/>
      <c r="P112" s="195"/>
      <c r="Q112" s="199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1"/>
      <c r="AE112" s="461"/>
      <c r="AF112" s="461"/>
      <c r="AG112" s="461"/>
      <c r="AH112" s="461"/>
      <c r="AI112" s="461"/>
      <c r="AJ112" s="461"/>
      <c r="AK112" s="461"/>
      <c r="AL112" s="461"/>
      <c r="AM112" s="461"/>
      <c r="AN112" s="461"/>
      <c r="AO112" s="461"/>
      <c r="AP112" s="461"/>
      <c r="AQ112" s="461"/>
      <c r="AR112" s="461"/>
    </row>
    <row r="113" spans="1:44" s="102" customFormat="1" ht="12" customHeight="1">
      <c r="A113" s="117">
        <v>5</v>
      </c>
      <c r="B113" s="102" t="s">
        <v>253</v>
      </c>
      <c r="C113" s="206">
        <v>45848</v>
      </c>
      <c r="D113" s="192">
        <v>8.33</v>
      </c>
      <c r="E113" s="192"/>
      <c r="F113" s="214" t="s">
        <v>18</v>
      </c>
      <c r="G113" s="192"/>
      <c r="H113" s="192"/>
      <c r="I113" s="192"/>
      <c r="J113" s="195"/>
      <c r="K113" s="195"/>
      <c r="L113" s="195"/>
      <c r="M113" s="195"/>
      <c r="N113" s="195"/>
      <c r="O113" s="195"/>
      <c r="P113" s="195"/>
      <c r="Q113" s="199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  <c r="AK113" s="461"/>
      <c r="AL113" s="461"/>
      <c r="AM113" s="461"/>
      <c r="AN113" s="461"/>
      <c r="AO113" s="461"/>
      <c r="AP113" s="461"/>
      <c r="AQ113" s="461"/>
      <c r="AR113" s="461"/>
    </row>
    <row r="114" spans="1:44" s="102" customFormat="1" ht="12" customHeight="1">
      <c r="A114" s="117">
        <v>6</v>
      </c>
      <c r="B114" s="102" t="s">
        <v>265</v>
      </c>
      <c r="C114" s="206">
        <v>45848</v>
      </c>
      <c r="D114" s="192">
        <v>7.99</v>
      </c>
      <c r="E114" s="192"/>
      <c r="F114" s="214" t="s">
        <v>18</v>
      </c>
      <c r="G114" s="192"/>
      <c r="H114" s="192"/>
      <c r="I114" s="192"/>
      <c r="J114" s="195"/>
      <c r="K114" s="195"/>
      <c r="L114" s="195"/>
      <c r="M114" s="195"/>
      <c r="N114" s="195"/>
      <c r="O114" s="195"/>
      <c r="P114" s="195"/>
      <c r="Q114" s="199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</row>
    <row r="115" spans="1:44" s="102" customFormat="1" ht="12" customHeight="1">
      <c r="A115" s="117">
        <v>7</v>
      </c>
      <c r="B115" s="102" t="s">
        <v>254</v>
      </c>
      <c r="C115" s="206">
        <v>45848</v>
      </c>
      <c r="D115" s="192">
        <v>9.5399999999999991</v>
      </c>
      <c r="E115" s="192"/>
      <c r="F115" s="214" t="s">
        <v>18</v>
      </c>
      <c r="G115" s="192"/>
      <c r="H115" s="192"/>
      <c r="I115" s="192"/>
      <c r="J115" s="195"/>
      <c r="K115" s="195"/>
      <c r="L115" s="195"/>
      <c r="M115" s="195"/>
      <c r="N115" s="195"/>
      <c r="O115" s="195"/>
      <c r="P115" s="195"/>
      <c r="Q115" s="199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</row>
    <row r="116" spans="1:44" s="102" customFormat="1" ht="12" customHeight="1">
      <c r="A116" s="117">
        <v>9</v>
      </c>
      <c r="B116" s="102" t="s">
        <v>255</v>
      </c>
      <c r="C116" s="206">
        <v>45848</v>
      </c>
      <c r="D116" s="192">
        <v>6.95</v>
      </c>
      <c r="E116" s="192"/>
      <c r="F116" s="214" t="s">
        <v>18</v>
      </c>
      <c r="G116" s="192"/>
      <c r="H116" s="192"/>
      <c r="I116" s="192"/>
      <c r="J116" s="195"/>
      <c r="K116" s="195"/>
      <c r="L116" s="195"/>
      <c r="M116" s="195"/>
      <c r="N116" s="195"/>
      <c r="O116" s="195"/>
      <c r="P116" s="195"/>
      <c r="Q116" s="199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</row>
    <row r="117" spans="1:44" s="102" customFormat="1" ht="12" customHeight="1">
      <c r="A117" s="117">
        <v>11</v>
      </c>
      <c r="B117" s="102" t="s">
        <v>256</v>
      </c>
      <c r="C117" s="206">
        <v>45848</v>
      </c>
      <c r="D117" s="192">
        <v>8.89</v>
      </c>
      <c r="E117" s="192"/>
      <c r="F117" s="214" t="s">
        <v>18</v>
      </c>
      <c r="G117" s="192"/>
      <c r="H117" s="192"/>
      <c r="I117" s="192"/>
      <c r="J117" s="195"/>
      <c r="K117" s="195"/>
      <c r="L117" s="195"/>
      <c r="M117" s="195"/>
      <c r="N117" s="195"/>
      <c r="O117" s="195"/>
      <c r="P117" s="195"/>
      <c r="Q117" s="199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</row>
    <row r="118" spans="1:44" s="102" customFormat="1" ht="12" customHeight="1">
      <c r="A118" s="117">
        <v>13</v>
      </c>
      <c r="B118" s="102" t="s">
        <v>257</v>
      </c>
      <c r="C118" s="206">
        <v>45848</v>
      </c>
      <c r="D118" s="192">
        <v>9.58</v>
      </c>
      <c r="E118" s="192"/>
      <c r="F118" s="214" t="s">
        <v>18</v>
      </c>
      <c r="G118" s="192"/>
      <c r="H118" s="192"/>
      <c r="I118" s="192"/>
      <c r="J118" s="195"/>
      <c r="K118" s="195"/>
      <c r="L118" s="195"/>
      <c r="M118" s="195"/>
      <c r="N118" s="195"/>
      <c r="O118" s="195"/>
      <c r="P118" s="195"/>
      <c r="Q118" s="199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</row>
    <row r="119" spans="1:44" s="102" customFormat="1" ht="12" customHeight="1">
      <c r="A119" s="117">
        <v>15</v>
      </c>
      <c r="B119" s="102" t="s">
        <v>258</v>
      </c>
      <c r="C119" s="206">
        <v>45848</v>
      </c>
      <c r="D119" s="192">
        <v>9.5399999999999991</v>
      </c>
      <c r="E119" s="192"/>
      <c r="F119" s="214" t="s">
        <v>18</v>
      </c>
      <c r="G119" s="192"/>
      <c r="H119" s="192"/>
      <c r="I119" s="192"/>
      <c r="J119" s="195"/>
      <c r="K119" s="195"/>
      <c r="L119" s="195"/>
      <c r="M119" s="195"/>
      <c r="N119" s="195"/>
      <c r="O119" s="195"/>
      <c r="P119" s="195"/>
      <c r="Q119" s="199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</row>
    <row r="120" spans="1:44" s="102" customFormat="1" ht="12" customHeight="1">
      <c r="A120" s="117">
        <v>17</v>
      </c>
      <c r="B120" s="102" t="s">
        <v>259</v>
      </c>
      <c r="C120" s="206">
        <v>45848</v>
      </c>
      <c r="D120" s="192">
        <v>9.49</v>
      </c>
      <c r="E120" s="192"/>
      <c r="F120" s="214" t="s">
        <v>18</v>
      </c>
      <c r="G120" s="192"/>
      <c r="H120" s="192"/>
      <c r="I120" s="192"/>
      <c r="J120" s="195"/>
      <c r="K120" s="195"/>
      <c r="L120" s="195"/>
      <c r="M120" s="195"/>
      <c r="N120" s="195"/>
      <c r="O120" s="195"/>
      <c r="P120" s="195"/>
      <c r="Q120" s="199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</row>
    <row r="121" spans="1:44" s="102" customFormat="1" ht="12" customHeight="1">
      <c r="A121" s="117">
        <v>18</v>
      </c>
      <c r="B121" s="102" t="s">
        <v>266</v>
      </c>
      <c r="C121" s="206">
        <v>45848</v>
      </c>
      <c r="D121" s="192">
        <v>9.7799999999999994</v>
      </c>
      <c r="E121" s="192"/>
      <c r="F121" s="214" t="s">
        <v>18</v>
      </c>
      <c r="G121" s="192"/>
      <c r="H121" s="192"/>
      <c r="I121" s="192"/>
      <c r="J121" s="195"/>
      <c r="K121" s="195"/>
      <c r="L121" s="195"/>
      <c r="M121" s="195"/>
      <c r="N121" s="195"/>
      <c r="O121" s="195"/>
      <c r="P121" s="195"/>
      <c r="Q121" s="199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</row>
    <row r="122" spans="1:44" s="102" customFormat="1" ht="12" customHeight="1">
      <c r="A122" s="118">
        <v>19</v>
      </c>
      <c r="B122" s="102" t="s">
        <v>260</v>
      </c>
      <c r="C122" s="206">
        <v>45848</v>
      </c>
      <c r="D122" s="192">
        <v>7.23</v>
      </c>
      <c r="E122" s="192"/>
      <c r="F122" s="214" t="s">
        <v>18</v>
      </c>
      <c r="G122" s="192"/>
      <c r="H122" s="192"/>
      <c r="I122" s="192"/>
      <c r="J122" s="195"/>
      <c r="K122" s="195"/>
      <c r="L122" s="195"/>
      <c r="M122" s="195"/>
      <c r="N122" s="195"/>
      <c r="O122" s="195"/>
      <c r="P122" s="195"/>
      <c r="Q122" s="199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</row>
    <row r="123" spans="1:44" s="102" customFormat="1" ht="12" customHeight="1">
      <c r="A123" s="118">
        <v>20</v>
      </c>
      <c r="B123" s="102" t="s">
        <v>267</v>
      </c>
      <c r="C123" s="206">
        <v>45848</v>
      </c>
      <c r="D123" s="192">
        <v>9.32</v>
      </c>
      <c r="E123" s="192"/>
      <c r="F123" s="214" t="s">
        <v>18</v>
      </c>
      <c r="G123" s="192"/>
      <c r="H123" s="192"/>
      <c r="I123" s="192"/>
      <c r="J123" s="195"/>
      <c r="K123" s="195"/>
      <c r="L123" s="195"/>
      <c r="M123" s="195"/>
      <c r="N123" s="195"/>
      <c r="O123" s="195"/>
      <c r="P123" s="195"/>
      <c r="Q123" s="199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</row>
    <row r="124" spans="1:44" s="102" customFormat="1" ht="12" customHeight="1">
      <c r="A124" s="117">
        <v>21</v>
      </c>
      <c r="B124" s="102" t="s">
        <v>261</v>
      </c>
      <c r="C124" s="206">
        <v>45848</v>
      </c>
      <c r="D124" s="192">
        <v>9.34</v>
      </c>
      <c r="E124" s="192"/>
      <c r="F124" s="214" t="s">
        <v>18</v>
      </c>
      <c r="G124" s="192"/>
      <c r="H124" s="192"/>
      <c r="I124" s="192"/>
      <c r="J124" s="195"/>
      <c r="K124" s="195"/>
      <c r="L124" s="195"/>
      <c r="M124" s="195"/>
      <c r="N124" s="195"/>
      <c r="O124" s="195"/>
      <c r="P124" s="195"/>
      <c r="Q124" s="199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</row>
    <row r="125" spans="1:44" s="102" customFormat="1" ht="12" customHeight="1">
      <c r="A125" s="117">
        <v>22</v>
      </c>
      <c r="B125" s="102" t="s">
        <v>268</v>
      </c>
      <c r="C125" s="206">
        <v>45848</v>
      </c>
      <c r="D125" s="192">
        <v>7.69</v>
      </c>
      <c r="E125" s="192"/>
      <c r="F125" s="214" t="s">
        <v>18</v>
      </c>
      <c r="G125" s="192"/>
      <c r="H125" s="192"/>
      <c r="I125" s="192"/>
      <c r="J125" s="195"/>
      <c r="K125" s="195"/>
      <c r="L125" s="195"/>
      <c r="M125" s="195"/>
      <c r="N125" s="195"/>
      <c r="O125" s="195"/>
      <c r="P125" s="195"/>
      <c r="Q125" s="199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</row>
    <row r="126" spans="1:44" s="102" customFormat="1" ht="12" customHeight="1">
      <c r="A126" s="117">
        <v>23</v>
      </c>
      <c r="B126" s="102" t="s">
        <v>297</v>
      </c>
      <c r="C126" s="206">
        <v>45848</v>
      </c>
      <c r="D126" s="192">
        <v>8.02</v>
      </c>
      <c r="E126" s="192"/>
      <c r="F126" s="214" t="s">
        <v>18</v>
      </c>
      <c r="G126" s="192"/>
      <c r="H126" s="192"/>
      <c r="I126" s="192"/>
      <c r="J126" s="195"/>
      <c r="K126" s="195"/>
      <c r="L126" s="195"/>
      <c r="M126" s="195"/>
      <c r="N126" s="195"/>
      <c r="O126" s="195"/>
      <c r="P126" s="195"/>
      <c r="Q126" s="199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/>
      <c r="AD126" s="461"/>
      <c r="AE126" s="461"/>
      <c r="AF126" s="461"/>
      <c r="AG126" s="461"/>
      <c r="AH126" s="461"/>
      <c r="AI126" s="461"/>
      <c r="AJ126" s="461"/>
      <c r="AK126" s="461"/>
      <c r="AL126" s="461"/>
      <c r="AM126" s="461"/>
      <c r="AN126" s="461"/>
      <c r="AO126" s="461"/>
      <c r="AP126" s="461"/>
      <c r="AQ126" s="461"/>
      <c r="AR126" s="461"/>
    </row>
    <row r="127" spans="1:44" s="102" customFormat="1" ht="12" customHeight="1">
      <c r="A127" s="117">
        <v>24</v>
      </c>
      <c r="B127" s="102" t="s">
        <v>269</v>
      </c>
      <c r="C127" s="206">
        <v>45848</v>
      </c>
      <c r="D127" s="192">
        <v>8.02</v>
      </c>
      <c r="E127" s="192"/>
      <c r="F127" s="214" t="s">
        <v>18</v>
      </c>
      <c r="G127" s="192"/>
      <c r="H127" s="192"/>
      <c r="I127" s="192"/>
      <c r="J127" s="195"/>
      <c r="K127" s="195"/>
      <c r="L127" s="195"/>
      <c r="M127" s="195"/>
      <c r="N127" s="195"/>
      <c r="O127" s="195"/>
      <c r="P127" s="195"/>
      <c r="Q127" s="199"/>
      <c r="R127" s="461"/>
      <c r="S127" s="461"/>
      <c r="T127" s="461"/>
      <c r="U127" s="461"/>
      <c r="V127" s="461"/>
      <c r="W127" s="461"/>
      <c r="X127" s="461"/>
      <c r="Y127" s="461"/>
      <c r="Z127" s="461"/>
      <c r="AA127" s="461"/>
      <c r="AB127" s="461"/>
      <c r="AC127" s="461"/>
      <c r="AD127" s="461"/>
      <c r="AE127" s="461"/>
      <c r="AF127" s="461"/>
      <c r="AG127" s="461"/>
      <c r="AH127" s="461"/>
      <c r="AI127" s="461"/>
      <c r="AJ127" s="461"/>
      <c r="AK127" s="461"/>
      <c r="AL127" s="461"/>
      <c r="AM127" s="461"/>
      <c r="AN127" s="461"/>
      <c r="AO127" s="461"/>
      <c r="AP127" s="461"/>
      <c r="AQ127" s="461"/>
      <c r="AR127" s="461"/>
    </row>
    <row r="128" spans="1:44" s="102" customFormat="1" ht="12" customHeight="1">
      <c r="A128" s="117">
        <v>25</v>
      </c>
      <c r="B128" s="102" t="s">
        <v>263</v>
      </c>
      <c r="C128" s="206">
        <v>45848</v>
      </c>
      <c r="D128" s="192">
        <v>8.4700000000000006</v>
      </c>
      <c r="E128" s="192"/>
      <c r="F128" s="214" t="s">
        <v>18</v>
      </c>
      <c r="G128" s="192"/>
      <c r="H128" s="192"/>
      <c r="I128" s="192"/>
      <c r="J128" s="195"/>
      <c r="K128" s="195"/>
      <c r="L128" s="195"/>
      <c r="M128" s="195"/>
      <c r="N128" s="195"/>
      <c r="O128" s="195"/>
      <c r="P128" s="195"/>
      <c r="Q128" s="199"/>
      <c r="R128" s="461"/>
      <c r="S128" s="461"/>
      <c r="T128" s="461"/>
      <c r="U128" s="461"/>
      <c r="V128" s="461"/>
      <c r="W128" s="461"/>
      <c r="X128" s="461"/>
      <c r="Y128" s="461"/>
      <c r="Z128" s="461"/>
      <c r="AA128" s="461"/>
      <c r="AB128" s="461"/>
      <c r="AC128" s="461"/>
      <c r="AD128" s="461"/>
      <c r="AE128" s="461"/>
      <c r="AF128" s="461"/>
      <c r="AG128" s="461"/>
      <c r="AH128" s="461"/>
      <c r="AI128" s="461"/>
      <c r="AJ128" s="461"/>
      <c r="AK128" s="461"/>
      <c r="AL128" s="461"/>
      <c r="AM128" s="461"/>
      <c r="AN128" s="461"/>
      <c r="AO128" s="461"/>
      <c r="AP128" s="461"/>
      <c r="AQ128" s="461"/>
      <c r="AR128" s="461"/>
    </row>
    <row r="129" spans="1:44" s="102" customFormat="1" ht="12" customHeight="1">
      <c r="A129" s="117">
        <v>27</v>
      </c>
      <c r="B129" s="102" t="s">
        <v>264</v>
      </c>
      <c r="C129" s="206">
        <v>45848</v>
      </c>
      <c r="D129" s="192">
        <v>7.88</v>
      </c>
      <c r="E129" s="192"/>
      <c r="F129" s="214" t="s">
        <v>18</v>
      </c>
      <c r="G129" s="192"/>
      <c r="H129" s="192"/>
      <c r="I129" s="192"/>
      <c r="J129" s="195"/>
      <c r="K129" s="195"/>
      <c r="L129" s="195"/>
      <c r="M129" s="195"/>
      <c r="N129" s="195"/>
      <c r="O129" s="195"/>
      <c r="P129" s="195"/>
      <c r="Q129" s="199"/>
      <c r="R129" s="461"/>
      <c r="S129" s="461"/>
      <c r="T129" s="461"/>
      <c r="U129" s="461"/>
      <c r="V129" s="461"/>
      <c r="W129" s="461"/>
      <c r="X129" s="461"/>
      <c r="Y129" s="461"/>
      <c r="Z129" s="461"/>
      <c r="AA129" s="461"/>
      <c r="AB129" s="461"/>
      <c r="AC129" s="461"/>
      <c r="AD129" s="461"/>
      <c r="AE129" s="461"/>
      <c r="AF129" s="461"/>
      <c r="AG129" s="461"/>
      <c r="AH129" s="461"/>
      <c r="AI129" s="461"/>
      <c r="AJ129" s="461"/>
      <c r="AK129" s="461"/>
      <c r="AL129" s="461"/>
      <c r="AM129" s="461"/>
      <c r="AN129" s="461"/>
      <c r="AO129" s="461"/>
      <c r="AP129" s="461"/>
      <c r="AQ129" s="461"/>
      <c r="AR129" s="461"/>
    </row>
    <row r="130" spans="1:44" s="102" customFormat="1" ht="12" customHeight="1">
      <c r="A130" s="118">
        <v>29</v>
      </c>
      <c r="B130" s="102" t="s">
        <v>295</v>
      </c>
      <c r="C130" s="206"/>
      <c r="D130" s="192"/>
      <c r="E130" s="192"/>
      <c r="F130" s="214" t="s">
        <v>18</v>
      </c>
      <c r="G130" s="192"/>
      <c r="H130" s="192"/>
      <c r="I130" s="192"/>
      <c r="J130" s="195"/>
      <c r="K130" s="195"/>
      <c r="L130" s="195"/>
      <c r="M130" s="195"/>
      <c r="N130" s="195"/>
      <c r="O130" s="195"/>
      <c r="P130" s="195"/>
      <c r="Q130" s="199"/>
      <c r="R130" s="461"/>
      <c r="S130" s="461"/>
      <c r="T130" s="461"/>
      <c r="U130" s="461"/>
      <c r="V130" s="461"/>
      <c r="W130" s="461"/>
      <c r="X130" s="461"/>
      <c r="Y130" s="461"/>
      <c r="Z130" s="461"/>
      <c r="AA130" s="461"/>
      <c r="AB130" s="461"/>
      <c r="AC130" s="461"/>
      <c r="AD130" s="461"/>
      <c r="AE130" s="461"/>
      <c r="AF130" s="461"/>
      <c r="AG130" s="461"/>
      <c r="AH130" s="461"/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</row>
    <row r="131" spans="1:44" s="102" customFormat="1" ht="12" customHeight="1">
      <c r="A131" s="118">
        <v>30</v>
      </c>
      <c r="B131" s="102" t="s">
        <v>296</v>
      </c>
      <c r="C131" s="206"/>
      <c r="D131" s="192"/>
      <c r="E131" s="192"/>
      <c r="F131" s="214" t="s">
        <v>18</v>
      </c>
      <c r="G131" s="192"/>
      <c r="H131" s="192"/>
      <c r="I131" s="192"/>
      <c r="J131" s="195"/>
      <c r="K131" s="195"/>
      <c r="L131" s="195"/>
      <c r="M131" s="195"/>
      <c r="N131" s="195"/>
      <c r="O131" s="195"/>
      <c r="P131" s="195"/>
      <c r="Q131" s="199"/>
      <c r="R131" s="461"/>
      <c r="S131" s="461"/>
      <c r="T131" s="461"/>
      <c r="U131" s="461"/>
      <c r="V131" s="461"/>
      <c r="W131" s="461"/>
      <c r="X131" s="461"/>
      <c r="Y131" s="461"/>
      <c r="Z131" s="461"/>
      <c r="AA131" s="461"/>
      <c r="AB131" s="461"/>
      <c r="AC131" s="461"/>
      <c r="AD131" s="461"/>
      <c r="AE131" s="461"/>
      <c r="AF131" s="461"/>
      <c r="AG131" s="461"/>
      <c r="AH131" s="461"/>
      <c r="AI131" s="461"/>
      <c r="AJ131" s="461"/>
      <c r="AK131" s="461"/>
      <c r="AL131" s="461"/>
      <c r="AM131" s="461"/>
      <c r="AN131" s="461"/>
      <c r="AO131" s="461"/>
      <c r="AP131" s="461"/>
      <c r="AQ131" s="461"/>
      <c r="AR131" s="461"/>
    </row>
    <row r="132" spans="1:44">
      <c r="A132" s="1">
        <v>200</v>
      </c>
      <c r="B132" s="62" t="s">
        <v>97</v>
      </c>
      <c r="C132" s="592"/>
      <c r="D132" s="590" t="s">
        <v>407</v>
      </c>
      <c r="E132" s="268"/>
      <c r="F132" s="214"/>
      <c r="G132" s="268"/>
      <c r="H132" s="268"/>
      <c r="I132" s="268"/>
      <c r="J132" s="268"/>
      <c r="K132" s="269"/>
      <c r="L132" s="269"/>
      <c r="M132" s="269"/>
      <c r="N132" s="269"/>
      <c r="O132" s="269"/>
      <c r="P132" s="269"/>
      <c r="Q132" s="199"/>
      <c r="R132" s="462"/>
      <c r="S132" s="463"/>
      <c r="T132" s="464"/>
      <c r="U132" s="464"/>
      <c r="V132" s="460"/>
      <c r="W132" s="460"/>
      <c r="X132" s="460"/>
      <c r="Y132" s="460"/>
      <c r="Z132" s="460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</row>
    <row r="133" spans="1:44" s="460" customFormat="1" ht="17.25" customHeight="1">
      <c r="A133" s="473">
        <v>250</v>
      </c>
      <c r="B133" s="474" t="s">
        <v>27</v>
      </c>
      <c r="C133" s="747"/>
      <c r="D133" s="591"/>
      <c r="E133" s="591"/>
      <c r="F133" s="556"/>
      <c r="G133" s="591"/>
      <c r="H133" s="591"/>
      <c r="I133" s="591"/>
      <c r="J133" s="591"/>
      <c r="K133" s="555"/>
      <c r="L133" s="555"/>
      <c r="M133" s="555"/>
      <c r="N133" s="555"/>
      <c r="O133" s="555"/>
      <c r="P133" s="555"/>
      <c r="Q133" s="512"/>
      <c r="R133" s="465"/>
      <c r="S133" s="463"/>
      <c r="T133" s="464"/>
      <c r="U133" s="464"/>
    </row>
    <row r="134" spans="1:44" s="102" customFormat="1" ht="12" customHeight="1">
      <c r="A134" s="117">
        <v>3</v>
      </c>
      <c r="B134" s="102" t="s">
        <v>252</v>
      </c>
      <c r="C134" s="206"/>
      <c r="D134" s="192"/>
      <c r="E134" s="192"/>
      <c r="F134" s="214" t="s">
        <v>18</v>
      </c>
      <c r="G134" s="192"/>
      <c r="H134" s="195"/>
      <c r="I134" s="192"/>
      <c r="J134" s="195"/>
      <c r="K134" s="195"/>
      <c r="L134" s="195"/>
      <c r="M134" s="195"/>
      <c r="N134" s="195"/>
      <c r="O134" s="195"/>
      <c r="P134" s="195"/>
      <c r="Q134" s="199"/>
      <c r="R134" s="461"/>
      <c r="S134" s="461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</row>
    <row r="135" spans="1:44" s="102" customFormat="1" ht="12" customHeight="1">
      <c r="A135" s="117">
        <v>6</v>
      </c>
      <c r="B135" s="102" t="s">
        <v>265</v>
      </c>
      <c r="C135" s="206"/>
      <c r="D135" s="192"/>
      <c r="E135" s="192"/>
      <c r="F135" s="214" t="s">
        <v>18</v>
      </c>
      <c r="G135" s="192"/>
      <c r="H135" s="192"/>
      <c r="I135" s="192"/>
      <c r="J135" s="195"/>
      <c r="K135" s="195"/>
      <c r="L135" s="195"/>
      <c r="M135" s="195"/>
      <c r="N135" s="195"/>
      <c r="O135" s="195"/>
      <c r="P135" s="195"/>
      <c r="Q135" s="199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  <c r="AL135" s="461"/>
      <c r="AM135" s="461"/>
      <c r="AN135" s="461"/>
      <c r="AO135" s="461"/>
      <c r="AP135" s="461"/>
      <c r="AQ135" s="461"/>
      <c r="AR135" s="461"/>
    </row>
    <row r="136" spans="1:44" s="102" customFormat="1" ht="12" customHeight="1">
      <c r="A136" s="117">
        <v>7</v>
      </c>
      <c r="B136" s="102" t="s">
        <v>254</v>
      </c>
      <c r="C136" s="206"/>
      <c r="D136" s="192"/>
      <c r="E136" s="192"/>
      <c r="F136" s="214" t="s">
        <v>18</v>
      </c>
      <c r="G136" s="192"/>
      <c r="H136" s="195"/>
      <c r="I136" s="192"/>
      <c r="J136" s="195"/>
      <c r="K136" s="195"/>
      <c r="L136" s="195"/>
      <c r="M136" s="195"/>
      <c r="N136" s="195"/>
      <c r="O136" s="195"/>
      <c r="P136" s="195"/>
      <c r="Q136" s="199"/>
      <c r="R136" s="461"/>
      <c r="S136" s="461"/>
      <c r="T136" s="461"/>
      <c r="U136" s="461"/>
      <c r="V136" s="461"/>
      <c r="W136" s="461"/>
      <c r="X136" s="461"/>
      <c r="Y136" s="461"/>
      <c r="Z136" s="461"/>
      <c r="AA136" s="461"/>
      <c r="AB136" s="461"/>
      <c r="AC136" s="461"/>
      <c r="AD136" s="461"/>
      <c r="AE136" s="461"/>
      <c r="AF136" s="461"/>
      <c r="AG136" s="461"/>
      <c r="AH136" s="461"/>
      <c r="AI136" s="461"/>
      <c r="AJ136" s="461"/>
      <c r="AK136" s="461"/>
      <c r="AL136" s="461"/>
      <c r="AM136" s="461"/>
      <c r="AN136" s="461"/>
      <c r="AO136" s="461"/>
      <c r="AP136" s="461"/>
      <c r="AQ136" s="461"/>
      <c r="AR136" s="461"/>
    </row>
    <row r="137" spans="1:44" s="102" customFormat="1" ht="12" customHeight="1">
      <c r="A137" s="117">
        <v>11</v>
      </c>
      <c r="B137" s="102" t="s">
        <v>256</v>
      </c>
      <c r="C137" s="206"/>
      <c r="D137" s="192"/>
      <c r="E137" s="192"/>
      <c r="F137" s="214" t="s">
        <v>18</v>
      </c>
      <c r="G137" s="192"/>
      <c r="H137" s="192"/>
      <c r="I137" s="192"/>
      <c r="J137" s="195"/>
      <c r="K137" s="195"/>
      <c r="L137" s="195"/>
      <c r="M137" s="195"/>
      <c r="N137" s="195"/>
      <c r="O137" s="195"/>
      <c r="P137" s="195"/>
      <c r="Q137" s="199"/>
      <c r="R137" s="461"/>
      <c r="S137" s="461"/>
      <c r="T137" s="461"/>
      <c r="U137" s="461"/>
      <c r="V137" s="461"/>
      <c r="W137" s="461"/>
      <c r="X137" s="461"/>
      <c r="Y137" s="461"/>
      <c r="Z137" s="461"/>
      <c r="AA137" s="461"/>
      <c r="AB137" s="461"/>
      <c r="AC137" s="461"/>
      <c r="AD137" s="461"/>
      <c r="AE137" s="461"/>
      <c r="AF137" s="461"/>
      <c r="AG137" s="461"/>
      <c r="AH137" s="461"/>
      <c r="AI137" s="461"/>
      <c r="AJ137" s="461"/>
      <c r="AK137" s="461"/>
      <c r="AL137" s="461"/>
      <c r="AM137" s="461"/>
      <c r="AN137" s="461"/>
      <c r="AO137" s="461"/>
      <c r="AP137" s="461"/>
      <c r="AQ137" s="461"/>
      <c r="AR137" s="461"/>
    </row>
    <row r="138" spans="1:44" s="102" customFormat="1" ht="12" customHeight="1">
      <c r="A138" s="118">
        <v>19</v>
      </c>
      <c r="B138" s="102" t="s">
        <v>260</v>
      </c>
      <c r="C138" s="206"/>
      <c r="D138" s="192"/>
      <c r="E138" s="192"/>
      <c r="F138" s="214" t="s">
        <v>18</v>
      </c>
      <c r="G138" s="192"/>
      <c r="H138" s="192"/>
      <c r="I138" s="192"/>
      <c r="J138" s="195"/>
      <c r="K138" s="195"/>
      <c r="L138" s="195"/>
      <c r="M138" s="195"/>
      <c r="N138" s="195"/>
      <c r="O138" s="195"/>
      <c r="P138" s="195"/>
      <c r="Q138" s="199"/>
      <c r="R138" s="461"/>
      <c r="S138" s="461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  <c r="AL138" s="461"/>
      <c r="AM138" s="461"/>
      <c r="AN138" s="461"/>
      <c r="AO138" s="461"/>
      <c r="AP138" s="461"/>
      <c r="AQ138" s="461"/>
      <c r="AR138" s="461"/>
    </row>
    <row r="139" spans="1:44" s="102" customFormat="1" ht="12" customHeight="1">
      <c r="A139" s="118">
        <v>20</v>
      </c>
      <c r="B139" s="102" t="s">
        <v>267</v>
      </c>
      <c r="C139" s="206"/>
      <c r="D139" s="192"/>
      <c r="E139" s="192"/>
      <c r="F139" s="214" t="s">
        <v>18</v>
      </c>
      <c r="G139" s="192"/>
      <c r="H139" s="192"/>
      <c r="I139" s="192"/>
      <c r="J139" s="195"/>
      <c r="K139" s="195"/>
      <c r="L139" s="195"/>
      <c r="M139" s="195"/>
      <c r="N139" s="195"/>
      <c r="O139" s="195"/>
      <c r="P139" s="195"/>
      <c r="Q139" s="199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  <c r="AL139" s="461"/>
      <c r="AM139" s="461"/>
      <c r="AN139" s="461"/>
      <c r="AO139" s="461"/>
      <c r="AP139" s="461"/>
      <c r="AQ139" s="461"/>
      <c r="AR139" s="461"/>
    </row>
    <row r="140" spans="1:44" s="102" customFormat="1" ht="12" customHeight="1">
      <c r="A140" s="117">
        <v>21</v>
      </c>
      <c r="B140" s="102" t="s">
        <v>261</v>
      </c>
      <c r="C140" s="206"/>
      <c r="D140" s="192"/>
      <c r="E140" s="192"/>
      <c r="F140" s="214" t="s">
        <v>18</v>
      </c>
      <c r="G140" s="192"/>
      <c r="H140" s="192"/>
      <c r="I140" s="192"/>
      <c r="J140" s="195"/>
      <c r="K140" s="195"/>
      <c r="L140" s="195"/>
      <c r="M140" s="195"/>
      <c r="N140" s="195"/>
      <c r="O140" s="195"/>
      <c r="P140" s="195"/>
      <c r="Q140" s="199"/>
      <c r="R140" s="461"/>
      <c r="S140" s="461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  <c r="AL140" s="461"/>
      <c r="AM140" s="461"/>
      <c r="AN140" s="461"/>
      <c r="AO140" s="461"/>
      <c r="AP140" s="461"/>
      <c r="AQ140" s="461"/>
      <c r="AR140" s="461"/>
    </row>
    <row r="141" spans="1:44" s="102" customFormat="1" ht="12" customHeight="1">
      <c r="A141" s="117">
        <v>25</v>
      </c>
      <c r="B141" s="102" t="s">
        <v>263</v>
      </c>
      <c r="C141" s="206"/>
      <c r="D141" s="192"/>
      <c r="E141" s="192"/>
      <c r="F141" s="214" t="s">
        <v>18</v>
      </c>
      <c r="G141" s="192"/>
      <c r="H141" s="192"/>
      <c r="I141" s="192"/>
      <c r="J141" s="195"/>
      <c r="K141" s="195"/>
      <c r="L141" s="195"/>
      <c r="M141" s="195"/>
      <c r="N141" s="195"/>
      <c r="O141" s="195"/>
      <c r="P141" s="195"/>
      <c r="Q141" s="199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1"/>
      <c r="AM141" s="461"/>
      <c r="AN141" s="461"/>
      <c r="AO141" s="461"/>
      <c r="AP141" s="461"/>
      <c r="AQ141" s="461"/>
      <c r="AR141" s="461"/>
    </row>
    <row r="142" spans="1:44" s="102" customFormat="1" ht="12" customHeight="1">
      <c r="A142" s="118">
        <v>29</v>
      </c>
      <c r="B142" s="102" t="s">
        <v>295</v>
      </c>
      <c r="C142" s="206"/>
      <c r="D142" s="192"/>
      <c r="E142" s="192"/>
      <c r="F142" s="214" t="s">
        <v>18</v>
      </c>
      <c r="G142" s="192"/>
      <c r="H142" s="192"/>
      <c r="I142" s="192"/>
      <c r="J142" s="195"/>
      <c r="K142" s="195"/>
      <c r="L142" s="195"/>
      <c r="M142" s="195"/>
      <c r="N142" s="195"/>
      <c r="O142" s="195"/>
      <c r="P142" s="195"/>
      <c r="Q142" s="199"/>
      <c r="R142" s="461"/>
      <c r="S142" s="461"/>
      <c r="T142" s="461"/>
      <c r="U142" s="461"/>
      <c r="V142" s="461"/>
      <c r="W142" s="461"/>
      <c r="X142" s="461"/>
      <c r="Y142" s="461"/>
      <c r="Z142" s="461"/>
      <c r="AA142" s="461"/>
      <c r="AB142" s="461"/>
      <c r="AC142" s="461"/>
      <c r="AD142" s="461"/>
      <c r="AE142" s="461"/>
      <c r="AF142" s="461"/>
      <c r="AG142" s="461"/>
      <c r="AH142" s="461"/>
      <c r="AI142" s="461"/>
      <c r="AJ142" s="461"/>
      <c r="AK142" s="461"/>
      <c r="AL142" s="461"/>
      <c r="AM142" s="461"/>
      <c r="AN142" s="461"/>
      <c r="AO142" s="461"/>
      <c r="AP142" s="461"/>
      <c r="AQ142" s="461"/>
      <c r="AR142" s="461"/>
    </row>
    <row r="143" spans="1:44" s="102" customFormat="1" ht="12" customHeight="1">
      <c r="A143" s="118">
        <v>30</v>
      </c>
      <c r="B143" s="102" t="s">
        <v>296</v>
      </c>
      <c r="C143" s="206"/>
      <c r="D143" s="192"/>
      <c r="E143" s="192"/>
      <c r="F143" s="214" t="s">
        <v>18</v>
      </c>
      <c r="G143" s="192"/>
      <c r="H143" s="192"/>
      <c r="I143" s="192"/>
      <c r="J143" s="195"/>
      <c r="K143" s="195"/>
      <c r="L143" s="195"/>
      <c r="M143" s="195"/>
      <c r="N143" s="195"/>
      <c r="O143" s="195"/>
      <c r="P143" s="195"/>
      <c r="Q143" s="199"/>
      <c r="R143" s="461"/>
      <c r="S143" s="461"/>
      <c r="T143" s="461"/>
      <c r="U143" s="461"/>
      <c r="V143" s="461"/>
      <c r="W143" s="461"/>
      <c r="X143" s="461"/>
      <c r="Y143" s="461"/>
      <c r="Z143" s="461"/>
      <c r="AA143" s="461"/>
      <c r="AB143" s="461"/>
      <c r="AC143" s="461"/>
      <c r="AD143" s="461"/>
      <c r="AE143" s="461"/>
      <c r="AF143" s="461"/>
      <c r="AG143" s="461"/>
      <c r="AH143" s="461"/>
      <c r="AI143" s="461"/>
      <c r="AJ143" s="461"/>
      <c r="AK143" s="461"/>
      <c r="AL143" s="461"/>
      <c r="AM143" s="461"/>
      <c r="AN143" s="461"/>
      <c r="AO143" s="461"/>
      <c r="AP143" s="461"/>
      <c r="AQ143" s="461"/>
      <c r="AR143" s="461"/>
    </row>
    <row r="144" spans="1:44" ht="12" customHeight="1">
      <c r="A144" s="1">
        <v>200</v>
      </c>
      <c r="B144" s="62" t="s">
        <v>97</v>
      </c>
      <c r="C144" s="206"/>
      <c r="D144" s="590" t="s">
        <v>407</v>
      </c>
      <c r="E144" s="268"/>
      <c r="F144" s="269"/>
      <c r="G144" s="268"/>
      <c r="H144" s="268"/>
      <c r="I144" s="268"/>
      <c r="J144" s="268"/>
      <c r="K144" s="269"/>
      <c r="L144" s="269"/>
      <c r="M144" s="269"/>
      <c r="N144" s="269"/>
      <c r="O144" s="269"/>
      <c r="P144" s="269"/>
      <c r="Q144" s="199"/>
      <c r="R144" s="468"/>
      <c r="S144" s="469"/>
      <c r="T144" s="464"/>
      <c r="U144" s="464"/>
      <c r="V144" s="460"/>
      <c r="W144" s="460"/>
      <c r="X144" s="460"/>
      <c r="Y144" s="460"/>
      <c r="Z144" s="460"/>
      <c r="AA144" s="460"/>
      <c r="AB144" s="460"/>
      <c r="AC144" s="460"/>
      <c r="AD144" s="460"/>
      <c r="AE144" s="460"/>
      <c r="AF144" s="460"/>
      <c r="AG144" s="460"/>
      <c r="AH144" s="460"/>
      <c r="AI144" s="460"/>
      <c r="AJ144" s="460"/>
      <c r="AK144" s="460"/>
      <c r="AL144" s="460"/>
      <c r="AM144" s="460"/>
      <c r="AN144" s="460"/>
      <c r="AO144" s="460"/>
      <c r="AP144" s="460"/>
      <c r="AQ144" s="460"/>
      <c r="AR144" s="460"/>
    </row>
    <row r="145" spans="1:44" s="460" customFormat="1" ht="17.25" customHeight="1">
      <c r="A145" s="473">
        <v>250</v>
      </c>
      <c r="B145" s="474" t="s">
        <v>28</v>
      </c>
      <c r="C145" s="594"/>
      <c r="D145" s="591"/>
      <c r="E145" s="591"/>
      <c r="F145" s="556"/>
      <c r="G145" s="591"/>
      <c r="H145" s="591"/>
      <c r="I145" s="591"/>
      <c r="J145" s="591"/>
      <c r="K145" s="555"/>
      <c r="L145" s="555"/>
      <c r="M145" s="555"/>
      <c r="N145" s="555"/>
      <c r="O145" s="555"/>
      <c r="P145" s="555"/>
      <c r="Q145" s="512"/>
      <c r="R145" s="465"/>
      <c r="S145" s="463"/>
      <c r="T145" s="464"/>
      <c r="U145" s="464"/>
    </row>
    <row r="146" spans="1:44" s="102" customFormat="1" ht="12" customHeight="1">
      <c r="A146" s="117">
        <v>3</v>
      </c>
      <c r="B146" s="102" t="s">
        <v>252</v>
      </c>
      <c r="C146" s="206"/>
      <c r="D146" s="192"/>
      <c r="E146" s="192"/>
      <c r="F146" s="214" t="s">
        <v>18</v>
      </c>
      <c r="G146" s="192"/>
      <c r="H146" s="195"/>
      <c r="I146" s="192"/>
      <c r="J146" s="195"/>
      <c r="K146" s="195"/>
      <c r="L146" s="195"/>
      <c r="M146" s="195"/>
      <c r="N146" s="195"/>
      <c r="O146" s="195"/>
      <c r="P146" s="195"/>
      <c r="Q146" s="199"/>
      <c r="R146" s="461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  <c r="AL146" s="461"/>
      <c r="AM146" s="461"/>
      <c r="AN146" s="461"/>
      <c r="AO146" s="461"/>
      <c r="AP146" s="461"/>
      <c r="AQ146" s="461"/>
      <c r="AR146" s="461"/>
    </row>
    <row r="147" spans="1:44" s="102" customFormat="1" ht="12" customHeight="1">
      <c r="A147" s="117">
        <v>5</v>
      </c>
      <c r="B147" s="102" t="s">
        <v>253</v>
      </c>
      <c r="C147" s="206"/>
      <c r="D147" s="192"/>
      <c r="E147" s="192"/>
      <c r="F147" s="214" t="s">
        <v>18</v>
      </c>
      <c r="G147" s="192"/>
      <c r="H147" s="195"/>
      <c r="I147" s="192"/>
      <c r="J147" s="195"/>
      <c r="K147" s="195"/>
      <c r="L147" s="195"/>
      <c r="M147" s="195"/>
      <c r="N147" s="195"/>
      <c r="O147" s="195"/>
      <c r="P147" s="195"/>
      <c r="Q147" s="199"/>
      <c r="R147" s="461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  <c r="AL147" s="461"/>
      <c r="AM147" s="461"/>
      <c r="AN147" s="461"/>
      <c r="AO147" s="461"/>
      <c r="AP147" s="461"/>
      <c r="AQ147" s="461"/>
      <c r="AR147" s="461"/>
    </row>
    <row r="148" spans="1:44" s="102" customFormat="1" ht="12" customHeight="1">
      <c r="A148" s="117">
        <v>6</v>
      </c>
      <c r="B148" s="102" t="s">
        <v>265</v>
      </c>
      <c r="C148" s="206"/>
      <c r="D148" s="192"/>
      <c r="E148" s="192"/>
      <c r="F148" s="214" t="s">
        <v>18</v>
      </c>
      <c r="G148" s="192"/>
      <c r="H148" s="192"/>
      <c r="I148" s="192"/>
      <c r="J148" s="195"/>
      <c r="K148" s="195"/>
      <c r="L148" s="195"/>
      <c r="M148" s="195"/>
      <c r="N148" s="195"/>
      <c r="O148" s="195"/>
      <c r="P148" s="195"/>
      <c r="Q148" s="199"/>
      <c r="R148" s="461"/>
      <c r="S148" s="461"/>
      <c r="T148" s="461"/>
      <c r="U148" s="461"/>
      <c r="V148" s="461"/>
      <c r="W148" s="461"/>
      <c r="X148" s="461"/>
      <c r="Y148" s="461"/>
      <c r="Z148" s="461"/>
      <c r="AA148" s="461"/>
      <c r="AB148" s="461"/>
      <c r="AC148" s="461"/>
      <c r="AD148" s="461"/>
      <c r="AE148" s="461"/>
      <c r="AF148" s="461"/>
      <c r="AG148" s="461"/>
      <c r="AH148" s="461"/>
      <c r="AI148" s="461"/>
      <c r="AJ148" s="461"/>
      <c r="AK148" s="461"/>
      <c r="AL148" s="461"/>
      <c r="AM148" s="461"/>
      <c r="AN148" s="461"/>
      <c r="AO148" s="461"/>
      <c r="AP148" s="461"/>
      <c r="AQ148" s="461"/>
      <c r="AR148" s="461"/>
    </row>
    <row r="149" spans="1:44" s="102" customFormat="1" ht="12" customHeight="1">
      <c r="A149" s="117">
        <v>7</v>
      </c>
      <c r="B149" s="102" t="s">
        <v>254</v>
      </c>
      <c r="C149" s="206"/>
      <c r="D149" s="192"/>
      <c r="E149" s="192"/>
      <c r="F149" s="214" t="s">
        <v>18</v>
      </c>
      <c r="G149" s="192"/>
      <c r="H149" s="195"/>
      <c r="I149" s="192"/>
      <c r="J149" s="195"/>
      <c r="K149" s="195"/>
      <c r="L149" s="195"/>
      <c r="M149" s="195"/>
      <c r="N149" s="195"/>
      <c r="O149" s="195"/>
      <c r="P149" s="195"/>
      <c r="Q149" s="199"/>
      <c r="R149" s="461"/>
      <c r="S149" s="461"/>
      <c r="T149" s="461"/>
      <c r="U149" s="461"/>
      <c r="V149" s="461"/>
      <c r="W149" s="461"/>
      <c r="X149" s="461"/>
      <c r="Y149" s="461"/>
      <c r="Z149" s="461"/>
      <c r="AA149" s="461"/>
      <c r="AB149" s="461"/>
      <c r="AC149" s="461"/>
      <c r="AD149" s="461"/>
      <c r="AE149" s="461"/>
      <c r="AF149" s="461"/>
      <c r="AG149" s="461"/>
      <c r="AH149" s="461"/>
      <c r="AI149" s="461"/>
      <c r="AJ149" s="461"/>
      <c r="AK149" s="461"/>
      <c r="AL149" s="461"/>
      <c r="AM149" s="461"/>
      <c r="AN149" s="461"/>
      <c r="AO149" s="461"/>
      <c r="AP149" s="461"/>
      <c r="AQ149" s="461"/>
      <c r="AR149" s="461"/>
    </row>
    <row r="150" spans="1:44" s="102" customFormat="1" ht="12" customHeight="1">
      <c r="A150" s="117">
        <v>9</v>
      </c>
      <c r="B150" s="102" t="s">
        <v>255</v>
      </c>
      <c r="C150" s="206"/>
      <c r="D150" s="192"/>
      <c r="E150" s="192"/>
      <c r="F150" s="214" t="s">
        <v>18</v>
      </c>
      <c r="G150" s="192"/>
      <c r="H150" s="192"/>
      <c r="I150" s="192"/>
      <c r="J150" s="195"/>
      <c r="K150" s="195"/>
      <c r="L150" s="195"/>
      <c r="M150" s="195"/>
      <c r="N150" s="195"/>
      <c r="O150" s="195"/>
      <c r="P150" s="195"/>
      <c r="Q150" s="199"/>
      <c r="R150" s="461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  <c r="AL150" s="461"/>
      <c r="AM150" s="461"/>
      <c r="AN150" s="461"/>
      <c r="AO150" s="461"/>
      <c r="AP150" s="461"/>
      <c r="AQ150" s="461"/>
      <c r="AR150" s="461"/>
    </row>
    <row r="151" spans="1:44" s="102" customFormat="1" ht="12" customHeight="1">
      <c r="A151" s="117">
        <v>11</v>
      </c>
      <c r="B151" s="102" t="s">
        <v>256</v>
      </c>
      <c r="C151" s="206"/>
      <c r="D151" s="192"/>
      <c r="E151" s="192"/>
      <c r="F151" s="214" t="s">
        <v>18</v>
      </c>
      <c r="G151" s="192"/>
      <c r="H151" s="192"/>
      <c r="I151" s="192"/>
      <c r="J151" s="195"/>
      <c r="K151" s="195"/>
      <c r="L151" s="195"/>
      <c r="M151" s="195"/>
      <c r="N151" s="195"/>
      <c r="O151" s="195"/>
      <c r="P151" s="195"/>
      <c r="Q151" s="199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1"/>
      <c r="AO151" s="461"/>
      <c r="AP151" s="461"/>
      <c r="AQ151" s="461"/>
      <c r="AR151" s="461"/>
    </row>
    <row r="152" spans="1:44" s="102" customFormat="1" ht="12" customHeight="1">
      <c r="A152" s="117">
        <v>13</v>
      </c>
      <c r="B152" s="102" t="s">
        <v>257</v>
      </c>
      <c r="C152" s="206"/>
      <c r="D152" s="192"/>
      <c r="E152" s="192"/>
      <c r="F152" s="214" t="s">
        <v>18</v>
      </c>
      <c r="G152" s="192"/>
      <c r="H152" s="192"/>
      <c r="I152" s="192"/>
      <c r="J152" s="195"/>
      <c r="K152" s="195"/>
      <c r="L152" s="195"/>
      <c r="M152" s="195"/>
      <c r="N152" s="195"/>
      <c r="O152" s="195"/>
      <c r="P152" s="195"/>
      <c r="Q152" s="199"/>
      <c r="R152" s="461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  <c r="AL152" s="461"/>
      <c r="AM152" s="461"/>
      <c r="AN152" s="461"/>
      <c r="AO152" s="461"/>
      <c r="AP152" s="461"/>
      <c r="AQ152" s="461"/>
      <c r="AR152" s="461"/>
    </row>
    <row r="153" spans="1:44" s="102" customFormat="1" ht="12" customHeight="1">
      <c r="A153" s="117">
        <v>15</v>
      </c>
      <c r="B153" s="102" t="s">
        <v>258</v>
      </c>
      <c r="C153" s="206"/>
      <c r="D153" s="192"/>
      <c r="E153" s="192"/>
      <c r="F153" s="214" t="s">
        <v>18</v>
      </c>
      <c r="G153" s="192"/>
      <c r="H153" s="192"/>
      <c r="I153" s="192"/>
      <c r="J153" s="195"/>
      <c r="K153" s="195"/>
      <c r="L153" s="195"/>
      <c r="M153" s="195"/>
      <c r="N153" s="195"/>
      <c r="O153" s="195"/>
      <c r="P153" s="195"/>
      <c r="Q153" s="199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</row>
    <row r="154" spans="1:44" s="102" customFormat="1" ht="12" customHeight="1">
      <c r="A154" s="117">
        <v>17</v>
      </c>
      <c r="B154" s="102" t="s">
        <v>259</v>
      </c>
      <c r="C154" s="206"/>
      <c r="D154" s="192"/>
      <c r="E154" s="192"/>
      <c r="F154" s="214" t="s">
        <v>18</v>
      </c>
      <c r="G154" s="192"/>
      <c r="H154" s="192"/>
      <c r="I154" s="192"/>
      <c r="J154" s="195"/>
      <c r="K154" s="195"/>
      <c r="L154" s="195"/>
      <c r="M154" s="195"/>
      <c r="N154" s="195"/>
      <c r="O154" s="195"/>
      <c r="P154" s="195"/>
      <c r="Q154" s="199"/>
      <c r="R154" s="461"/>
      <c r="S154" s="461"/>
      <c r="T154" s="461"/>
      <c r="U154" s="461"/>
      <c r="V154" s="461"/>
      <c r="W154" s="461"/>
      <c r="X154" s="461"/>
      <c r="Y154" s="461"/>
      <c r="Z154" s="461"/>
      <c r="AA154" s="461"/>
      <c r="AB154" s="461"/>
      <c r="AC154" s="461"/>
      <c r="AD154" s="461"/>
      <c r="AE154" s="461"/>
      <c r="AF154" s="461"/>
      <c r="AG154" s="461"/>
      <c r="AH154" s="461"/>
      <c r="AI154" s="461"/>
      <c r="AJ154" s="461"/>
      <c r="AK154" s="461"/>
      <c r="AL154" s="461"/>
      <c r="AM154" s="461"/>
      <c r="AN154" s="461"/>
      <c r="AO154" s="461"/>
      <c r="AP154" s="461"/>
      <c r="AQ154" s="461"/>
      <c r="AR154" s="461"/>
    </row>
    <row r="155" spans="1:44" s="102" customFormat="1" ht="12" customHeight="1">
      <c r="A155" s="117">
        <v>18</v>
      </c>
      <c r="B155" s="102" t="s">
        <v>266</v>
      </c>
      <c r="C155" s="206"/>
      <c r="D155" s="192"/>
      <c r="E155" s="192"/>
      <c r="F155" s="214" t="s">
        <v>18</v>
      </c>
      <c r="G155" s="192"/>
      <c r="H155" s="192"/>
      <c r="I155" s="192"/>
      <c r="J155" s="195"/>
      <c r="K155" s="195"/>
      <c r="L155" s="195"/>
      <c r="M155" s="195"/>
      <c r="N155" s="195"/>
      <c r="O155" s="195"/>
      <c r="P155" s="195"/>
      <c r="Q155" s="199"/>
      <c r="R155" s="461"/>
      <c r="S155" s="461"/>
      <c r="T155" s="461"/>
      <c r="U155" s="461"/>
      <c r="V155" s="461"/>
      <c r="W155" s="461"/>
      <c r="X155" s="461"/>
      <c r="Y155" s="461"/>
      <c r="Z155" s="461"/>
      <c r="AA155" s="461"/>
      <c r="AB155" s="461"/>
      <c r="AC155" s="461"/>
      <c r="AD155" s="461"/>
      <c r="AE155" s="461"/>
      <c r="AF155" s="461"/>
      <c r="AG155" s="461"/>
      <c r="AH155" s="461"/>
      <c r="AI155" s="461"/>
      <c r="AJ155" s="461"/>
      <c r="AK155" s="461"/>
      <c r="AL155" s="461"/>
      <c r="AM155" s="461"/>
      <c r="AN155" s="461"/>
      <c r="AO155" s="461"/>
      <c r="AP155" s="461"/>
      <c r="AQ155" s="461"/>
      <c r="AR155" s="461"/>
    </row>
    <row r="156" spans="1:44" s="102" customFormat="1" ht="12" customHeight="1">
      <c r="A156" s="118">
        <v>19</v>
      </c>
      <c r="B156" s="102" t="s">
        <v>260</v>
      </c>
      <c r="C156" s="206"/>
      <c r="D156" s="192"/>
      <c r="E156" s="192"/>
      <c r="F156" s="214" t="s">
        <v>18</v>
      </c>
      <c r="G156" s="192"/>
      <c r="H156" s="192"/>
      <c r="I156" s="192"/>
      <c r="J156" s="195"/>
      <c r="K156" s="195"/>
      <c r="L156" s="195"/>
      <c r="M156" s="195"/>
      <c r="N156" s="195"/>
      <c r="O156" s="195"/>
      <c r="P156" s="195"/>
      <c r="Q156" s="199"/>
      <c r="R156" s="461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1"/>
      <c r="AO156" s="461"/>
      <c r="AP156" s="461"/>
      <c r="AQ156" s="461"/>
      <c r="AR156" s="461"/>
    </row>
    <row r="157" spans="1:44" s="102" customFormat="1" ht="12" customHeight="1">
      <c r="A157" s="118">
        <v>20</v>
      </c>
      <c r="B157" s="102" t="s">
        <v>267</v>
      </c>
      <c r="C157" s="206"/>
      <c r="D157" s="192"/>
      <c r="E157" s="192"/>
      <c r="F157" s="214" t="s">
        <v>18</v>
      </c>
      <c r="G157" s="192"/>
      <c r="H157" s="192"/>
      <c r="I157" s="192"/>
      <c r="J157" s="195"/>
      <c r="K157" s="195"/>
      <c r="L157" s="195"/>
      <c r="M157" s="195"/>
      <c r="N157" s="195"/>
      <c r="O157" s="195"/>
      <c r="P157" s="195"/>
      <c r="Q157" s="199"/>
      <c r="R157" s="461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1"/>
      <c r="AO157" s="461"/>
      <c r="AP157" s="461"/>
      <c r="AQ157" s="461"/>
      <c r="AR157" s="461"/>
    </row>
    <row r="158" spans="1:44" s="102" customFormat="1" ht="12" customHeight="1">
      <c r="A158" s="117">
        <v>21</v>
      </c>
      <c r="B158" s="102" t="s">
        <v>261</v>
      </c>
      <c r="C158" s="206"/>
      <c r="D158" s="192"/>
      <c r="E158" s="192"/>
      <c r="F158" s="214" t="s">
        <v>18</v>
      </c>
      <c r="G158" s="192"/>
      <c r="H158" s="192"/>
      <c r="I158" s="192"/>
      <c r="J158" s="195"/>
      <c r="K158" s="195"/>
      <c r="L158" s="195"/>
      <c r="M158" s="195"/>
      <c r="N158" s="195"/>
      <c r="O158" s="195"/>
      <c r="P158" s="195"/>
      <c r="Q158" s="199"/>
      <c r="R158" s="461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  <c r="AL158" s="461"/>
      <c r="AM158" s="461"/>
      <c r="AN158" s="461"/>
      <c r="AO158" s="461"/>
      <c r="AP158" s="461"/>
      <c r="AQ158" s="461"/>
      <c r="AR158" s="461"/>
    </row>
    <row r="159" spans="1:44" s="102" customFormat="1" ht="12" customHeight="1">
      <c r="A159" s="117">
        <v>22</v>
      </c>
      <c r="B159" s="102" t="s">
        <v>268</v>
      </c>
      <c r="C159" s="206"/>
      <c r="D159" s="192"/>
      <c r="E159" s="192"/>
      <c r="F159" s="214" t="s">
        <v>18</v>
      </c>
      <c r="G159" s="192"/>
      <c r="H159" s="192"/>
      <c r="I159" s="192"/>
      <c r="J159" s="195"/>
      <c r="K159" s="195"/>
      <c r="L159" s="195"/>
      <c r="M159" s="195"/>
      <c r="N159" s="195"/>
      <c r="O159" s="195"/>
      <c r="P159" s="195"/>
      <c r="Q159" s="199"/>
      <c r="R159" s="461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  <c r="AL159" s="461"/>
      <c r="AM159" s="461"/>
      <c r="AN159" s="461"/>
      <c r="AO159" s="461"/>
      <c r="AP159" s="461"/>
      <c r="AQ159" s="461"/>
      <c r="AR159" s="461"/>
    </row>
    <row r="160" spans="1:44" s="102" customFormat="1" ht="12" customHeight="1">
      <c r="A160" s="117">
        <v>23</v>
      </c>
      <c r="B160" s="102" t="s">
        <v>297</v>
      </c>
      <c r="C160" s="206"/>
      <c r="D160" s="192"/>
      <c r="E160" s="192"/>
      <c r="F160" s="214" t="s">
        <v>18</v>
      </c>
      <c r="G160" s="192"/>
      <c r="H160" s="192"/>
      <c r="I160" s="192"/>
      <c r="J160" s="195"/>
      <c r="K160" s="195"/>
      <c r="L160" s="195"/>
      <c r="M160" s="195"/>
      <c r="N160" s="195"/>
      <c r="O160" s="195"/>
      <c r="P160" s="195"/>
      <c r="Q160" s="199"/>
      <c r="R160" s="461"/>
      <c r="S160" s="461"/>
      <c r="T160" s="461"/>
      <c r="U160" s="461"/>
      <c r="V160" s="461"/>
      <c r="W160" s="461"/>
      <c r="X160" s="461"/>
      <c r="Y160" s="461"/>
      <c r="Z160" s="461"/>
      <c r="AA160" s="461"/>
      <c r="AB160" s="461"/>
      <c r="AC160" s="461"/>
      <c r="AD160" s="461"/>
      <c r="AE160" s="461"/>
      <c r="AF160" s="461"/>
      <c r="AG160" s="461"/>
      <c r="AH160" s="461"/>
      <c r="AI160" s="461"/>
      <c r="AJ160" s="461"/>
      <c r="AK160" s="461"/>
      <c r="AL160" s="461"/>
      <c r="AM160" s="461"/>
      <c r="AN160" s="461"/>
      <c r="AO160" s="461"/>
      <c r="AP160" s="461"/>
      <c r="AQ160" s="461"/>
      <c r="AR160" s="461"/>
    </row>
    <row r="161" spans="1:44" s="102" customFormat="1" ht="12" customHeight="1">
      <c r="A161" s="117">
        <v>24</v>
      </c>
      <c r="B161" s="102" t="s">
        <v>269</v>
      </c>
      <c r="C161" s="206"/>
      <c r="D161" s="192"/>
      <c r="E161" s="192"/>
      <c r="F161" s="214" t="s">
        <v>18</v>
      </c>
      <c r="G161" s="192"/>
      <c r="H161" s="192"/>
      <c r="I161" s="192"/>
      <c r="J161" s="195"/>
      <c r="K161" s="195"/>
      <c r="L161" s="195"/>
      <c r="M161" s="195"/>
      <c r="N161" s="195"/>
      <c r="O161" s="195"/>
      <c r="P161" s="195"/>
      <c r="Q161" s="199"/>
      <c r="R161" s="461"/>
      <c r="S161" s="461"/>
      <c r="T161" s="461"/>
      <c r="U161" s="461"/>
      <c r="V161" s="461"/>
      <c r="W161" s="461"/>
      <c r="X161" s="461"/>
      <c r="Y161" s="461"/>
      <c r="Z161" s="461"/>
      <c r="AA161" s="461"/>
      <c r="AB161" s="461"/>
      <c r="AC161" s="461"/>
      <c r="AD161" s="461"/>
      <c r="AE161" s="461"/>
      <c r="AF161" s="461"/>
      <c r="AG161" s="461"/>
      <c r="AH161" s="461"/>
      <c r="AI161" s="461"/>
      <c r="AJ161" s="461"/>
      <c r="AK161" s="461"/>
      <c r="AL161" s="461"/>
      <c r="AM161" s="461"/>
      <c r="AN161" s="461"/>
      <c r="AO161" s="461"/>
      <c r="AP161" s="461"/>
      <c r="AQ161" s="461"/>
      <c r="AR161" s="461"/>
    </row>
    <row r="162" spans="1:44" s="102" customFormat="1" ht="12" customHeight="1">
      <c r="A162" s="117">
        <v>25</v>
      </c>
      <c r="B162" s="102" t="s">
        <v>263</v>
      </c>
      <c r="C162" s="206"/>
      <c r="D162" s="192"/>
      <c r="E162" s="192"/>
      <c r="F162" s="214" t="s">
        <v>18</v>
      </c>
      <c r="G162" s="192"/>
      <c r="H162" s="192"/>
      <c r="I162" s="192"/>
      <c r="J162" s="195"/>
      <c r="K162" s="195"/>
      <c r="L162" s="195"/>
      <c r="M162" s="195"/>
      <c r="N162" s="195"/>
      <c r="O162" s="195"/>
      <c r="P162" s="195"/>
      <c r="Q162" s="199"/>
      <c r="R162" s="461"/>
      <c r="S162" s="461"/>
      <c r="T162" s="461"/>
      <c r="U162" s="461"/>
      <c r="V162" s="461"/>
      <c r="W162" s="461"/>
      <c r="X162" s="461"/>
      <c r="Y162" s="461"/>
      <c r="Z162" s="461"/>
      <c r="AA162" s="461"/>
      <c r="AB162" s="461"/>
      <c r="AC162" s="461"/>
      <c r="AD162" s="461"/>
      <c r="AE162" s="461"/>
      <c r="AF162" s="461"/>
      <c r="AG162" s="461"/>
      <c r="AH162" s="461"/>
      <c r="AI162" s="461"/>
      <c r="AJ162" s="461"/>
      <c r="AK162" s="461"/>
      <c r="AL162" s="461"/>
      <c r="AM162" s="461"/>
      <c r="AN162" s="461"/>
      <c r="AO162" s="461"/>
      <c r="AP162" s="461"/>
      <c r="AQ162" s="461"/>
      <c r="AR162" s="461"/>
    </row>
    <row r="163" spans="1:44" s="102" customFormat="1" ht="12" customHeight="1">
      <c r="A163" s="117">
        <v>27</v>
      </c>
      <c r="B163" s="102" t="s">
        <v>264</v>
      </c>
      <c r="C163" s="206"/>
      <c r="D163" s="192"/>
      <c r="E163" s="192"/>
      <c r="F163" s="214" t="s">
        <v>18</v>
      </c>
      <c r="G163" s="192"/>
      <c r="H163" s="192"/>
      <c r="I163" s="192"/>
      <c r="J163" s="195"/>
      <c r="K163" s="195"/>
      <c r="L163" s="195"/>
      <c r="M163" s="195"/>
      <c r="N163" s="195"/>
      <c r="O163" s="195"/>
      <c r="P163" s="195"/>
      <c r="Q163" s="199"/>
      <c r="R163" s="461"/>
      <c r="S163" s="461"/>
      <c r="T163" s="461"/>
      <c r="U163" s="461"/>
      <c r="V163" s="461"/>
      <c r="W163" s="461"/>
      <c r="X163" s="461"/>
      <c r="Y163" s="461"/>
      <c r="Z163" s="461"/>
      <c r="AA163" s="461"/>
      <c r="AB163" s="461"/>
      <c r="AC163" s="461"/>
      <c r="AD163" s="461"/>
      <c r="AE163" s="461"/>
      <c r="AF163" s="461"/>
      <c r="AG163" s="461"/>
      <c r="AH163" s="461"/>
      <c r="AI163" s="461"/>
      <c r="AJ163" s="461"/>
      <c r="AK163" s="461"/>
      <c r="AL163" s="461"/>
      <c r="AM163" s="461"/>
      <c r="AN163" s="461"/>
      <c r="AO163" s="461"/>
      <c r="AP163" s="461"/>
      <c r="AQ163" s="461"/>
      <c r="AR163" s="461"/>
    </row>
    <row r="164" spans="1:44" s="102" customFormat="1" ht="12" customHeight="1">
      <c r="A164" s="118">
        <v>29</v>
      </c>
      <c r="B164" s="102" t="s">
        <v>295</v>
      </c>
      <c r="C164" s="206"/>
      <c r="D164" s="192"/>
      <c r="E164" s="192"/>
      <c r="F164" s="214" t="s">
        <v>18</v>
      </c>
      <c r="G164" s="192"/>
      <c r="H164" s="192"/>
      <c r="I164" s="192"/>
      <c r="J164" s="195"/>
      <c r="K164" s="195"/>
      <c r="L164" s="195"/>
      <c r="M164" s="195"/>
      <c r="N164" s="195"/>
      <c r="O164" s="195"/>
      <c r="P164" s="195"/>
      <c r="Q164" s="199"/>
      <c r="R164" s="461"/>
      <c r="S164" s="461"/>
      <c r="T164" s="461"/>
      <c r="U164" s="461"/>
      <c r="V164" s="461"/>
      <c r="W164" s="461"/>
      <c r="X164" s="461"/>
      <c r="Y164" s="461"/>
      <c r="Z164" s="461"/>
      <c r="AA164" s="461"/>
      <c r="AB164" s="461"/>
      <c r="AC164" s="461"/>
      <c r="AD164" s="461"/>
      <c r="AE164" s="461"/>
      <c r="AF164" s="461"/>
      <c r="AG164" s="461"/>
      <c r="AH164" s="461"/>
      <c r="AI164" s="461"/>
      <c r="AJ164" s="461"/>
      <c r="AK164" s="461"/>
      <c r="AL164" s="461"/>
      <c r="AM164" s="461"/>
      <c r="AN164" s="461"/>
      <c r="AO164" s="461"/>
      <c r="AP164" s="461"/>
      <c r="AQ164" s="461"/>
      <c r="AR164" s="461"/>
    </row>
    <row r="165" spans="1:44" s="102" customFormat="1" ht="12" customHeight="1">
      <c r="A165" s="118">
        <v>30</v>
      </c>
      <c r="B165" s="102" t="s">
        <v>296</v>
      </c>
      <c r="C165" s="206"/>
      <c r="D165" s="192"/>
      <c r="E165" s="192"/>
      <c r="F165" s="214" t="s">
        <v>18</v>
      </c>
      <c r="G165" s="192"/>
      <c r="H165" s="192"/>
      <c r="I165" s="192"/>
      <c r="J165" s="195"/>
      <c r="K165" s="195"/>
      <c r="L165" s="195"/>
      <c r="M165" s="195"/>
      <c r="N165" s="195"/>
      <c r="O165" s="195"/>
      <c r="P165" s="195"/>
      <c r="Q165" s="199"/>
      <c r="R165" s="461"/>
      <c r="S165" s="461"/>
      <c r="T165" s="461"/>
      <c r="U165" s="461"/>
      <c r="V165" s="461"/>
      <c r="W165" s="461"/>
      <c r="X165" s="461"/>
      <c r="Y165" s="461"/>
      <c r="Z165" s="461"/>
      <c r="AA165" s="461"/>
      <c r="AB165" s="461"/>
      <c r="AC165" s="461"/>
      <c r="AD165" s="461"/>
      <c r="AE165" s="461"/>
      <c r="AF165" s="461"/>
      <c r="AG165" s="461"/>
      <c r="AH165" s="461"/>
      <c r="AI165" s="461"/>
      <c r="AJ165" s="461"/>
      <c r="AK165" s="461"/>
      <c r="AL165" s="461"/>
      <c r="AM165" s="461"/>
      <c r="AN165" s="461"/>
      <c r="AO165" s="461"/>
      <c r="AP165" s="461"/>
      <c r="AQ165" s="461"/>
      <c r="AR165" s="461"/>
    </row>
    <row r="166" spans="1:44">
      <c r="A166" s="1">
        <v>200</v>
      </c>
      <c r="B166" s="62" t="s">
        <v>97</v>
      </c>
      <c r="C166" s="206"/>
      <c r="D166" s="590" t="s">
        <v>407</v>
      </c>
      <c r="E166" s="268"/>
      <c r="F166" s="269"/>
      <c r="G166" s="268"/>
      <c r="H166" s="268"/>
      <c r="I166" s="268"/>
      <c r="J166" s="268"/>
      <c r="K166" s="269"/>
      <c r="L166" s="269"/>
      <c r="M166" s="269"/>
      <c r="N166" s="269"/>
      <c r="O166" s="269"/>
      <c r="P166" s="269"/>
      <c r="Q166" s="199"/>
      <c r="R166" s="468"/>
      <c r="S166" s="470"/>
      <c r="T166" s="464"/>
      <c r="U166" s="464"/>
      <c r="V166" s="460"/>
      <c r="W166" s="460"/>
      <c r="X166" s="460"/>
      <c r="Y166" s="460"/>
      <c r="Z166" s="460"/>
      <c r="AA166" s="460"/>
      <c r="AB166" s="460"/>
      <c r="AC166" s="460"/>
      <c r="AD166" s="460"/>
      <c r="AE166" s="460"/>
      <c r="AF166" s="460"/>
      <c r="AG166" s="460"/>
      <c r="AH166" s="460"/>
      <c r="AI166" s="460"/>
      <c r="AJ166" s="460"/>
      <c r="AK166" s="460"/>
      <c r="AL166" s="460"/>
      <c r="AM166" s="460"/>
      <c r="AN166" s="460"/>
      <c r="AO166" s="460"/>
      <c r="AP166" s="460"/>
      <c r="AQ166" s="460"/>
      <c r="AR166" s="460"/>
    </row>
    <row r="167" spans="1:44" s="460" customFormat="1" ht="17.25" customHeight="1">
      <c r="A167" s="473">
        <v>250</v>
      </c>
      <c r="B167" s="474" t="s">
        <v>29</v>
      </c>
      <c r="C167" s="594"/>
      <c r="D167" s="596"/>
      <c r="E167" s="591"/>
      <c r="F167" s="556"/>
      <c r="G167" s="591"/>
      <c r="H167" s="591"/>
      <c r="I167" s="591"/>
      <c r="J167" s="591"/>
      <c r="K167" s="555"/>
      <c r="L167" s="555"/>
      <c r="M167" s="555"/>
      <c r="N167" s="555"/>
      <c r="O167" s="555"/>
      <c r="P167" s="555"/>
      <c r="Q167" s="512"/>
      <c r="R167" s="465"/>
      <c r="S167" s="463"/>
      <c r="T167" s="464"/>
      <c r="U167" s="464"/>
    </row>
    <row r="168" spans="1:44" s="102" customFormat="1" ht="12" customHeight="1">
      <c r="A168" s="117">
        <v>3</v>
      </c>
      <c r="B168" s="102" t="s">
        <v>252</v>
      </c>
      <c r="C168" s="206"/>
      <c r="D168" s="192"/>
      <c r="E168" s="192"/>
      <c r="F168" s="214" t="s">
        <v>18</v>
      </c>
      <c r="G168" s="192"/>
      <c r="H168" s="195"/>
      <c r="I168" s="192"/>
      <c r="J168" s="195"/>
      <c r="K168" s="195"/>
      <c r="L168" s="195"/>
      <c r="M168" s="195"/>
      <c r="N168" s="195"/>
      <c r="O168" s="195"/>
      <c r="P168" s="195"/>
      <c r="Q168" s="199"/>
      <c r="R168" s="461"/>
      <c r="S168" s="461"/>
      <c r="T168" s="461"/>
      <c r="U168" s="461"/>
      <c r="V168" s="461"/>
      <c r="W168" s="461"/>
      <c r="X168" s="461"/>
      <c r="Y168" s="461"/>
      <c r="Z168" s="461"/>
      <c r="AA168" s="461"/>
      <c r="AB168" s="461"/>
      <c r="AC168" s="461"/>
      <c r="AD168" s="461"/>
      <c r="AE168" s="461"/>
      <c r="AF168" s="461"/>
      <c r="AG168" s="461"/>
      <c r="AH168" s="461"/>
      <c r="AI168" s="461"/>
      <c r="AJ168" s="461"/>
      <c r="AK168" s="461"/>
      <c r="AL168" s="461"/>
      <c r="AM168" s="461"/>
      <c r="AN168" s="461"/>
      <c r="AO168" s="461"/>
      <c r="AP168" s="461"/>
      <c r="AQ168" s="461"/>
      <c r="AR168" s="461"/>
    </row>
    <row r="169" spans="1:44" s="102" customFormat="1" ht="12" customHeight="1">
      <c r="A169" s="117">
        <v>6</v>
      </c>
      <c r="B169" s="102" t="s">
        <v>265</v>
      </c>
      <c r="C169" s="206"/>
      <c r="D169" s="192"/>
      <c r="E169" s="192"/>
      <c r="F169" s="214" t="s">
        <v>18</v>
      </c>
      <c r="G169" s="192"/>
      <c r="H169" s="195"/>
      <c r="I169" s="192"/>
      <c r="J169" s="195"/>
      <c r="K169" s="195"/>
      <c r="L169" s="195"/>
      <c r="M169" s="195"/>
      <c r="N169" s="195"/>
      <c r="O169" s="195"/>
      <c r="P169" s="195"/>
      <c r="Q169" s="199"/>
      <c r="R169" s="461"/>
      <c r="S169" s="461"/>
      <c r="T169" s="461"/>
      <c r="U169" s="461"/>
      <c r="V169" s="461"/>
      <c r="W169" s="461"/>
      <c r="X169" s="461"/>
      <c r="Y169" s="461"/>
      <c r="Z169" s="461"/>
      <c r="AA169" s="461"/>
      <c r="AB169" s="461"/>
      <c r="AC169" s="461"/>
      <c r="AD169" s="461"/>
      <c r="AE169" s="461"/>
      <c r="AF169" s="461"/>
      <c r="AG169" s="461"/>
      <c r="AH169" s="461"/>
      <c r="AI169" s="461"/>
      <c r="AJ169" s="461"/>
      <c r="AK169" s="461"/>
      <c r="AL169" s="461"/>
      <c r="AM169" s="461"/>
      <c r="AN169" s="461"/>
      <c r="AO169" s="461"/>
      <c r="AP169" s="461"/>
      <c r="AQ169" s="461"/>
      <c r="AR169" s="461"/>
    </row>
    <row r="170" spans="1:44" s="102" customFormat="1" ht="12" customHeight="1">
      <c r="A170" s="117">
        <v>7</v>
      </c>
      <c r="B170" s="102" t="s">
        <v>254</v>
      </c>
      <c r="C170" s="206"/>
      <c r="D170" s="192"/>
      <c r="E170" s="192"/>
      <c r="F170" s="214" t="s">
        <v>18</v>
      </c>
      <c r="G170" s="192"/>
      <c r="H170" s="195"/>
      <c r="I170" s="192"/>
      <c r="J170" s="195"/>
      <c r="K170" s="195"/>
      <c r="L170" s="195"/>
      <c r="M170" s="195"/>
      <c r="N170" s="195"/>
      <c r="O170" s="195"/>
      <c r="P170" s="195"/>
      <c r="Q170" s="199"/>
      <c r="R170" s="461"/>
      <c r="S170" s="461"/>
      <c r="T170" s="461"/>
      <c r="U170" s="461"/>
      <c r="V170" s="461"/>
      <c r="W170" s="461"/>
      <c r="X170" s="461"/>
      <c r="Y170" s="461"/>
      <c r="Z170" s="461"/>
      <c r="AA170" s="461"/>
      <c r="AB170" s="461"/>
      <c r="AC170" s="461"/>
      <c r="AD170" s="461"/>
      <c r="AE170" s="461"/>
      <c r="AF170" s="461"/>
      <c r="AG170" s="461"/>
      <c r="AH170" s="461"/>
      <c r="AI170" s="461"/>
      <c r="AJ170" s="461"/>
      <c r="AK170" s="461"/>
      <c r="AL170" s="461"/>
      <c r="AM170" s="461"/>
      <c r="AN170" s="461"/>
      <c r="AO170" s="461"/>
      <c r="AP170" s="461"/>
      <c r="AQ170" s="461"/>
      <c r="AR170" s="461"/>
    </row>
    <row r="171" spans="1:44" s="102" customFormat="1" ht="12" customHeight="1">
      <c r="A171" s="117">
        <v>11</v>
      </c>
      <c r="B171" s="102" t="s">
        <v>256</v>
      </c>
      <c r="C171" s="206"/>
      <c r="D171" s="192"/>
      <c r="E171" s="192"/>
      <c r="F171" s="214" t="s">
        <v>18</v>
      </c>
      <c r="G171" s="192"/>
      <c r="H171" s="195"/>
      <c r="I171" s="192"/>
      <c r="J171" s="195"/>
      <c r="K171" s="195"/>
      <c r="L171" s="195"/>
      <c r="M171" s="195"/>
      <c r="N171" s="195"/>
      <c r="O171" s="195"/>
      <c r="P171" s="195"/>
      <c r="Q171" s="199"/>
      <c r="R171" s="461"/>
      <c r="S171" s="461"/>
      <c r="T171" s="461"/>
      <c r="U171" s="461"/>
      <c r="V171" s="461"/>
      <c r="W171" s="461"/>
      <c r="X171" s="461"/>
      <c r="Y171" s="461"/>
      <c r="Z171" s="461"/>
      <c r="AA171" s="461"/>
      <c r="AB171" s="461"/>
      <c r="AC171" s="461"/>
      <c r="AD171" s="461"/>
      <c r="AE171" s="461"/>
      <c r="AF171" s="461"/>
      <c r="AG171" s="461"/>
      <c r="AH171" s="461"/>
      <c r="AI171" s="461"/>
      <c r="AJ171" s="461"/>
      <c r="AK171" s="461"/>
      <c r="AL171" s="461"/>
      <c r="AM171" s="461"/>
      <c r="AN171" s="461"/>
      <c r="AO171" s="461"/>
      <c r="AP171" s="461"/>
      <c r="AQ171" s="461"/>
      <c r="AR171" s="461"/>
    </row>
    <row r="172" spans="1:44" s="102" customFormat="1" ht="12" customHeight="1">
      <c r="A172" s="118">
        <v>19</v>
      </c>
      <c r="B172" s="102" t="s">
        <v>260</v>
      </c>
      <c r="C172" s="206"/>
      <c r="D172" s="192"/>
      <c r="E172" s="192"/>
      <c r="F172" s="214" t="s">
        <v>18</v>
      </c>
      <c r="G172" s="192"/>
      <c r="H172" s="195"/>
      <c r="I172" s="192"/>
      <c r="J172" s="192"/>
      <c r="K172" s="195"/>
      <c r="L172" s="195"/>
      <c r="M172" s="195"/>
      <c r="N172" s="195"/>
      <c r="O172" s="195"/>
      <c r="P172" s="195"/>
      <c r="Q172" s="199"/>
      <c r="R172" s="461"/>
      <c r="S172" s="461"/>
      <c r="T172" s="461"/>
      <c r="U172" s="461"/>
      <c r="V172" s="461"/>
      <c r="W172" s="461"/>
      <c r="X172" s="461"/>
      <c r="Y172" s="461"/>
      <c r="Z172" s="461"/>
      <c r="AA172" s="461"/>
      <c r="AB172" s="461"/>
      <c r="AC172" s="461"/>
      <c r="AD172" s="461"/>
      <c r="AE172" s="461"/>
      <c r="AF172" s="461"/>
      <c r="AG172" s="461"/>
      <c r="AH172" s="461"/>
      <c r="AI172" s="461"/>
      <c r="AJ172" s="461"/>
      <c r="AK172" s="461"/>
      <c r="AL172" s="461"/>
      <c r="AM172" s="461"/>
      <c r="AN172" s="461"/>
      <c r="AO172" s="461"/>
      <c r="AP172" s="461"/>
      <c r="AQ172" s="461"/>
      <c r="AR172" s="461"/>
    </row>
    <row r="173" spans="1:44" s="102" customFormat="1" ht="12" customHeight="1">
      <c r="A173" s="118">
        <v>20</v>
      </c>
      <c r="B173" s="102" t="s">
        <v>267</v>
      </c>
      <c r="C173" s="206"/>
      <c r="D173" s="192"/>
      <c r="E173" s="192"/>
      <c r="F173" s="214" t="s">
        <v>18</v>
      </c>
      <c r="G173" s="192"/>
      <c r="H173" s="195"/>
      <c r="I173" s="192"/>
      <c r="J173" s="195"/>
      <c r="K173" s="195"/>
      <c r="L173" s="195"/>
      <c r="M173" s="195"/>
      <c r="N173" s="195"/>
      <c r="O173" s="195"/>
      <c r="P173" s="195"/>
      <c r="Q173" s="199"/>
      <c r="R173" s="461"/>
      <c r="S173" s="461"/>
      <c r="T173" s="461"/>
      <c r="U173" s="461"/>
      <c r="V173" s="461"/>
      <c r="W173" s="461"/>
      <c r="X173" s="461"/>
      <c r="Y173" s="461"/>
      <c r="Z173" s="461"/>
      <c r="AA173" s="461"/>
      <c r="AB173" s="461"/>
      <c r="AC173" s="461"/>
      <c r="AD173" s="461"/>
      <c r="AE173" s="461"/>
      <c r="AF173" s="461"/>
      <c r="AG173" s="461"/>
      <c r="AH173" s="461"/>
      <c r="AI173" s="461"/>
      <c r="AJ173" s="461"/>
      <c r="AK173" s="461"/>
      <c r="AL173" s="461"/>
      <c r="AM173" s="461"/>
      <c r="AN173" s="461"/>
      <c r="AO173" s="461"/>
      <c r="AP173" s="461"/>
      <c r="AQ173" s="461"/>
      <c r="AR173" s="461"/>
    </row>
    <row r="174" spans="1:44" s="102" customFormat="1" ht="12" customHeight="1">
      <c r="A174" s="117">
        <v>21</v>
      </c>
      <c r="B174" s="102" t="s">
        <v>261</v>
      </c>
      <c r="C174" s="206"/>
      <c r="D174" s="192"/>
      <c r="E174" s="192"/>
      <c r="F174" s="214" t="s">
        <v>18</v>
      </c>
      <c r="G174" s="192"/>
      <c r="H174" s="195"/>
      <c r="I174" s="192"/>
      <c r="J174" s="195"/>
      <c r="K174" s="195"/>
      <c r="L174" s="195"/>
      <c r="M174" s="195"/>
      <c r="N174" s="195"/>
      <c r="O174" s="195"/>
      <c r="P174" s="195"/>
      <c r="Q174" s="199"/>
      <c r="R174" s="461"/>
      <c r="S174" s="461"/>
      <c r="T174" s="461"/>
      <c r="U174" s="461"/>
      <c r="V174" s="461"/>
      <c r="W174" s="461"/>
      <c r="X174" s="461"/>
      <c r="Y174" s="461"/>
      <c r="Z174" s="461"/>
      <c r="AA174" s="461"/>
      <c r="AB174" s="461"/>
      <c r="AC174" s="461"/>
      <c r="AD174" s="461"/>
      <c r="AE174" s="461"/>
      <c r="AF174" s="461"/>
      <c r="AG174" s="461"/>
      <c r="AH174" s="461"/>
      <c r="AI174" s="461"/>
      <c r="AJ174" s="461"/>
      <c r="AK174" s="461"/>
      <c r="AL174" s="461"/>
      <c r="AM174" s="461"/>
      <c r="AN174" s="461"/>
      <c r="AO174" s="461"/>
      <c r="AP174" s="461"/>
      <c r="AQ174" s="461"/>
      <c r="AR174" s="461"/>
    </row>
    <row r="175" spans="1:44" s="102" customFormat="1" ht="12" customHeight="1">
      <c r="A175" s="117">
        <v>25</v>
      </c>
      <c r="B175" s="102" t="s">
        <v>263</v>
      </c>
      <c r="C175" s="206"/>
      <c r="D175" s="192"/>
      <c r="E175" s="192"/>
      <c r="F175" s="214" t="s">
        <v>18</v>
      </c>
      <c r="G175" s="192"/>
      <c r="H175" s="192"/>
      <c r="I175" s="192"/>
      <c r="J175" s="195"/>
      <c r="K175" s="195"/>
      <c r="L175" s="195"/>
      <c r="M175" s="195"/>
      <c r="N175" s="195"/>
      <c r="O175" s="195"/>
      <c r="P175" s="195"/>
      <c r="Q175" s="199"/>
      <c r="R175" s="461"/>
      <c r="S175" s="461"/>
      <c r="T175" s="461"/>
      <c r="U175" s="461"/>
      <c r="V175" s="461"/>
      <c r="W175" s="461"/>
      <c r="X175" s="461"/>
      <c r="Y175" s="461"/>
      <c r="Z175" s="461"/>
      <c r="AA175" s="461"/>
      <c r="AB175" s="461"/>
      <c r="AC175" s="461"/>
      <c r="AD175" s="461"/>
      <c r="AE175" s="461"/>
      <c r="AF175" s="461"/>
      <c r="AG175" s="461"/>
      <c r="AH175" s="461"/>
      <c r="AI175" s="461"/>
      <c r="AJ175" s="461"/>
      <c r="AK175" s="461"/>
      <c r="AL175" s="461"/>
      <c r="AM175" s="461"/>
      <c r="AN175" s="461"/>
      <c r="AO175" s="461"/>
      <c r="AP175" s="461"/>
      <c r="AQ175" s="461"/>
      <c r="AR175" s="461"/>
    </row>
    <row r="176" spans="1:44" s="102" customFormat="1" ht="12" customHeight="1">
      <c r="A176" s="118">
        <v>29</v>
      </c>
      <c r="B176" s="102" t="s">
        <v>295</v>
      </c>
      <c r="C176" s="206"/>
      <c r="D176" s="192"/>
      <c r="E176" s="192"/>
      <c r="F176" s="214" t="s">
        <v>18</v>
      </c>
      <c r="G176" s="192"/>
      <c r="H176" s="192"/>
      <c r="I176" s="192"/>
      <c r="J176" s="195"/>
      <c r="K176" s="195"/>
      <c r="L176" s="195"/>
      <c r="M176" s="195"/>
      <c r="N176" s="195"/>
      <c r="O176" s="195"/>
      <c r="P176" s="195"/>
      <c r="Q176" s="199"/>
      <c r="R176" s="461"/>
      <c r="S176" s="461"/>
      <c r="T176" s="461"/>
      <c r="U176" s="461"/>
      <c r="V176" s="461"/>
      <c r="W176" s="461"/>
      <c r="X176" s="461"/>
      <c r="Y176" s="461"/>
      <c r="Z176" s="461"/>
      <c r="AA176" s="461"/>
      <c r="AB176" s="461"/>
      <c r="AC176" s="461"/>
      <c r="AD176" s="461"/>
      <c r="AE176" s="461"/>
      <c r="AF176" s="461"/>
      <c r="AG176" s="461"/>
      <c r="AH176" s="461"/>
      <c r="AI176" s="461"/>
      <c r="AJ176" s="461"/>
      <c r="AK176" s="461"/>
      <c r="AL176" s="461"/>
      <c r="AM176" s="461"/>
      <c r="AN176" s="461"/>
      <c r="AO176" s="461"/>
      <c r="AP176" s="461"/>
      <c r="AQ176" s="461"/>
      <c r="AR176" s="461"/>
    </row>
    <row r="177" spans="1:44" s="102" customFormat="1" ht="12" customHeight="1">
      <c r="A177" s="118">
        <v>30</v>
      </c>
      <c r="B177" s="102" t="s">
        <v>296</v>
      </c>
      <c r="C177" s="206"/>
      <c r="D177" s="192"/>
      <c r="E177" s="192"/>
      <c r="F177" s="214" t="s">
        <v>18</v>
      </c>
      <c r="G177" s="192"/>
      <c r="H177" s="192"/>
      <c r="I177" s="192"/>
      <c r="J177" s="195"/>
      <c r="K177" s="195"/>
      <c r="L177" s="195"/>
      <c r="M177" s="195"/>
      <c r="N177" s="195"/>
      <c r="O177" s="195"/>
      <c r="P177" s="195"/>
      <c r="Q177" s="199"/>
      <c r="R177" s="461"/>
      <c r="S177" s="461"/>
      <c r="T177" s="461"/>
      <c r="U177" s="461"/>
      <c r="V177" s="461"/>
      <c r="W177" s="461"/>
      <c r="X177" s="461"/>
      <c r="Y177" s="461"/>
      <c r="Z177" s="461"/>
      <c r="AA177" s="461"/>
      <c r="AB177" s="461"/>
      <c r="AC177" s="461"/>
      <c r="AD177" s="461"/>
      <c r="AE177" s="461"/>
      <c r="AF177" s="461"/>
      <c r="AG177" s="461"/>
      <c r="AH177" s="461"/>
      <c r="AI177" s="461"/>
      <c r="AJ177" s="461"/>
      <c r="AK177" s="461"/>
      <c r="AL177" s="461"/>
      <c r="AM177" s="461"/>
      <c r="AN177" s="461"/>
      <c r="AO177" s="461"/>
      <c r="AP177" s="461"/>
      <c r="AQ177" s="461"/>
      <c r="AR177" s="461"/>
    </row>
    <row r="178" spans="1:44">
      <c r="A178" s="1">
        <v>200</v>
      </c>
      <c r="B178" s="62" t="s">
        <v>97</v>
      </c>
      <c r="C178" s="593"/>
      <c r="D178" s="590" t="s">
        <v>407</v>
      </c>
      <c r="E178" s="268"/>
      <c r="F178" s="269"/>
      <c r="G178" s="268"/>
      <c r="H178" s="268"/>
      <c r="I178" s="268"/>
      <c r="J178" s="268"/>
      <c r="K178" s="269"/>
      <c r="L178" s="269"/>
      <c r="M178" s="269"/>
      <c r="N178" s="269"/>
      <c r="O178" s="269"/>
      <c r="P178" s="269"/>
      <c r="Q178" s="199"/>
      <c r="R178" s="462"/>
      <c r="S178" s="470"/>
      <c r="T178" s="464"/>
      <c r="U178" s="464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</row>
    <row r="179" spans="1:44" s="460" customFormat="1" ht="17.25" customHeight="1">
      <c r="A179" s="473">
        <v>250</v>
      </c>
      <c r="B179" s="474" t="s">
        <v>30</v>
      </c>
      <c r="C179" s="595"/>
      <c r="D179" s="591"/>
      <c r="E179" s="591"/>
      <c r="F179" s="556"/>
      <c r="G179" s="591"/>
      <c r="H179" s="591"/>
      <c r="I179" s="591"/>
      <c r="J179" s="591"/>
      <c r="K179" s="555"/>
      <c r="L179" s="555"/>
      <c r="M179" s="555"/>
      <c r="N179" s="555"/>
      <c r="O179" s="555"/>
      <c r="P179" s="555"/>
      <c r="Q179" s="512"/>
      <c r="R179" s="465"/>
      <c r="S179" s="463"/>
      <c r="T179" s="464"/>
      <c r="U179" s="464"/>
    </row>
    <row r="180" spans="1:44" s="102" customFormat="1" ht="12" customHeight="1">
      <c r="A180" s="117">
        <v>3</v>
      </c>
      <c r="B180" s="102" t="s">
        <v>252</v>
      </c>
      <c r="C180" s="206"/>
      <c r="D180" s="192"/>
      <c r="E180" s="192"/>
      <c r="F180" s="214" t="s">
        <v>18</v>
      </c>
      <c r="G180" s="192"/>
      <c r="H180" s="192"/>
      <c r="I180" s="192"/>
      <c r="J180" s="195"/>
      <c r="K180" s="195"/>
      <c r="L180" s="195"/>
      <c r="M180" s="195"/>
      <c r="N180" s="195"/>
      <c r="O180" s="195"/>
      <c r="P180" s="195"/>
      <c r="Q180" s="199"/>
      <c r="R180" s="461"/>
      <c r="S180" s="461"/>
      <c r="T180" s="461"/>
      <c r="U180" s="461"/>
      <c r="V180" s="461"/>
      <c r="W180" s="461"/>
      <c r="X180" s="461"/>
      <c r="Y180" s="461"/>
      <c r="Z180" s="461"/>
      <c r="AA180" s="461"/>
      <c r="AB180" s="461"/>
      <c r="AC180" s="461"/>
      <c r="AD180" s="461"/>
      <c r="AE180" s="461"/>
      <c r="AF180" s="461"/>
      <c r="AG180" s="461"/>
      <c r="AH180" s="461"/>
      <c r="AI180" s="461"/>
      <c r="AJ180" s="461"/>
      <c r="AK180" s="461"/>
      <c r="AL180" s="461"/>
      <c r="AM180" s="461"/>
      <c r="AN180" s="461"/>
      <c r="AO180" s="461"/>
      <c r="AP180" s="461"/>
      <c r="AQ180" s="461"/>
      <c r="AR180" s="461"/>
    </row>
    <row r="181" spans="1:44" s="102" customFormat="1" ht="12" customHeight="1">
      <c r="A181" s="117">
        <v>5</v>
      </c>
      <c r="B181" s="102" t="s">
        <v>253</v>
      </c>
      <c r="C181" s="206"/>
      <c r="D181" s="192"/>
      <c r="E181" s="192"/>
      <c r="F181" s="214" t="s">
        <v>18</v>
      </c>
      <c r="G181" s="192"/>
      <c r="H181" s="192"/>
      <c r="I181" s="192"/>
      <c r="J181" s="195"/>
      <c r="K181" s="195"/>
      <c r="L181" s="195"/>
      <c r="M181" s="195"/>
      <c r="N181" s="195"/>
      <c r="O181" s="195"/>
      <c r="P181" s="195"/>
      <c r="Q181" s="199"/>
      <c r="R181" s="461"/>
      <c r="S181" s="461"/>
      <c r="T181" s="461"/>
      <c r="U181" s="461"/>
      <c r="V181" s="461"/>
      <c r="W181" s="461"/>
      <c r="X181" s="461"/>
      <c r="Y181" s="461"/>
      <c r="Z181" s="461"/>
      <c r="AA181" s="461"/>
      <c r="AB181" s="461"/>
      <c r="AC181" s="461"/>
      <c r="AD181" s="461"/>
      <c r="AE181" s="461"/>
      <c r="AF181" s="461"/>
      <c r="AG181" s="461"/>
      <c r="AH181" s="461"/>
      <c r="AI181" s="461"/>
      <c r="AJ181" s="461"/>
      <c r="AK181" s="461"/>
      <c r="AL181" s="461"/>
      <c r="AM181" s="461"/>
      <c r="AN181" s="461"/>
      <c r="AO181" s="461"/>
      <c r="AP181" s="461"/>
      <c r="AQ181" s="461"/>
      <c r="AR181" s="461"/>
    </row>
    <row r="182" spans="1:44" s="102" customFormat="1" ht="12" customHeight="1">
      <c r="A182" s="117">
        <v>6</v>
      </c>
      <c r="B182" s="102" t="s">
        <v>265</v>
      </c>
      <c r="C182" s="206"/>
      <c r="D182" s="192"/>
      <c r="E182" s="192"/>
      <c r="F182" s="214" t="s">
        <v>18</v>
      </c>
      <c r="G182" s="192"/>
      <c r="H182" s="192"/>
      <c r="I182" s="192"/>
      <c r="J182" s="195"/>
      <c r="K182" s="195"/>
      <c r="L182" s="195"/>
      <c r="M182" s="195"/>
      <c r="N182" s="195"/>
      <c r="O182" s="195"/>
      <c r="P182" s="195"/>
      <c r="Q182" s="199"/>
      <c r="R182" s="461"/>
      <c r="S182" s="461"/>
      <c r="T182" s="461"/>
      <c r="U182" s="461"/>
      <c r="V182" s="461"/>
      <c r="W182" s="461"/>
      <c r="X182" s="461"/>
      <c r="Y182" s="461"/>
      <c r="Z182" s="461"/>
      <c r="AA182" s="461"/>
      <c r="AB182" s="461"/>
      <c r="AC182" s="461"/>
      <c r="AD182" s="461"/>
      <c r="AE182" s="461"/>
      <c r="AF182" s="461"/>
      <c r="AG182" s="461"/>
      <c r="AH182" s="461"/>
      <c r="AI182" s="461"/>
      <c r="AJ182" s="461"/>
      <c r="AK182" s="461"/>
      <c r="AL182" s="461"/>
      <c r="AM182" s="461"/>
      <c r="AN182" s="461"/>
      <c r="AO182" s="461"/>
      <c r="AP182" s="461"/>
      <c r="AQ182" s="461"/>
      <c r="AR182" s="461"/>
    </row>
    <row r="183" spans="1:44" s="102" customFormat="1" ht="12" customHeight="1">
      <c r="A183" s="117">
        <v>7</v>
      </c>
      <c r="B183" s="102" t="s">
        <v>254</v>
      </c>
      <c r="C183" s="206"/>
      <c r="D183" s="192"/>
      <c r="E183" s="192"/>
      <c r="F183" s="214" t="s">
        <v>18</v>
      </c>
      <c r="G183" s="192"/>
      <c r="H183" s="192"/>
      <c r="I183" s="192"/>
      <c r="J183" s="195"/>
      <c r="K183" s="195"/>
      <c r="L183" s="195"/>
      <c r="M183" s="195"/>
      <c r="N183" s="195"/>
      <c r="O183" s="195"/>
      <c r="P183" s="195"/>
      <c r="Q183" s="199"/>
      <c r="R183" s="461"/>
      <c r="S183" s="461"/>
      <c r="T183" s="461"/>
      <c r="U183" s="461"/>
      <c r="V183" s="461"/>
      <c r="W183" s="461"/>
      <c r="X183" s="461"/>
      <c r="Y183" s="461"/>
      <c r="Z183" s="461"/>
      <c r="AA183" s="461"/>
      <c r="AB183" s="461"/>
      <c r="AC183" s="461"/>
      <c r="AD183" s="461"/>
      <c r="AE183" s="461"/>
      <c r="AF183" s="461"/>
      <c r="AG183" s="461"/>
      <c r="AH183" s="461"/>
      <c r="AI183" s="461"/>
      <c r="AJ183" s="461"/>
      <c r="AK183" s="461"/>
      <c r="AL183" s="461"/>
      <c r="AM183" s="461"/>
      <c r="AN183" s="461"/>
      <c r="AO183" s="461"/>
      <c r="AP183" s="461"/>
      <c r="AQ183" s="461"/>
      <c r="AR183" s="461"/>
    </row>
    <row r="184" spans="1:44" s="102" customFormat="1" ht="12" customHeight="1">
      <c r="A184" s="117">
        <v>9</v>
      </c>
      <c r="B184" s="102" t="s">
        <v>255</v>
      </c>
      <c r="C184" s="206"/>
      <c r="D184" s="192"/>
      <c r="E184" s="192"/>
      <c r="F184" s="214" t="s">
        <v>18</v>
      </c>
      <c r="G184" s="192"/>
      <c r="H184" s="192"/>
      <c r="I184" s="192"/>
      <c r="J184" s="195"/>
      <c r="K184" s="195"/>
      <c r="L184" s="195"/>
      <c r="M184" s="195"/>
      <c r="N184" s="195"/>
      <c r="O184" s="195"/>
      <c r="P184" s="195"/>
      <c r="Q184" s="199"/>
      <c r="R184" s="461"/>
      <c r="S184" s="461"/>
      <c r="T184" s="461"/>
      <c r="U184" s="461"/>
      <c r="V184" s="461"/>
      <c r="W184" s="461"/>
      <c r="X184" s="461"/>
      <c r="Y184" s="461"/>
      <c r="Z184" s="461"/>
      <c r="AA184" s="461"/>
      <c r="AB184" s="461"/>
      <c r="AC184" s="461"/>
      <c r="AD184" s="461"/>
      <c r="AE184" s="461"/>
      <c r="AF184" s="461"/>
      <c r="AG184" s="461"/>
      <c r="AH184" s="461"/>
      <c r="AI184" s="461"/>
      <c r="AJ184" s="461"/>
      <c r="AK184" s="461"/>
      <c r="AL184" s="461"/>
      <c r="AM184" s="461"/>
      <c r="AN184" s="461"/>
      <c r="AO184" s="461"/>
      <c r="AP184" s="461"/>
      <c r="AQ184" s="461"/>
      <c r="AR184" s="461"/>
    </row>
    <row r="185" spans="1:44" s="102" customFormat="1" ht="12" customHeight="1">
      <c r="A185" s="117">
        <v>11</v>
      </c>
      <c r="B185" s="102" t="s">
        <v>256</v>
      </c>
      <c r="C185" s="206"/>
      <c r="D185" s="192"/>
      <c r="E185" s="192"/>
      <c r="F185" s="214" t="s">
        <v>18</v>
      </c>
      <c r="G185" s="192"/>
      <c r="H185" s="192"/>
      <c r="I185" s="192"/>
      <c r="J185" s="195"/>
      <c r="K185" s="195"/>
      <c r="L185" s="195"/>
      <c r="M185" s="195"/>
      <c r="N185" s="195"/>
      <c r="O185" s="195"/>
      <c r="P185" s="195"/>
      <c r="Q185" s="199"/>
      <c r="R185" s="461"/>
      <c r="S185" s="461"/>
      <c r="T185" s="461"/>
      <c r="U185" s="461"/>
      <c r="V185" s="461"/>
      <c r="W185" s="461"/>
      <c r="X185" s="461"/>
      <c r="Y185" s="461"/>
      <c r="Z185" s="461"/>
      <c r="AA185" s="461"/>
      <c r="AB185" s="461"/>
      <c r="AC185" s="461"/>
      <c r="AD185" s="461"/>
      <c r="AE185" s="461"/>
      <c r="AF185" s="461"/>
      <c r="AG185" s="461"/>
      <c r="AH185" s="461"/>
      <c r="AI185" s="461"/>
      <c r="AJ185" s="461"/>
      <c r="AK185" s="461"/>
      <c r="AL185" s="461"/>
      <c r="AM185" s="461"/>
      <c r="AN185" s="461"/>
      <c r="AO185" s="461"/>
      <c r="AP185" s="461"/>
      <c r="AQ185" s="461"/>
      <c r="AR185" s="461"/>
    </row>
    <row r="186" spans="1:44" s="102" customFormat="1" ht="12" customHeight="1">
      <c r="A186" s="117">
        <v>13</v>
      </c>
      <c r="B186" s="102" t="s">
        <v>257</v>
      </c>
      <c r="C186" s="206"/>
      <c r="D186" s="192"/>
      <c r="E186" s="192"/>
      <c r="F186" s="214" t="s">
        <v>18</v>
      </c>
      <c r="G186" s="192"/>
      <c r="H186" s="192"/>
      <c r="I186" s="192"/>
      <c r="J186" s="195"/>
      <c r="K186" s="195"/>
      <c r="L186" s="195"/>
      <c r="M186" s="195"/>
      <c r="N186" s="195"/>
      <c r="O186" s="195"/>
      <c r="P186" s="195"/>
      <c r="Q186" s="199"/>
      <c r="R186" s="461"/>
      <c r="S186" s="461"/>
      <c r="T186" s="461"/>
      <c r="U186" s="461"/>
      <c r="V186" s="461"/>
      <c r="W186" s="461"/>
      <c r="X186" s="461"/>
      <c r="Y186" s="461"/>
      <c r="Z186" s="461"/>
      <c r="AA186" s="461"/>
      <c r="AB186" s="461"/>
      <c r="AC186" s="461"/>
      <c r="AD186" s="461"/>
      <c r="AE186" s="461"/>
      <c r="AF186" s="461"/>
      <c r="AG186" s="461"/>
      <c r="AH186" s="461"/>
      <c r="AI186" s="461"/>
      <c r="AJ186" s="461"/>
      <c r="AK186" s="461"/>
      <c r="AL186" s="461"/>
      <c r="AM186" s="461"/>
      <c r="AN186" s="461"/>
      <c r="AO186" s="461"/>
      <c r="AP186" s="461"/>
      <c r="AQ186" s="461"/>
      <c r="AR186" s="461"/>
    </row>
    <row r="187" spans="1:44" s="102" customFormat="1" ht="12" customHeight="1">
      <c r="A187" s="117">
        <v>15</v>
      </c>
      <c r="B187" s="102" t="s">
        <v>258</v>
      </c>
      <c r="C187" s="206"/>
      <c r="D187" s="192"/>
      <c r="E187" s="192"/>
      <c r="F187" s="214" t="s">
        <v>18</v>
      </c>
      <c r="G187" s="192"/>
      <c r="H187" s="192"/>
      <c r="I187" s="192"/>
      <c r="J187" s="195"/>
      <c r="K187" s="195"/>
      <c r="L187" s="195"/>
      <c r="M187" s="195"/>
      <c r="N187" s="195"/>
      <c r="O187" s="195"/>
      <c r="P187" s="195"/>
      <c r="Q187" s="199"/>
      <c r="R187" s="461"/>
      <c r="S187" s="461"/>
      <c r="T187" s="461"/>
      <c r="U187" s="461"/>
      <c r="V187" s="461"/>
      <c r="W187" s="461"/>
      <c r="X187" s="461"/>
      <c r="Y187" s="461"/>
      <c r="Z187" s="461"/>
      <c r="AA187" s="461"/>
      <c r="AB187" s="461"/>
      <c r="AC187" s="461"/>
      <c r="AD187" s="461"/>
      <c r="AE187" s="461"/>
      <c r="AF187" s="461"/>
      <c r="AG187" s="461"/>
      <c r="AH187" s="461"/>
      <c r="AI187" s="461"/>
      <c r="AJ187" s="461"/>
      <c r="AK187" s="461"/>
      <c r="AL187" s="461"/>
      <c r="AM187" s="461"/>
      <c r="AN187" s="461"/>
      <c r="AO187" s="461"/>
      <c r="AP187" s="461"/>
      <c r="AQ187" s="461"/>
      <c r="AR187" s="461"/>
    </row>
    <row r="188" spans="1:44" s="102" customFormat="1" ht="12" customHeight="1">
      <c r="A188" s="117">
        <v>17</v>
      </c>
      <c r="B188" s="102" t="s">
        <v>259</v>
      </c>
      <c r="C188" s="206"/>
      <c r="D188" s="192"/>
      <c r="E188" s="192"/>
      <c r="F188" s="214" t="s">
        <v>18</v>
      </c>
      <c r="G188" s="192"/>
      <c r="H188" s="192"/>
      <c r="I188" s="192"/>
      <c r="J188" s="195"/>
      <c r="K188" s="195"/>
      <c r="L188" s="195"/>
      <c r="M188" s="195"/>
      <c r="N188" s="195"/>
      <c r="O188" s="195"/>
      <c r="P188" s="195"/>
      <c r="Q188" s="199"/>
      <c r="R188" s="461"/>
      <c r="S188" s="461"/>
      <c r="T188" s="461"/>
      <c r="U188" s="461"/>
      <c r="V188" s="461"/>
      <c r="W188" s="461"/>
      <c r="X188" s="461"/>
      <c r="Y188" s="461"/>
      <c r="Z188" s="461"/>
      <c r="AA188" s="461"/>
      <c r="AB188" s="461"/>
      <c r="AC188" s="461"/>
      <c r="AD188" s="461"/>
      <c r="AE188" s="461"/>
      <c r="AF188" s="461"/>
      <c r="AG188" s="461"/>
      <c r="AH188" s="461"/>
      <c r="AI188" s="461"/>
      <c r="AJ188" s="461"/>
      <c r="AK188" s="461"/>
      <c r="AL188" s="461"/>
      <c r="AM188" s="461"/>
      <c r="AN188" s="461"/>
      <c r="AO188" s="461"/>
      <c r="AP188" s="461"/>
      <c r="AQ188" s="461"/>
      <c r="AR188" s="461"/>
    </row>
    <row r="189" spans="1:44" s="102" customFormat="1" ht="12" customHeight="1">
      <c r="A189" s="117">
        <v>18</v>
      </c>
      <c r="B189" s="102" t="s">
        <v>266</v>
      </c>
      <c r="C189" s="206"/>
      <c r="D189" s="192"/>
      <c r="E189" s="192"/>
      <c r="F189" s="214" t="s">
        <v>18</v>
      </c>
      <c r="G189" s="192"/>
      <c r="H189" s="192"/>
      <c r="I189" s="192"/>
      <c r="J189" s="195"/>
      <c r="K189" s="195"/>
      <c r="L189" s="195"/>
      <c r="M189" s="195"/>
      <c r="N189" s="195"/>
      <c r="O189" s="195"/>
      <c r="P189" s="195"/>
      <c r="Q189" s="199"/>
      <c r="R189" s="461"/>
      <c r="S189" s="461"/>
      <c r="T189" s="461"/>
      <c r="U189" s="461"/>
      <c r="V189" s="461"/>
      <c r="W189" s="461"/>
      <c r="X189" s="461"/>
      <c r="Y189" s="461"/>
      <c r="Z189" s="461"/>
      <c r="AA189" s="461"/>
      <c r="AB189" s="461"/>
      <c r="AC189" s="461"/>
      <c r="AD189" s="461"/>
      <c r="AE189" s="461"/>
      <c r="AF189" s="461"/>
      <c r="AG189" s="461"/>
      <c r="AH189" s="461"/>
      <c r="AI189" s="461"/>
      <c r="AJ189" s="461"/>
      <c r="AK189" s="461"/>
      <c r="AL189" s="461"/>
      <c r="AM189" s="461"/>
      <c r="AN189" s="461"/>
      <c r="AO189" s="461"/>
      <c r="AP189" s="461"/>
      <c r="AQ189" s="461"/>
      <c r="AR189" s="461"/>
    </row>
    <row r="190" spans="1:44" s="102" customFormat="1" ht="12" customHeight="1">
      <c r="A190" s="118">
        <v>19</v>
      </c>
      <c r="B190" s="102" t="s">
        <v>260</v>
      </c>
      <c r="C190" s="206"/>
      <c r="D190" s="192"/>
      <c r="E190" s="192"/>
      <c r="F190" s="214" t="s">
        <v>18</v>
      </c>
      <c r="G190" s="192"/>
      <c r="H190" s="192"/>
      <c r="I190" s="192"/>
      <c r="J190" s="195"/>
      <c r="K190" s="195"/>
      <c r="L190" s="195"/>
      <c r="M190" s="195"/>
      <c r="N190" s="195"/>
      <c r="O190" s="195"/>
      <c r="P190" s="195"/>
      <c r="Q190" s="199"/>
      <c r="R190" s="461"/>
      <c r="S190" s="461"/>
      <c r="T190" s="461"/>
      <c r="U190" s="461"/>
      <c r="V190" s="461"/>
      <c r="W190" s="461"/>
      <c r="X190" s="461"/>
      <c r="Y190" s="461"/>
      <c r="Z190" s="461"/>
      <c r="AA190" s="461"/>
      <c r="AB190" s="461"/>
      <c r="AC190" s="461"/>
      <c r="AD190" s="461"/>
      <c r="AE190" s="461"/>
      <c r="AF190" s="461"/>
      <c r="AG190" s="461"/>
      <c r="AH190" s="461"/>
      <c r="AI190" s="461"/>
      <c r="AJ190" s="461"/>
      <c r="AK190" s="461"/>
      <c r="AL190" s="461"/>
      <c r="AM190" s="461"/>
      <c r="AN190" s="461"/>
      <c r="AO190" s="461"/>
      <c r="AP190" s="461"/>
      <c r="AQ190" s="461"/>
      <c r="AR190" s="461"/>
    </row>
    <row r="191" spans="1:44" s="102" customFormat="1" ht="12" customHeight="1">
      <c r="A191" s="118">
        <v>20</v>
      </c>
      <c r="B191" s="102" t="s">
        <v>267</v>
      </c>
      <c r="C191" s="206"/>
      <c r="D191" s="192"/>
      <c r="E191" s="192"/>
      <c r="F191" s="214" t="s">
        <v>18</v>
      </c>
      <c r="G191" s="192"/>
      <c r="H191" s="192"/>
      <c r="I191" s="192"/>
      <c r="J191" s="195"/>
      <c r="K191" s="195"/>
      <c r="L191" s="195"/>
      <c r="M191" s="195"/>
      <c r="N191" s="195"/>
      <c r="O191" s="195"/>
      <c r="P191" s="195"/>
      <c r="Q191" s="199"/>
      <c r="R191" s="461"/>
      <c r="S191" s="461"/>
      <c r="T191" s="461"/>
      <c r="U191" s="461"/>
      <c r="V191" s="461"/>
      <c r="W191" s="461"/>
      <c r="X191" s="461"/>
      <c r="Y191" s="461"/>
      <c r="Z191" s="461"/>
      <c r="AA191" s="461"/>
      <c r="AB191" s="461"/>
      <c r="AC191" s="461"/>
      <c r="AD191" s="461"/>
      <c r="AE191" s="461"/>
      <c r="AF191" s="461"/>
      <c r="AG191" s="461"/>
      <c r="AH191" s="461"/>
      <c r="AI191" s="461"/>
      <c r="AJ191" s="461"/>
      <c r="AK191" s="461"/>
      <c r="AL191" s="461"/>
      <c r="AM191" s="461"/>
      <c r="AN191" s="461"/>
      <c r="AO191" s="461"/>
      <c r="AP191" s="461"/>
      <c r="AQ191" s="461"/>
      <c r="AR191" s="461"/>
    </row>
    <row r="192" spans="1:44" s="102" customFormat="1" ht="12" customHeight="1">
      <c r="A192" s="117">
        <v>21</v>
      </c>
      <c r="B192" s="102" t="s">
        <v>261</v>
      </c>
      <c r="C192" s="206"/>
      <c r="D192" s="192"/>
      <c r="E192" s="192"/>
      <c r="F192" s="214" t="s">
        <v>18</v>
      </c>
      <c r="G192" s="192"/>
      <c r="H192" s="192"/>
      <c r="I192" s="192"/>
      <c r="J192" s="195"/>
      <c r="K192" s="195"/>
      <c r="L192" s="195"/>
      <c r="M192" s="195"/>
      <c r="N192" s="195"/>
      <c r="O192" s="195"/>
      <c r="P192" s="195"/>
      <c r="Q192" s="199"/>
      <c r="R192" s="461"/>
      <c r="S192" s="461"/>
      <c r="T192" s="461"/>
      <c r="U192" s="461"/>
      <c r="V192" s="461"/>
      <c r="W192" s="461"/>
      <c r="X192" s="461"/>
      <c r="Y192" s="461"/>
      <c r="Z192" s="461"/>
      <c r="AA192" s="461"/>
      <c r="AB192" s="461"/>
      <c r="AC192" s="461"/>
      <c r="AD192" s="461"/>
      <c r="AE192" s="461"/>
      <c r="AF192" s="461"/>
      <c r="AG192" s="461"/>
      <c r="AH192" s="461"/>
      <c r="AI192" s="461"/>
      <c r="AJ192" s="461"/>
      <c r="AK192" s="461"/>
      <c r="AL192" s="461"/>
      <c r="AM192" s="461"/>
      <c r="AN192" s="461"/>
      <c r="AO192" s="461"/>
      <c r="AP192" s="461"/>
      <c r="AQ192" s="461"/>
      <c r="AR192" s="461"/>
    </row>
    <row r="193" spans="1:44" s="102" customFormat="1" ht="12" customHeight="1">
      <c r="A193" s="117">
        <v>22</v>
      </c>
      <c r="B193" s="102" t="s">
        <v>268</v>
      </c>
      <c r="C193" s="206"/>
      <c r="D193" s="192"/>
      <c r="E193" s="192"/>
      <c r="F193" s="214" t="s">
        <v>18</v>
      </c>
      <c r="G193" s="192"/>
      <c r="H193" s="192"/>
      <c r="I193" s="192"/>
      <c r="J193" s="195"/>
      <c r="K193" s="195"/>
      <c r="L193" s="195"/>
      <c r="M193" s="195"/>
      <c r="N193" s="195"/>
      <c r="O193" s="195"/>
      <c r="P193" s="195"/>
      <c r="Q193" s="199"/>
      <c r="R193" s="461"/>
      <c r="S193" s="461"/>
      <c r="T193" s="461"/>
      <c r="U193" s="461"/>
      <c r="V193" s="461"/>
      <c r="W193" s="461"/>
      <c r="X193" s="461"/>
      <c r="Y193" s="461"/>
      <c r="Z193" s="461"/>
      <c r="AA193" s="461"/>
      <c r="AB193" s="461"/>
      <c r="AC193" s="461"/>
      <c r="AD193" s="461"/>
      <c r="AE193" s="461"/>
      <c r="AF193" s="461"/>
      <c r="AG193" s="461"/>
      <c r="AH193" s="461"/>
      <c r="AI193" s="461"/>
      <c r="AJ193" s="461"/>
      <c r="AK193" s="461"/>
      <c r="AL193" s="461"/>
      <c r="AM193" s="461"/>
      <c r="AN193" s="461"/>
      <c r="AO193" s="461"/>
      <c r="AP193" s="461"/>
      <c r="AQ193" s="461"/>
      <c r="AR193" s="461"/>
    </row>
    <row r="194" spans="1:44" s="102" customFormat="1" ht="12" customHeight="1">
      <c r="A194" s="117">
        <v>23</v>
      </c>
      <c r="B194" s="102" t="s">
        <v>297</v>
      </c>
      <c r="C194" s="206"/>
      <c r="D194" s="192"/>
      <c r="E194" s="192"/>
      <c r="F194" s="214" t="s">
        <v>18</v>
      </c>
      <c r="G194" s="192"/>
      <c r="H194" s="192"/>
      <c r="I194" s="192"/>
      <c r="J194" s="195"/>
      <c r="K194" s="195"/>
      <c r="L194" s="195"/>
      <c r="M194" s="195"/>
      <c r="N194" s="195"/>
      <c r="O194" s="195"/>
      <c r="P194" s="195"/>
      <c r="Q194" s="199"/>
      <c r="R194" s="461"/>
      <c r="S194" s="461"/>
      <c r="T194" s="461"/>
      <c r="U194" s="461"/>
      <c r="V194" s="461"/>
      <c r="W194" s="461"/>
      <c r="X194" s="461"/>
      <c r="Y194" s="461"/>
      <c r="Z194" s="461"/>
      <c r="AA194" s="461"/>
      <c r="AB194" s="461"/>
      <c r="AC194" s="461"/>
      <c r="AD194" s="461"/>
      <c r="AE194" s="461"/>
      <c r="AF194" s="461"/>
      <c r="AG194" s="461"/>
      <c r="AH194" s="461"/>
      <c r="AI194" s="461"/>
      <c r="AJ194" s="461"/>
      <c r="AK194" s="461"/>
      <c r="AL194" s="461"/>
      <c r="AM194" s="461"/>
      <c r="AN194" s="461"/>
      <c r="AO194" s="461"/>
      <c r="AP194" s="461"/>
      <c r="AQ194" s="461"/>
      <c r="AR194" s="461"/>
    </row>
    <row r="195" spans="1:44" s="102" customFormat="1" ht="12" customHeight="1">
      <c r="A195" s="117">
        <v>24</v>
      </c>
      <c r="B195" s="102" t="s">
        <v>269</v>
      </c>
      <c r="C195" s="206"/>
      <c r="D195" s="192"/>
      <c r="E195" s="192"/>
      <c r="F195" s="214" t="s">
        <v>18</v>
      </c>
      <c r="G195" s="192"/>
      <c r="H195" s="192"/>
      <c r="I195" s="192"/>
      <c r="J195" s="195"/>
      <c r="K195" s="195"/>
      <c r="L195" s="195"/>
      <c r="M195" s="195"/>
      <c r="N195" s="195"/>
      <c r="O195" s="195"/>
      <c r="P195" s="195"/>
      <c r="Q195" s="199"/>
      <c r="R195" s="461"/>
      <c r="S195" s="461"/>
      <c r="T195" s="461"/>
      <c r="U195" s="461"/>
      <c r="V195" s="461"/>
      <c r="W195" s="461"/>
      <c r="X195" s="461"/>
      <c r="Y195" s="461"/>
      <c r="Z195" s="461"/>
      <c r="AA195" s="461"/>
      <c r="AB195" s="461"/>
      <c r="AC195" s="461"/>
      <c r="AD195" s="461"/>
      <c r="AE195" s="461"/>
      <c r="AF195" s="461"/>
      <c r="AG195" s="461"/>
      <c r="AH195" s="461"/>
      <c r="AI195" s="461"/>
      <c r="AJ195" s="461"/>
      <c r="AK195" s="461"/>
      <c r="AL195" s="461"/>
      <c r="AM195" s="461"/>
      <c r="AN195" s="461"/>
      <c r="AO195" s="461"/>
      <c r="AP195" s="461"/>
      <c r="AQ195" s="461"/>
      <c r="AR195" s="461"/>
    </row>
    <row r="196" spans="1:44" s="102" customFormat="1" ht="12" customHeight="1">
      <c r="A196" s="117">
        <v>25</v>
      </c>
      <c r="B196" s="102" t="s">
        <v>263</v>
      </c>
      <c r="C196" s="206"/>
      <c r="D196" s="192"/>
      <c r="E196" s="192"/>
      <c r="F196" s="214" t="s">
        <v>18</v>
      </c>
      <c r="G196" s="192"/>
      <c r="H196" s="192"/>
      <c r="I196" s="192"/>
      <c r="J196" s="195"/>
      <c r="K196" s="195"/>
      <c r="L196" s="195"/>
      <c r="M196" s="195"/>
      <c r="N196" s="195"/>
      <c r="O196" s="195"/>
      <c r="P196" s="195"/>
      <c r="Q196" s="199"/>
      <c r="R196" s="461"/>
      <c r="S196" s="461"/>
      <c r="T196" s="461"/>
      <c r="U196" s="461"/>
      <c r="V196" s="461"/>
      <c r="W196" s="461"/>
      <c r="X196" s="461"/>
      <c r="Y196" s="461"/>
      <c r="Z196" s="461"/>
      <c r="AA196" s="461"/>
      <c r="AB196" s="461"/>
      <c r="AC196" s="461"/>
      <c r="AD196" s="461"/>
      <c r="AE196" s="461"/>
      <c r="AF196" s="461"/>
      <c r="AG196" s="461"/>
      <c r="AH196" s="461"/>
      <c r="AI196" s="461"/>
      <c r="AJ196" s="461"/>
      <c r="AK196" s="461"/>
      <c r="AL196" s="461"/>
      <c r="AM196" s="461"/>
      <c r="AN196" s="461"/>
      <c r="AO196" s="461"/>
      <c r="AP196" s="461"/>
      <c r="AQ196" s="461"/>
      <c r="AR196" s="461"/>
    </row>
    <row r="197" spans="1:44" s="102" customFormat="1" ht="12" customHeight="1">
      <c r="A197" s="117">
        <v>27</v>
      </c>
      <c r="B197" s="102" t="s">
        <v>264</v>
      </c>
      <c r="C197" s="206"/>
      <c r="D197" s="192"/>
      <c r="E197" s="192"/>
      <c r="F197" s="214" t="s">
        <v>18</v>
      </c>
      <c r="G197" s="192"/>
      <c r="H197" s="192"/>
      <c r="I197" s="192"/>
      <c r="J197" s="195"/>
      <c r="K197" s="195"/>
      <c r="L197" s="195"/>
      <c r="M197" s="195"/>
      <c r="N197" s="195"/>
      <c r="O197" s="195"/>
      <c r="P197" s="195"/>
      <c r="Q197" s="199"/>
      <c r="R197" s="461"/>
      <c r="S197" s="461"/>
      <c r="T197" s="461"/>
      <c r="U197" s="461"/>
      <c r="V197" s="461"/>
      <c r="W197" s="461"/>
      <c r="X197" s="461"/>
      <c r="Y197" s="461"/>
      <c r="Z197" s="461"/>
      <c r="AA197" s="461"/>
      <c r="AB197" s="461"/>
      <c r="AC197" s="461"/>
      <c r="AD197" s="461"/>
      <c r="AE197" s="461"/>
      <c r="AF197" s="461"/>
      <c r="AG197" s="461"/>
      <c r="AH197" s="461"/>
      <c r="AI197" s="461"/>
      <c r="AJ197" s="461"/>
      <c r="AK197" s="461"/>
      <c r="AL197" s="461"/>
      <c r="AM197" s="461"/>
      <c r="AN197" s="461"/>
      <c r="AO197" s="461"/>
      <c r="AP197" s="461"/>
      <c r="AQ197" s="461"/>
      <c r="AR197" s="461"/>
    </row>
    <row r="198" spans="1:44" s="102" customFormat="1" ht="12" customHeight="1">
      <c r="A198" s="118">
        <v>29</v>
      </c>
      <c r="B198" s="102" t="s">
        <v>295</v>
      </c>
      <c r="C198" s="206"/>
      <c r="D198" s="192"/>
      <c r="E198" s="192"/>
      <c r="F198" s="214" t="s">
        <v>18</v>
      </c>
      <c r="G198" s="192"/>
      <c r="H198" s="192"/>
      <c r="I198" s="192"/>
      <c r="J198" s="195"/>
      <c r="K198" s="195"/>
      <c r="L198" s="195"/>
      <c r="M198" s="195"/>
      <c r="N198" s="195"/>
      <c r="O198" s="195"/>
      <c r="P198" s="195"/>
      <c r="Q198" s="199"/>
      <c r="R198" s="461"/>
      <c r="S198" s="461"/>
      <c r="T198" s="461"/>
      <c r="U198" s="461"/>
      <c r="V198" s="461"/>
      <c r="W198" s="461"/>
      <c r="X198" s="461"/>
      <c r="Y198" s="461"/>
      <c r="Z198" s="461"/>
      <c r="AA198" s="461"/>
      <c r="AB198" s="461"/>
      <c r="AC198" s="461"/>
      <c r="AD198" s="461"/>
      <c r="AE198" s="461"/>
      <c r="AF198" s="461"/>
      <c r="AG198" s="461"/>
      <c r="AH198" s="461"/>
      <c r="AI198" s="461"/>
      <c r="AJ198" s="461"/>
      <c r="AK198" s="461"/>
      <c r="AL198" s="461"/>
      <c r="AM198" s="461"/>
      <c r="AN198" s="461"/>
      <c r="AO198" s="461"/>
      <c r="AP198" s="461"/>
      <c r="AQ198" s="461"/>
      <c r="AR198" s="461"/>
    </row>
    <row r="199" spans="1:44" s="102" customFormat="1" ht="12" customHeight="1">
      <c r="A199" s="118">
        <v>30</v>
      </c>
      <c r="B199" s="102" t="s">
        <v>296</v>
      </c>
      <c r="C199" s="206"/>
      <c r="D199" s="192"/>
      <c r="E199" s="192"/>
      <c r="F199" s="214" t="s">
        <v>18</v>
      </c>
      <c r="G199" s="192"/>
      <c r="H199" s="192"/>
      <c r="I199" s="192"/>
      <c r="J199" s="195"/>
      <c r="K199" s="195"/>
      <c r="L199" s="195"/>
      <c r="M199" s="195"/>
      <c r="N199" s="195"/>
      <c r="O199" s="195"/>
      <c r="P199" s="195"/>
      <c r="Q199" s="199"/>
      <c r="R199" s="461"/>
      <c r="S199" s="461"/>
      <c r="T199" s="461"/>
      <c r="U199" s="461"/>
      <c r="V199" s="461"/>
      <c r="W199" s="461"/>
      <c r="X199" s="461"/>
      <c r="Y199" s="461"/>
      <c r="Z199" s="461"/>
      <c r="AA199" s="461"/>
      <c r="AB199" s="461"/>
      <c r="AC199" s="461"/>
      <c r="AD199" s="461"/>
      <c r="AE199" s="461"/>
      <c r="AF199" s="461"/>
      <c r="AG199" s="461"/>
      <c r="AH199" s="461"/>
      <c r="AI199" s="461"/>
      <c r="AJ199" s="461"/>
      <c r="AK199" s="461"/>
      <c r="AL199" s="461"/>
      <c r="AM199" s="461"/>
      <c r="AN199" s="461"/>
      <c r="AO199" s="461"/>
      <c r="AP199" s="461"/>
      <c r="AQ199" s="461"/>
      <c r="AR199" s="461"/>
    </row>
    <row r="200" spans="1:44">
      <c r="A200" s="1">
        <v>200</v>
      </c>
      <c r="B200" s="62" t="s">
        <v>97</v>
      </c>
      <c r="C200" s="592"/>
      <c r="D200" s="590" t="s">
        <v>407</v>
      </c>
      <c r="E200" s="268"/>
      <c r="F200" s="269"/>
      <c r="G200" s="268"/>
      <c r="H200" s="268"/>
      <c r="I200" s="268"/>
      <c r="J200" s="268"/>
      <c r="K200" s="269"/>
      <c r="L200" s="269"/>
      <c r="M200" s="269"/>
      <c r="N200" s="269"/>
      <c r="O200" s="269"/>
      <c r="P200" s="269"/>
      <c r="Q200" s="199"/>
      <c r="R200" s="468"/>
      <c r="S200" s="470"/>
      <c r="T200" s="464"/>
      <c r="U200" s="464"/>
      <c r="V200" s="460"/>
      <c r="W200" s="460"/>
      <c r="X200" s="460"/>
      <c r="Y200" s="460"/>
      <c r="Z200" s="460"/>
      <c r="AA200" s="460"/>
      <c r="AB200" s="460"/>
      <c r="AC200" s="460"/>
      <c r="AD200" s="460"/>
      <c r="AE200" s="460"/>
      <c r="AF200" s="460"/>
      <c r="AG200" s="460"/>
      <c r="AH200" s="460"/>
      <c r="AI200" s="460"/>
      <c r="AJ200" s="460"/>
      <c r="AK200" s="460"/>
      <c r="AL200" s="460"/>
      <c r="AM200" s="460"/>
      <c r="AN200" s="460"/>
      <c r="AO200" s="460"/>
      <c r="AP200" s="460"/>
      <c r="AQ200" s="460"/>
      <c r="AR200" s="460"/>
    </row>
    <row r="201" spans="1:44" s="460" customFormat="1" ht="17.25" customHeight="1">
      <c r="A201" s="473">
        <v>250</v>
      </c>
      <c r="B201" s="474" t="s">
        <v>31</v>
      </c>
      <c r="C201" s="594"/>
      <c r="D201" s="591"/>
      <c r="E201" s="591"/>
      <c r="F201" s="556"/>
      <c r="G201" s="591"/>
      <c r="H201" s="591"/>
      <c r="I201" s="591"/>
      <c r="J201" s="591"/>
      <c r="K201" s="555"/>
      <c r="L201" s="555"/>
      <c r="M201" s="555"/>
      <c r="N201" s="555"/>
      <c r="O201" s="555"/>
      <c r="P201" s="555"/>
      <c r="Q201" s="512"/>
      <c r="R201" s="465"/>
      <c r="S201" s="463"/>
      <c r="T201" s="464"/>
      <c r="U201" s="464"/>
    </row>
    <row r="202" spans="1:44" s="102" customFormat="1">
      <c r="A202" s="117">
        <v>3</v>
      </c>
      <c r="B202" s="102" t="s">
        <v>252</v>
      </c>
      <c r="C202" s="206"/>
      <c r="D202" s="192"/>
      <c r="E202" s="192"/>
      <c r="F202" s="214"/>
      <c r="G202" s="192"/>
      <c r="H202" s="192"/>
      <c r="I202" s="192"/>
      <c r="J202" s="195"/>
      <c r="K202" s="195"/>
      <c r="L202" s="195"/>
      <c r="M202" s="195"/>
      <c r="N202" s="195"/>
      <c r="O202" s="195"/>
      <c r="P202" s="195"/>
      <c r="Q202" s="199"/>
      <c r="R202" s="461"/>
      <c r="S202" s="461"/>
      <c r="T202" s="461"/>
      <c r="U202" s="461"/>
      <c r="V202" s="461"/>
      <c r="W202" s="461"/>
      <c r="X202" s="461"/>
      <c r="Y202" s="461"/>
      <c r="Z202" s="461"/>
      <c r="AA202" s="461"/>
      <c r="AB202" s="461"/>
      <c r="AC202" s="461"/>
      <c r="AD202" s="461"/>
      <c r="AE202" s="461"/>
      <c r="AF202" s="461"/>
      <c r="AG202" s="461"/>
      <c r="AH202" s="461"/>
      <c r="AI202" s="461"/>
      <c r="AJ202" s="461"/>
      <c r="AK202" s="461"/>
      <c r="AL202" s="461"/>
      <c r="AM202" s="461"/>
      <c r="AN202" s="461"/>
      <c r="AO202" s="461"/>
      <c r="AP202" s="461"/>
      <c r="AQ202" s="461"/>
      <c r="AR202" s="461"/>
    </row>
    <row r="203" spans="1:44" s="102" customFormat="1">
      <c r="A203" s="117">
        <v>6</v>
      </c>
      <c r="B203" s="102" t="s">
        <v>265</v>
      </c>
      <c r="C203" s="206"/>
      <c r="D203" s="192"/>
      <c r="E203" s="192"/>
      <c r="F203" s="214"/>
      <c r="G203" s="192"/>
      <c r="H203" s="192"/>
      <c r="I203" s="192"/>
      <c r="J203" s="195"/>
      <c r="K203" s="195"/>
      <c r="L203" s="195"/>
      <c r="M203" s="195"/>
      <c r="N203" s="195"/>
      <c r="O203" s="195"/>
      <c r="P203" s="195"/>
      <c r="Q203" s="199"/>
      <c r="R203" s="461"/>
      <c r="S203" s="461"/>
      <c r="T203" s="461"/>
      <c r="U203" s="461"/>
      <c r="V203" s="461"/>
      <c r="W203" s="461"/>
      <c r="X203" s="461"/>
      <c r="Y203" s="461"/>
      <c r="Z203" s="461"/>
      <c r="AA203" s="461"/>
      <c r="AB203" s="461"/>
      <c r="AC203" s="461"/>
      <c r="AD203" s="461"/>
      <c r="AE203" s="461"/>
      <c r="AF203" s="461"/>
      <c r="AG203" s="461"/>
      <c r="AH203" s="461"/>
      <c r="AI203" s="461"/>
      <c r="AJ203" s="461"/>
      <c r="AK203" s="461"/>
      <c r="AL203" s="461"/>
      <c r="AM203" s="461"/>
      <c r="AN203" s="461"/>
      <c r="AO203" s="461"/>
      <c r="AP203" s="461"/>
      <c r="AQ203" s="461"/>
      <c r="AR203" s="461"/>
    </row>
    <row r="204" spans="1:44" s="102" customFormat="1">
      <c r="A204" s="117">
        <v>7</v>
      </c>
      <c r="B204" s="102" t="s">
        <v>254</v>
      </c>
      <c r="C204" s="206"/>
      <c r="D204" s="192"/>
      <c r="E204" s="192"/>
      <c r="F204" s="214"/>
      <c r="G204" s="192"/>
      <c r="H204" s="192"/>
      <c r="I204" s="192"/>
      <c r="J204" s="195"/>
      <c r="K204" s="195"/>
      <c r="L204" s="195"/>
      <c r="M204" s="195"/>
      <c r="N204" s="195"/>
      <c r="O204" s="195"/>
      <c r="P204" s="195"/>
      <c r="Q204" s="199"/>
      <c r="R204" s="461"/>
      <c r="S204" s="461"/>
      <c r="T204" s="461"/>
      <c r="U204" s="461"/>
      <c r="V204" s="461"/>
      <c r="W204" s="461"/>
      <c r="X204" s="461"/>
      <c r="Y204" s="461"/>
      <c r="Z204" s="461"/>
      <c r="AA204" s="461"/>
      <c r="AB204" s="461"/>
      <c r="AC204" s="461"/>
      <c r="AD204" s="461"/>
      <c r="AE204" s="461"/>
      <c r="AF204" s="461"/>
      <c r="AG204" s="461"/>
      <c r="AH204" s="461"/>
      <c r="AI204" s="461"/>
      <c r="AJ204" s="461"/>
      <c r="AK204" s="461"/>
      <c r="AL204" s="461"/>
      <c r="AM204" s="461"/>
      <c r="AN204" s="461"/>
      <c r="AO204" s="461"/>
      <c r="AP204" s="461"/>
      <c r="AQ204" s="461"/>
      <c r="AR204" s="461"/>
    </row>
    <row r="205" spans="1:44" s="102" customFormat="1">
      <c r="A205" s="117">
        <v>11</v>
      </c>
      <c r="B205" s="102" t="s">
        <v>256</v>
      </c>
      <c r="C205" s="206"/>
      <c r="D205" s="192"/>
      <c r="E205" s="192"/>
      <c r="F205" s="214"/>
      <c r="G205" s="192"/>
      <c r="H205" s="192"/>
      <c r="I205" s="192"/>
      <c r="J205" s="195"/>
      <c r="K205" s="195"/>
      <c r="L205" s="195"/>
      <c r="M205" s="195"/>
      <c r="N205" s="195"/>
      <c r="O205" s="195"/>
      <c r="P205" s="195"/>
      <c r="Q205" s="199"/>
      <c r="R205" s="461"/>
      <c r="S205" s="461"/>
      <c r="T205" s="461"/>
      <c r="U205" s="461"/>
      <c r="V205" s="461"/>
      <c r="W205" s="461"/>
      <c r="X205" s="461"/>
      <c r="Y205" s="461"/>
      <c r="Z205" s="461"/>
      <c r="AA205" s="461"/>
      <c r="AB205" s="461"/>
      <c r="AC205" s="461"/>
      <c r="AD205" s="461"/>
      <c r="AE205" s="461"/>
      <c r="AF205" s="461"/>
      <c r="AG205" s="461"/>
      <c r="AH205" s="461"/>
      <c r="AI205" s="461"/>
      <c r="AJ205" s="461"/>
      <c r="AK205" s="461"/>
      <c r="AL205" s="461"/>
      <c r="AM205" s="461"/>
      <c r="AN205" s="461"/>
      <c r="AO205" s="461"/>
      <c r="AP205" s="461"/>
      <c r="AQ205" s="461"/>
      <c r="AR205" s="461"/>
    </row>
    <row r="206" spans="1:44" s="102" customFormat="1" ht="12">
      <c r="A206" s="118">
        <v>19</v>
      </c>
      <c r="B206" s="102" t="s">
        <v>260</v>
      </c>
      <c r="C206" s="206"/>
      <c r="D206" s="192"/>
      <c r="E206" s="192"/>
      <c r="F206" s="214"/>
      <c r="G206" s="192"/>
      <c r="H206" s="192"/>
      <c r="I206" s="192"/>
      <c r="J206" s="195"/>
      <c r="K206" s="195"/>
      <c r="L206" s="195"/>
      <c r="M206" s="195"/>
      <c r="N206" s="195"/>
      <c r="O206" s="195"/>
      <c r="P206" s="195"/>
      <c r="Q206" s="199"/>
      <c r="R206" s="461"/>
      <c r="S206" s="461"/>
      <c r="T206" s="461"/>
      <c r="U206" s="461"/>
      <c r="V206" s="461"/>
      <c r="W206" s="461"/>
      <c r="X206" s="461"/>
      <c r="Y206" s="461"/>
      <c r="Z206" s="461"/>
      <c r="AA206" s="461"/>
      <c r="AB206" s="461"/>
      <c r="AC206" s="461"/>
      <c r="AD206" s="461"/>
      <c r="AE206" s="461"/>
      <c r="AF206" s="461"/>
      <c r="AG206" s="461"/>
      <c r="AH206" s="461"/>
      <c r="AI206" s="461"/>
      <c r="AJ206" s="461"/>
      <c r="AK206" s="461"/>
      <c r="AL206" s="461"/>
      <c r="AM206" s="461"/>
      <c r="AN206" s="461"/>
      <c r="AO206" s="461"/>
      <c r="AP206" s="461"/>
      <c r="AQ206" s="461"/>
      <c r="AR206" s="461"/>
    </row>
    <row r="207" spans="1:44" s="102" customFormat="1" ht="12">
      <c r="A207" s="118">
        <v>20</v>
      </c>
      <c r="B207" s="102" t="s">
        <v>267</v>
      </c>
      <c r="C207" s="206"/>
      <c r="D207" s="192"/>
      <c r="E207" s="192"/>
      <c r="F207" s="214"/>
      <c r="G207" s="192"/>
      <c r="H207" s="192"/>
      <c r="I207" s="192"/>
      <c r="J207" s="195"/>
      <c r="K207" s="195"/>
      <c r="L207" s="195"/>
      <c r="M207" s="195"/>
      <c r="N207" s="195"/>
      <c r="O207" s="195"/>
      <c r="P207" s="195"/>
      <c r="Q207" s="199"/>
      <c r="R207" s="461"/>
      <c r="S207" s="461"/>
      <c r="T207" s="461"/>
      <c r="U207" s="461"/>
      <c r="V207" s="461"/>
      <c r="W207" s="461"/>
      <c r="X207" s="461"/>
      <c r="Y207" s="461"/>
      <c r="Z207" s="461"/>
      <c r="AA207" s="461"/>
      <c r="AB207" s="461"/>
      <c r="AC207" s="461"/>
      <c r="AD207" s="461"/>
      <c r="AE207" s="461"/>
      <c r="AF207" s="461"/>
      <c r="AG207" s="461"/>
      <c r="AH207" s="461"/>
      <c r="AI207" s="461"/>
      <c r="AJ207" s="461"/>
      <c r="AK207" s="461"/>
      <c r="AL207" s="461"/>
      <c r="AM207" s="461"/>
      <c r="AN207" s="461"/>
      <c r="AO207" s="461"/>
      <c r="AP207" s="461"/>
      <c r="AQ207" s="461"/>
      <c r="AR207" s="461"/>
    </row>
    <row r="208" spans="1:44" s="102" customFormat="1">
      <c r="A208" s="117">
        <v>21</v>
      </c>
      <c r="B208" s="102" t="s">
        <v>261</v>
      </c>
      <c r="C208" s="206"/>
      <c r="D208" s="192"/>
      <c r="E208" s="192"/>
      <c r="F208" s="214"/>
      <c r="G208" s="192"/>
      <c r="H208" s="192"/>
      <c r="I208" s="192"/>
      <c r="J208" s="195"/>
      <c r="K208" s="195"/>
      <c r="L208" s="195"/>
      <c r="M208" s="195"/>
      <c r="N208" s="195"/>
      <c r="O208" s="195"/>
      <c r="P208" s="195"/>
      <c r="Q208" s="199"/>
      <c r="R208" s="461"/>
      <c r="S208" s="461"/>
      <c r="T208" s="461"/>
      <c r="U208" s="461"/>
      <c r="V208" s="461"/>
      <c r="W208" s="461"/>
      <c r="X208" s="461"/>
      <c r="Y208" s="461"/>
      <c r="Z208" s="461"/>
      <c r="AA208" s="461"/>
      <c r="AB208" s="461"/>
      <c r="AC208" s="461"/>
      <c r="AD208" s="461"/>
      <c r="AE208" s="461"/>
      <c r="AF208" s="461"/>
      <c r="AG208" s="461"/>
      <c r="AH208" s="461"/>
      <c r="AI208" s="461"/>
      <c r="AJ208" s="461"/>
      <c r="AK208" s="461"/>
      <c r="AL208" s="461"/>
      <c r="AM208" s="461"/>
      <c r="AN208" s="461"/>
      <c r="AO208" s="461"/>
      <c r="AP208" s="461"/>
      <c r="AQ208" s="461"/>
      <c r="AR208" s="461"/>
    </row>
    <row r="209" spans="1:44" s="102" customFormat="1">
      <c r="A209" s="117">
        <v>25</v>
      </c>
      <c r="B209" s="102" t="s">
        <v>263</v>
      </c>
      <c r="C209" s="206"/>
      <c r="D209" s="192"/>
      <c r="E209" s="192"/>
      <c r="F209" s="214"/>
      <c r="G209" s="192"/>
      <c r="H209" s="192"/>
      <c r="I209" s="192"/>
      <c r="J209" s="195"/>
      <c r="K209" s="195"/>
      <c r="L209" s="195"/>
      <c r="M209" s="195"/>
      <c r="N209" s="195"/>
      <c r="O209" s="195"/>
      <c r="P209" s="195"/>
      <c r="Q209" s="199"/>
      <c r="R209" s="461"/>
      <c r="S209" s="461"/>
      <c r="T209" s="461"/>
      <c r="U209" s="461"/>
      <c r="V209" s="461"/>
      <c r="W209" s="461"/>
      <c r="X209" s="461"/>
      <c r="Y209" s="461"/>
      <c r="Z209" s="461"/>
      <c r="AA209" s="461"/>
      <c r="AB209" s="461"/>
      <c r="AC209" s="461"/>
      <c r="AD209" s="461"/>
      <c r="AE209" s="461"/>
      <c r="AF209" s="461"/>
      <c r="AG209" s="461"/>
      <c r="AH209" s="461"/>
      <c r="AI209" s="461"/>
      <c r="AJ209" s="461"/>
      <c r="AK209" s="461"/>
      <c r="AL209" s="461"/>
      <c r="AM209" s="461"/>
      <c r="AN209" s="461"/>
      <c r="AO209" s="461"/>
      <c r="AP209" s="461"/>
      <c r="AQ209" s="461"/>
      <c r="AR209" s="461"/>
    </row>
    <row r="210" spans="1:44" s="102" customFormat="1" ht="12">
      <c r="A210" s="118">
        <v>29</v>
      </c>
      <c r="B210" s="102" t="s">
        <v>295</v>
      </c>
      <c r="C210" s="206"/>
      <c r="D210" s="192"/>
      <c r="E210" s="192"/>
      <c r="F210" s="214"/>
      <c r="G210" s="192"/>
      <c r="H210" s="192"/>
      <c r="I210" s="192"/>
      <c r="J210" s="195"/>
      <c r="K210" s="195"/>
      <c r="L210" s="195"/>
      <c r="M210" s="195"/>
      <c r="N210" s="195"/>
      <c r="O210" s="195"/>
      <c r="P210" s="195"/>
      <c r="Q210" s="199"/>
      <c r="R210" s="461"/>
      <c r="S210" s="461"/>
      <c r="T210" s="461"/>
      <c r="U210" s="461"/>
      <c r="V210" s="461"/>
      <c r="W210" s="461"/>
      <c r="X210" s="461"/>
      <c r="Y210" s="461"/>
      <c r="Z210" s="461"/>
      <c r="AA210" s="461"/>
      <c r="AB210" s="461"/>
      <c r="AC210" s="461"/>
      <c r="AD210" s="461"/>
      <c r="AE210" s="461"/>
      <c r="AF210" s="461"/>
      <c r="AG210" s="461"/>
      <c r="AH210" s="461"/>
      <c r="AI210" s="461"/>
      <c r="AJ210" s="461"/>
      <c r="AK210" s="461"/>
      <c r="AL210" s="461"/>
      <c r="AM210" s="461"/>
      <c r="AN210" s="461"/>
      <c r="AO210" s="461"/>
      <c r="AP210" s="461"/>
      <c r="AQ210" s="461"/>
      <c r="AR210" s="461"/>
    </row>
    <row r="211" spans="1:44" s="102" customFormat="1" ht="12">
      <c r="A211" s="118">
        <v>30</v>
      </c>
      <c r="B211" s="102" t="s">
        <v>296</v>
      </c>
      <c r="C211" s="206"/>
      <c r="D211" s="192"/>
      <c r="E211" s="192"/>
      <c r="F211" s="214"/>
      <c r="G211" s="192"/>
      <c r="H211" s="192"/>
      <c r="I211" s="192"/>
      <c r="J211" s="195"/>
      <c r="K211" s="195"/>
      <c r="L211" s="195"/>
      <c r="M211" s="195"/>
      <c r="N211" s="195"/>
      <c r="O211" s="195"/>
      <c r="P211" s="195"/>
      <c r="Q211" s="199"/>
      <c r="R211" s="461"/>
      <c r="S211" s="461"/>
      <c r="T211" s="461"/>
      <c r="U211" s="461"/>
      <c r="V211" s="461"/>
      <c r="W211" s="461"/>
      <c r="X211" s="461"/>
      <c r="Y211" s="461"/>
      <c r="Z211" s="461"/>
      <c r="AA211" s="461"/>
      <c r="AB211" s="461"/>
      <c r="AC211" s="461"/>
      <c r="AD211" s="461"/>
      <c r="AE211" s="461"/>
      <c r="AF211" s="461"/>
      <c r="AG211" s="461"/>
      <c r="AH211" s="461"/>
      <c r="AI211" s="461"/>
      <c r="AJ211" s="461"/>
      <c r="AK211" s="461"/>
      <c r="AL211" s="461"/>
      <c r="AM211" s="461"/>
      <c r="AN211" s="461"/>
      <c r="AO211" s="461"/>
      <c r="AP211" s="461"/>
      <c r="AQ211" s="461"/>
      <c r="AR211" s="461"/>
    </row>
    <row r="212" spans="1:44">
      <c r="A212" s="1">
        <v>200</v>
      </c>
      <c r="B212" s="62" t="s">
        <v>97</v>
      </c>
      <c r="C212" s="592"/>
      <c r="D212" s="590" t="s">
        <v>407</v>
      </c>
      <c r="E212" s="268"/>
      <c r="F212" s="269"/>
      <c r="G212" s="268"/>
      <c r="H212" s="273"/>
      <c r="I212" s="273"/>
      <c r="J212" s="273"/>
      <c r="K212" s="274"/>
      <c r="L212" s="274"/>
      <c r="M212" s="274"/>
      <c r="N212" s="274"/>
      <c r="O212" s="269"/>
      <c r="P212" s="269"/>
      <c r="Q212" s="597"/>
      <c r="R212" s="468"/>
      <c r="S212" s="470"/>
      <c r="T212" s="464"/>
      <c r="U212" s="464"/>
      <c r="V212" s="460"/>
      <c r="W212" s="460"/>
      <c r="X212" s="460"/>
      <c r="Y212" s="460"/>
      <c r="Z212" s="460"/>
      <c r="AA212" s="460"/>
      <c r="AB212" s="460"/>
      <c r="AC212" s="460"/>
      <c r="AD212" s="460"/>
      <c r="AE212" s="460"/>
      <c r="AF212" s="460"/>
      <c r="AG212" s="460"/>
      <c r="AH212" s="460"/>
      <c r="AI212" s="460"/>
      <c r="AJ212" s="460"/>
      <c r="AK212" s="460"/>
      <c r="AL212" s="460"/>
      <c r="AM212" s="460"/>
      <c r="AN212" s="460"/>
      <c r="AO212" s="460"/>
      <c r="AP212" s="460"/>
      <c r="AQ212" s="460"/>
      <c r="AR212" s="460"/>
    </row>
    <row r="213" spans="1:44">
      <c r="A213" s="37"/>
      <c r="B213" s="7" t="s">
        <v>18</v>
      </c>
      <c r="C213" s="592"/>
      <c r="D213" s="273"/>
      <c r="E213" s="268"/>
      <c r="F213" s="269"/>
      <c r="G213" s="268"/>
      <c r="H213" s="273"/>
      <c r="I213" s="273"/>
      <c r="J213" s="273"/>
      <c r="K213" s="274"/>
      <c r="L213" s="274"/>
      <c r="M213" s="274"/>
      <c r="N213" s="274"/>
      <c r="O213" s="269"/>
      <c r="P213" s="269"/>
      <c r="Q213" s="597"/>
      <c r="R213" s="468"/>
      <c r="S213" s="470"/>
      <c r="T213" s="464"/>
      <c r="U213" s="464"/>
      <c r="V213" s="460"/>
      <c r="W213" s="460"/>
      <c r="X213" s="460"/>
      <c r="Y213" s="460"/>
      <c r="Z213" s="460"/>
      <c r="AA213" s="460"/>
      <c r="AB213" s="460"/>
      <c r="AC213" s="460"/>
      <c r="AD213" s="460"/>
      <c r="AE213" s="460"/>
      <c r="AF213" s="460"/>
      <c r="AG213" s="460"/>
      <c r="AH213" s="460"/>
      <c r="AI213" s="460"/>
      <c r="AJ213" s="460"/>
      <c r="AK213" s="460"/>
      <c r="AL213" s="460"/>
      <c r="AM213" s="460"/>
      <c r="AN213" s="460"/>
      <c r="AO213" s="460"/>
      <c r="AP213" s="460"/>
      <c r="AQ213" s="460"/>
      <c r="AR213" s="460"/>
    </row>
    <row r="214" spans="1:44">
      <c r="B214" s="458" t="s">
        <v>18</v>
      </c>
      <c r="C214" s="486"/>
      <c r="D214" s="487"/>
      <c r="E214" s="487"/>
      <c r="F214" s="488"/>
      <c r="G214" s="476"/>
      <c r="H214" s="487"/>
      <c r="I214" s="487"/>
      <c r="J214" s="487"/>
      <c r="K214" s="488"/>
      <c r="L214" s="489"/>
      <c r="M214" s="488"/>
      <c r="N214" s="488"/>
      <c r="O214" s="477"/>
      <c r="P214" s="477"/>
      <c r="Q214" s="490"/>
      <c r="R214" s="468"/>
      <c r="S214" s="470"/>
      <c r="T214" s="464"/>
      <c r="U214" s="464"/>
      <c r="V214" s="460"/>
      <c r="W214" s="460"/>
      <c r="X214" s="460"/>
      <c r="Y214" s="460"/>
      <c r="Z214" s="460"/>
      <c r="AA214" s="460"/>
      <c r="AB214" s="460"/>
      <c r="AC214" s="460"/>
      <c r="AD214" s="460"/>
      <c r="AE214" s="460"/>
      <c r="AF214" s="460"/>
      <c r="AG214" s="460"/>
      <c r="AH214" s="460"/>
      <c r="AI214" s="460"/>
      <c r="AJ214" s="460"/>
      <c r="AK214" s="460"/>
      <c r="AL214" s="460"/>
      <c r="AM214" s="460"/>
      <c r="AN214" s="460"/>
      <c r="AO214" s="460"/>
      <c r="AP214" s="460"/>
      <c r="AQ214" s="460"/>
      <c r="AR214" s="460"/>
    </row>
    <row r="215" spans="1:44">
      <c r="B215" s="484"/>
      <c r="C215" s="486"/>
      <c r="D215" s="487"/>
      <c r="E215" s="487"/>
      <c r="F215" s="488"/>
      <c r="G215" s="476"/>
      <c r="H215" s="487"/>
      <c r="I215" s="487"/>
      <c r="J215" s="487"/>
      <c r="K215" s="488"/>
      <c r="L215" s="488"/>
      <c r="M215" s="488"/>
      <c r="N215" s="488"/>
      <c r="O215" s="477"/>
      <c r="P215" s="477"/>
      <c r="Q215" s="491"/>
      <c r="R215" s="471"/>
      <c r="S215" s="470"/>
      <c r="T215" s="464"/>
      <c r="U215" s="464"/>
      <c r="V215" s="460"/>
      <c r="W215" s="460"/>
      <c r="X215" s="460"/>
      <c r="Y215" s="460"/>
      <c r="Z215" s="460"/>
      <c r="AA215" s="460"/>
      <c r="AB215" s="460"/>
      <c r="AC215" s="460"/>
      <c r="AD215" s="460"/>
      <c r="AE215" s="460"/>
      <c r="AF215" s="460"/>
      <c r="AG215" s="460"/>
      <c r="AH215" s="460"/>
      <c r="AI215" s="460"/>
      <c r="AJ215" s="460"/>
      <c r="AK215" s="460"/>
      <c r="AL215" s="460"/>
      <c r="AM215" s="460"/>
      <c r="AN215" s="460"/>
      <c r="AO215" s="460"/>
      <c r="AP215" s="460"/>
      <c r="AQ215" s="460"/>
      <c r="AR215" s="460"/>
    </row>
    <row r="216" spans="1:44">
      <c r="B216" s="484"/>
      <c r="C216" s="486"/>
      <c r="D216" s="492"/>
      <c r="E216" s="492"/>
      <c r="F216" s="493"/>
      <c r="G216" s="492"/>
      <c r="H216" s="494"/>
      <c r="I216" s="492"/>
      <c r="J216" s="492"/>
      <c r="K216" s="493"/>
      <c r="L216" s="493"/>
      <c r="M216" s="493"/>
      <c r="N216" s="493"/>
      <c r="O216" s="495"/>
      <c r="P216" s="495"/>
      <c r="Q216" s="491"/>
      <c r="R216" s="471"/>
      <c r="S216" s="470"/>
      <c r="T216" s="464"/>
      <c r="U216" s="464"/>
      <c r="V216" s="460"/>
      <c r="W216" s="460"/>
      <c r="X216" s="460"/>
      <c r="Y216" s="460"/>
      <c r="Z216" s="460"/>
      <c r="AA216" s="460"/>
      <c r="AB216" s="460"/>
      <c r="AC216" s="460"/>
      <c r="AD216" s="460"/>
      <c r="AE216" s="460"/>
      <c r="AF216" s="460"/>
      <c r="AG216" s="460"/>
      <c r="AH216" s="460"/>
      <c r="AI216" s="460"/>
      <c r="AJ216" s="460"/>
      <c r="AK216" s="460"/>
      <c r="AL216" s="460"/>
      <c r="AM216" s="460"/>
      <c r="AN216" s="460"/>
      <c r="AO216" s="460"/>
      <c r="AP216" s="460"/>
      <c r="AQ216" s="460"/>
      <c r="AR216" s="460"/>
    </row>
    <row r="217" spans="1:44">
      <c r="B217" s="459"/>
      <c r="C217" s="486"/>
      <c r="D217" s="492"/>
      <c r="E217" s="492"/>
      <c r="F217" s="493"/>
      <c r="G217" s="492"/>
      <c r="H217" s="494"/>
      <c r="I217" s="492"/>
      <c r="J217" s="492"/>
      <c r="K217" s="493"/>
      <c r="L217" s="493"/>
      <c r="M217" s="493"/>
      <c r="N217" s="493"/>
      <c r="O217" s="495"/>
      <c r="P217" s="495"/>
      <c r="Q217" s="491"/>
      <c r="R217" s="470"/>
      <c r="S217" s="470"/>
      <c r="T217" s="464"/>
      <c r="U217" s="464"/>
      <c r="V217" s="460"/>
      <c r="W217" s="460"/>
      <c r="X217" s="460"/>
      <c r="Y217" s="460"/>
      <c r="Z217" s="460"/>
      <c r="AA217" s="460"/>
      <c r="AB217" s="460"/>
      <c r="AC217" s="460"/>
      <c r="AD217" s="460"/>
      <c r="AE217" s="460"/>
      <c r="AF217" s="460"/>
      <c r="AG217" s="460"/>
      <c r="AH217" s="460"/>
      <c r="AI217" s="460"/>
      <c r="AJ217" s="460"/>
      <c r="AK217" s="460"/>
      <c r="AL217" s="460"/>
      <c r="AM217" s="460"/>
      <c r="AN217" s="460"/>
      <c r="AO217" s="460"/>
      <c r="AP217" s="460"/>
      <c r="AQ217" s="460"/>
      <c r="AR217" s="460"/>
    </row>
    <row r="218" spans="1:44">
      <c r="B218" s="460"/>
      <c r="C218" s="496"/>
      <c r="D218" s="497"/>
      <c r="E218" s="497"/>
      <c r="F218" s="498"/>
      <c r="G218" s="497"/>
      <c r="H218" s="499"/>
      <c r="I218" s="497"/>
      <c r="J218" s="497"/>
      <c r="K218" s="498"/>
      <c r="L218" s="498"/>
      <c r="M218" s="498"/>
      <c r="N218" s="498"/>
      <c r="O218" s="500"/>
      <c r="P218" s="500"/>
      <c r="Q218" s="501"/>
      <c r="R218" s="472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</row>
    <row r="219" spans="1:44">
      <c r="B219" s="460"/>
      <c r="C219" s="496"/>
      <c r="D219" s="497"/>
      <c r="E219" s="497"/>
      <c r="F219" s="498"/>
      <c r="G219" s="497"/>
      <c r="H219" s="499"/>
      <c r="I219" s="497"/>
      <c r="J219" s="497"/>
      <c r="K219" s="498"/>
      <c r="L219" s="498"/>
      <c r="M219" s="498"/>
      <c r="N219" s="498"/>
      <c r="O219" s="500"/>
      <c r="P219" s="500"/>
      <c r="Q219" s="501"/>
      <c r="R219" s="472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  <c r="AD219" s="460"/>
      <c r="AE219" s="460"/>
      <c r="AF219" s="460"/>
      <c r="AG219" s="460"/>
      <c r="AH219" s="460"/>
      <c r="AI219" s="460"/>
      <c r="AJ219" s="460"/>
      <c r="AK219" s="460"/>
      <c r="AL219" s="460"/>
      <c r="AM219" s="460"/>
      <c r="AN219" s="460"/>
      <c r="AO219" s="460"/>
      <c r="AP219" s="460"/>
      <c r="AQ219" s="460"/>
      <c r="AR219" s="460"/>
    </row>
    <row r="220" spans="1:44">
      <c r="B220" s="460"/>
      <c r="C220" s="496"/>
      <c r="D220" s="497"/>
      <c r="E220" s="497"/>
      <c r="F220" s="502"/>
      <c r="G220" s="497"/>
      <c r="H220" s="499"/>
      <c r="I220" s="497"/>
      <c r="J220" s="497"/>
      <c r="K220" s="498"/>
      <c r="L220" s="498"/>
      <c r="M220" s="498"/>
      <c r="N220" s="498"/>
      <c r="O220" s="500"/>
      <c r="P220" s="500"/>
      <c r="Q220" s="501"/>
      <c r="R220" s="472"/>
      <c r="S220" s="460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  <c r="AD220" s="460"/>
      <c r="AE220" s="460"/>
      <c r="AF220" s="460"/>
      <c r="AG220" s="460"/>
      <c r="AH220" s="460"/>
      <c r="AI220" s="460"/>
      <c r="AJ220" s="460"/>
      <c r="AK220" s="460"/>
      <c r="AL220" s="460"/>
      <c r="AM220" s="460"/>
      <c r="AN220" s="460"/>
      <c r="AO220" s="460"/>
      <c r="AP220" s="460"/>
      <c r="AQ220" s="460"/>
      <c r="AR220" s="460"/>
    </row>
    <row r="221" spans="1:44">
      <c r="B221" s="460"/>
      <c r="C221" s="496"/>
      <c r="D221" s="497"/>
      <c r="E221" s="497"/>
      <c r="F221" s="502"/>
      <c r="G221" s="497"/>
      <c r="H221" s="499"/>
      <c r="I221" s="497"/>
      <c r="J221" s="497"/>
      <c r="K221" s="498"/>
      <c r="L221" s="498"/>
      <c r="M221" s="498"/>
      <c r="N221" s="498"/>
      <c r="O221" s="500"/>
      <c r="P221" s="500"/>
      <c r="Q221" s="501"/>
      <c r="R221" s="472"/>
      <c r="S221" s="460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  <c r="AD221" s="460"/>
      <c r="AE221" s="460"/>
      <c r="AF221" s="460"/>
      <c r="AG221" s="460"/>
      <c r="AH221" s="460"/>
      <c r="AI221" s="460"/>
      <c r="AJ221" s="460"/>
      <c r="AK221" s="460"/>
      <c r="AL221" s="460"/>
      <c r="AM221" s="460"/>
      <c r="AN221" s="460"/>
      <c r="AO221" s="460"/>
      <c r="AP221" s="460"/>
      <c r="AQ221" s="460"/>
      <c r="AR221" s="460"/>
    </row>
    <row r="222" spans="1:44" ht="12.5">
      <c r="B222" s="485"/>
      <c r="C222" s="496"/>
      <c r="D222" s="497"/>
      <c r="E222" s="497"/>
      <c r="F222" s="502"/>
      <c r="G222" s="497"/>
      <c r="H222" s="499"/>
      <c r="I222" s="497"/>
      <c r="J222" s="497"/>
      <c r="K222" s="498"/>
      <c r="L222" s="498"/>
      <c r="M222" s="498"/>
      <c r="N222" s="498"/>
      <c r="O222" s="500"/>
      <c r="P222" s="500"/>
      <c r="Q222" s="501"/>
      <c r="R222" s="472"/>
      <c r="S222" s="460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  <c r="AD222" s="460"/>
      <c r="AE222" s="460"/>
      <c r="AF222" s="460"/>
      <c r="AG222" s="460"/>
      <c r="AH222" s="460"/>
      <c r="AI222" s="460"/>
      <c r="AJ222" s="460"/>
      <c r="AK222" s="460"/>
      <c r="AL222" s="460"/>
      <c r="AM222" s="460"/>
      <c r="AN222" s="460"/>
      <c r="AO222" s="460"/>
      <c r="AP222" s="460"/>
      <c r="AQ222" s="460"/>
      <c r="AR222" s="460"/>
    </row>
    <row r="223" spans="1:44">
      <c r="B223" s="460"/>
      <c r="C223" s="496"/>
      <c r="D223" s="497"/>
      <c r="E223" s="497"/>
      <c r="F223" s="503"/>
      <c r="G223" s="497"/>
      <c r="H223" s="499"/>
      <c r="I223" s="497"/>
      <c r="J223" s="497"/>
      <c r="K223" s="498"/>
      <c r="L223" s="498"/>
      <c r="M223" s="498"/>
      <c r="N223" s="498"/>
      <c r="O223" s="500"/>
      <c r="P223" s="500"/>
      <c r="Q223" s="501"/>
      <c r="R223" s="472"/>
      <c r="S223" s="460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  <c r="AD223" s="460"/>
      <c r="AE223" s="460"/>
      <c r="AF223" s="460"/>
      <c r="AG223" s="460"/>
      <c r="AH223" s="460"/>
      <c r="AI223" s="460"/>
      <c r="AJ223" s="460"/>
      <c r="AK223" s="460"/>
      <c r="AL223" s="460"/>
      <c r="AM223" s="460"/>
      <c r="AN223" s="460"/>
      <c r="AO223" s="460"/>
      <c r="AP223" s="460"/>
      <c r="AQ223" s="460"/>
      <c r="AR223" s="460"/>
    </row>
    <row r="224" spans="1:44">
      <c r="B224" s="472"/>
      <c r="C224" s="504"/>
      <c r="D224" s="505"/>
      <c r="E224" s="505"/>
      <c r="F224" s="503"/>
      <c r="G224" s="505"/>
      <c r="H224" s="506"/>
      <c r="I224" s="505"/>
      <c r="J224" s="505"/>
      <c r="K224" s="507"/>
      <c r="L224" s="507"/>
      <c r="M224" s="507"/>
      <c r="N224" s="507"/>
      <c r="O224" s="507"/>
      <c r="P224" s="507"/>
      <c r="Q224" s="501"/>
      <c r="R224" s="472"/>
      <c r="S224" s="460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  <c r="AD224" s="460"/>
      <c r="AE224" s="460"/>
      <c r="AF224" s="460"/>
      <c r="AG224" s="460"/>
      <c r="AH224" s="460"/>
      <c r="AI224" s="460"/>
      <c r="AJ224" s="460"/>
      <c r="AK224" s="460"/>
      <c r="AL224" s="460"/>
      <c r="AM224" s="460"/>
      <c r="AN224" s="460"/>
      <c r="AO224" s="460"/>
      <c r="AP224" s="460"/>
      <c r="AQ224" s="460"/>
      <c r="AR224" s="460"/>
    </row>
    <row r="225" spans="2:44" ht="12.5">
      <c r="B225" s="485"/>
      <c r="C225" s="504"/>
      <c r="D225" s="505"/>
      <c r="E225" s="505"/>
      <c r="F225" s="507"/>
      <c r="G225" s="505"/>
      <c r="H225" s="506"/>
      <c r="I225" s="505"/>
      <c r="J225" s="505"/>
      <c r="K225" s="507"/>
      <c r="L225" s="507"/>
      <c r="M225" s="507"/>
      <c r="N225" s="507"/>
      <c r="O225" s="507"/>
      <c r="P225" s="507"/>
      <c r="Q225" s="501"/>
      <c r="R225" s="472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0"/>
      <c r="AI225" s="460"/>
      <c r="AJ225" s="460"/>
      <c r="AK225" s="460"/>
      <c r="AL225" s="460"/>
      <c r="AM225" s="460"/>
      <c r="AN225" s="460"/>
      <c r="AO225" s="460"/>
      <c r="AP225" s="460"/>
      <c r="AQ225" s="460"/>
      <c r="AR225" s="460"/>
    </row>
    <row r="226" spans="2:44" ht="13.5" customHeight="1">
      <c r="B226" s="10"/>
      <c r="C226" s="11"/>
      <c r="D226" s="79"/>
      <c r="E226" s="79"/>
      <c r="F226" s="13"/>
      <c r="G226" s="79"/>
      <c r="H226" s="12"/>
      <c r="I226" s="79"/>
      <c r="J226" s="79"/>
      <c r="K226" s="13"/>
      <c r="L226" s="13"/>
      <c r="M226" s="13"/>
      <c r="N226" s="13"/>
      <c r="O226" s="13"/>
      <c r="P226" s="13"/>
      <c r="Q226" s="106"/>
      <c r="R226" s="10"/>
      <c r="S226" s="15"/>
      <c r="T226" s="16"/>
      <c r="U226" s="16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2:44" ht="12.5">
      <c r="B227" s="17"/>
      <c r="C227" s="11"/>
      <c r="D227" s="79"/>
      <c r="E227" s="79"/>
      <c r="F227" s="13"/>
      <c r="G227" s="79"/>
      <c r="H227" s="12"/>
      <c r="I227" s="79"/>
      <c r="J227" s="79"/>
      <c r="K227" s="13"/>
      <c r="L227" s="13"/>
      <c r="M227" s="13"/>
      <c r="N227" s="13"/>
      <c r="O227" s="13"/>
      <c r="P227" s="13"/>
      <c r="Q227" s="106"/>
      <c r="R227" s="10"/>
      <c r="S227" s="15"/>
      <c r="T227" s="16"/>
      <c r="U227" s="16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2:44">
      <c r="B228" s="19"/>
      <c r="C228" s="11"/>
      <c r="D228" s="79"/>
      <c r="E228" s="79"/>
      <c r="F228" s="13"/>
      <c r="G228" s="79"/>
      <c r="H228" s="12"/>
      <c r="I228" s="79"/>
      <c r="J228" s="79"/>
      <c r="K228" s="13"/>
      <c r="L228" s="13"/>
      <c r="M228" s="13"/>
      <c r="N228" s="13"/>
      <c r="O228" s="13"/>
      <c r="P228" s="13"/>
      <c r="Q228" s="106"/>
      <c r="R228" s="10"/>
      <c r="S228" s="15"/>
      <c r="T228" s="16"/>
      <c r="U228" s="16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2:44">
      <c r="B229" s="10"/>
      <c r="C229" s="11"/>
      <c r="D229" s="79"/>
      <c r="E229" s="79"/>
      <c r="F229" s="13"/>
      <c r="G229" s="79"/>
      <c r="H229" s="12"/>
      <c r="I229" s="79"/>
      <c r="J229" s="79"/>
      <c r="K229" s="13"/>
      <c r="L229" s="13"/>
      <c r="M229" s="13"/>
      <c r="N229" s="13"/>
      <c r="O229" s="13"/>
      <c r="P229" s="13"/>
      <c r="Q229" s="106"/>
      <c r="R229" s="10"/>
      <c r="S229" s="18"/>
      <c r="T229" s="16"/>
      <c r="U229" s="16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2:44">
      <c r="B230" s="20"/>
      <c r="C230" s="21"/>
      <c r="D230" s="80"/>
      <c r="E230" s="80"/>
      <c r="F230" s="27"/>
      <c r="G230" s="80"/>
      <c r="H230" s="22"/>
      <c r="I230" s="80"/>
      <c r="J230" s="80"/>
      <c r="K230" s="27"/>
      <c r="L230" s="27"/>
      <c r="M230" s="27"/>
      <c r="N230" s="27"/>
      <c r="O230" s="23"/>
      <c r="P230" s="23"/>
      <c r="Q230" s="106"/>
      <c r="R230" s="10"/>
      <c r="S230" s="18"/>
      <c r="T230" s="16"/>
      <c r="U230" s="16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2:44">
      <c r="B231" s="15"/>
      <c r="C231" s="85"/>
      <c r="D231" s="88"/>
      <c r="E231" s="88"/>
      <c r="F231" s="87"/>
      <c r="G231" s="88"/>
      <c r="H231" s="86"/>
      <c r="I231" s="88"/>
      <c r="J231" s="88"/>
      <c r="K231" s="87"/>
      <c r="L231" s="87"/>
      <c r="M231" s="87"/>
      <c r="N231" s="87"/>
      <c r="O231" s="87"/>
      <c r="P231" s="87"/>
      <c r="Q231" s="106"/>
      <c r="R231" s="10"/>
      <c r="S231" s="16"/>
      <c r="T231" s="16"/>
      <c r="U231" s="16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2:44">
      <c r="B232" s="15"/>
      <c r="C232" s="85"/>
      <c r="D232" s="88"/>
      <c r="E232" s="88"/>
      <c r="F232" s="87"/>
      <c r="G232" s="88"/>
      <c r="H232" s="86"/>
      <c r="I232" s="88"/>
      <c r="J232" s="88"/>
      <c r="K232" s="87"/>
      <c r="L232" s="87"/>
      <c r="M232" s="87"/>
      <c r="N232" s="87"/>
      <c r="O232" s="87"/>
      <c r="P232" s="87"/>
      <c r="Q232" s="106"/>
      <c r="R232" s="10"/>
      <c r="S232" s="24"/>
      <c r="T232" s="16"/>
      <c r="U232" s="16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2:44">
      <c r="B233" s="18"/>
      <c r="C233" s="89"/>
      <c r="D233" s="88"/>
      <c r="E233" s="88"/>
      <c r="F233" s="87"/>
      <c r="G233" s="88"/>
      <c r="H233" s="94"/>
      <c r="I233" s="88"/>
      <c r="J233" s="88"/>
      <c r="K233" s="87"/>
      <c r="L233" s="93"/>
      <c r="M233" s="87"/>
      <c r="N233" s="93"/>
      <c r="O233" s="87"/>
      <c r="P233" s="87"/>
      <c r="Q233" s="106"/>
      <c r="R233" s="10"/>
      <c r="S233" s="24"/>
      <c r="T233" s="16"/>
      <c r="U233" s="16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2:44">
      <c r="B234" s="18"/>
      <c r="C234" s="89"/>
      <c r="D234" s="88"/>
      <c r="E234" s="88"/>
      <c r="F234" s="87"/>
      <c r="G234" s="88"/>
      <c r="H234" s="94"/>
      <c r="I234" s="88"/>
      <c r="J234" s="88"/>
      <c r="K234" s="87"/>
      <c r="L234" s="87"/>
      <c r="M234" s="87"/>
      <c r="N234" s="87"/>
      <c r="O234" s="87"/>
      <c r="P234" s="87"/>
      <c r="Q234" s="106"/>
      <c r="R234" s="10"/>
      <c r="S234" s="15"/>
      <c r="T234" s="16"/>
      <c r="U234" s="1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2:44">
      <c r="B235" s="18"/>
      <c r="C235" s="89"/>
      <c r="D235" s="88"/>
      <c r="E235" s="88"/>
      <c r="F235" s="87"/>
      <c r="G235" s="88"/>
      <c r="H235" s="86"/>
      <c r="I235" s="88"/>
      <c r="J235" s="88"/>
      <c r="K235" s="87"/>
      <c r="L235" s="87"/>
      <c r="M235" s="87"/>
      <c r="N235" s="93"/>
      <c r="O235" s="87"/>
      <c r="P235" s="87"/>
      <c r="Q235" s="106"/>
      <c r="R235" s="10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2:44">
      <c r="B236" s="14"/>
      <c r="C236" s="25"/>
      <c r="D236" s="81"/>
      <c r="E236" s="81"/>
      <c r="F236" s="29"/>
      <c r="G236" s="81"/>
      <c r="H236" s="26"/>
      <c r="I236" s="81"/>
      <c r="J236" s="81"/>
      <c r="K236" s="29"/>
      <c r="L236" s="29"/>
      <c r="M236" s="29"/>
      <c r="N236" s="29"/>
      <c r="O236" s="27"/>
      <c r="P236" s="27"/>
      <c r="Q236" s="106"/>
      <c r="R236" s="10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2:44">
      <c r="B237" s="10"/>
      <c r="C237" s="25"/>
      <c r="D237" s="81"/>
      <c r="E237" s="81"/>
      <c r="F237" s="29"/>
      <c r="G237" s="81"/>
      <c r="H237" s="26"/>
      <c r="I237" s="81"/>
      <c r="J237" s="81"/>
      <c r="K237" s="29"/>
      <c r="L237" s="29"/>
      <c r="M237" s="29"/>
      <c r="N237" s="29"/>
      <c r="O237" s="27"/>
      <c r="P237" s="27"/>
      <c r="Q237" s="106"/>
      <c r="R237" s="10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2:44">
      <c r="B238" s="10"/>
      <c r="C238" s="25"/>
      <c r="D238" s="81"/>
      <c r="E238" s="81"/>
      <c r="F238" s="29"/>
      <c r="G238" s="81"/>
      <c r="H238" s="26"/>
      <c r="I238" s="81"/>
      <c r="J238" s="81"/>
      <c r="K238" s="29"/>
      <c r="L238" s="29"/>
      <c r="M238" s="29"/>
      <c r="N238" s="29"/>
      <c r="O238" s="27"/>
      <c r="P238" s="27"/>
      <c r="Q238" s="106"/>
      <c r="R238" s="10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2:44">
      <c r="B239" s="10"/>
      <c r="C239" s="25"/>
      <c r="D239" s="81"/>
      <c r="E239" s="81"/>
      <c r="F239" s="29"/>
      <c r="G239" s="81"/>
      <c r="H239" s="26"/>
      <c r="I239" s="81"/>
      <c r="J239" s="81"/>
      <c r="K239" s="29"/>
      <c r="L239" s="29"/>
      <c r="M239" s="29"/>
      <c r="N239" s="29"/>
      <c r="O239" s="90"/>
      <c r="P239" s="90"/>
      <c r="Q239" s="106"/>
      <c r="R239" s="10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2:44">
      <c r="B240" s="28"/>
      <c r="C240" s="25"/>
      <c r="D240" s="81"/>
      <c r="E240" s="81"/>
      <c r="F240" s="29"/>
      <c r="G240" s="81"/>
      <c r="H240" s="26"/>
      <c r="I240" s="81"/>
      <c r="J240" s="81"/>
      <c r="K240" s="29"/>
      <c r="L240" s="29"/>
      <c r="M240" s="29"/>
      <c r="N240" s="29"/>
      <c r="O240" s="90"/>
      <c r="P240" s="90"/>
      <c r="Q240" s="106"/>
      <c r="R240" s="10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1:44">
      <c r="B241" s="28"/>
      <c r="C241" s="25"/>
      <c r="D241" s="81"/>
      <c r="E241" s="81"/>
      <c r="F241" s="29"/>
      <c r="G241" s="81"/>
      <c r="H241" s="26"/>
      <c r="I241" s="81"/>
      <c r="J241" s="81"/>
      <c r="K241" s="29"/>
      <c r="L241" s="29"/>
      <c r="M241" s="29"/>
      <c r="N241" s="29"/>
      <c r="O241" s="90"/>
      <c r="P241" s="90"/>
      <c r="Q241" s="106"/>
      <c r="R241" s="10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1:44">
      <c r="B242" s="10"/>
      <c r="C242" s="19"/>
      <c r="D242" s="81"/>
      <c r="E242" s="81"/>
      <c r="F242" s="29"/>
      <c r="G242" s="81"/>
      <c r="H242" s="26"/>
      <c r="I242" s="81"/>
      <c r="J242" s="81"/>
      <c r="K242" s="29"/>
      <c r="L242" s="29"/>
      <c r="M242" s="29"/>
      <c r="N242" s="29"/>
      <c r="O242" s="90"/>
      <c r="P242" s="90"/>
      <c r="Q242" s="106"/>
      <c r="R242" s="10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1:44">
      <c r="B243" s="10"/>
      <c r="C243" s="19"/>
      <c r="D243" s="81"/>
      <c r="E243" s="81"/>
      <c r="F243" s="29"/>
      <c r="G243" s="81"/>
      <c r="H243" s="26"/>
      <c r="I243" s="81"/>
      <c r="J243" s="81"/>
      <c r="K243" s="29"/>
      <c r="L243" s="29"/>
      <c r="M243" s="29"/>
      <c r="N243" s="29"/>
      <c r="O243" s="90"/>
      <c r="P243" s="90"/>
      <c r="Q243" s="106"/>
      <c r="R243" s="10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1:44">
      <c r="B244" s="10"/>
      <c r="C244" s="19"/>
      <c r="D244" s="81"/>
      <c r="E244" s="81"/>
      <c r="F244" s="29"/>
      <c r="G244" s="81"/>
      <c r="H244" s="26"/>
      <c r="I244" s="81"/>
      <c r="J244" s="81"/>
      <c r="K244" s="29"/>
      <c r="L244" s="29"/>
      <c r="M244" s="29"/>
      <c r="N244" s="29"/>
      <c r="O244" s="90"/>
      <c r="P244" s="90"/>
      <c r="Q244" s="106"/>
      <c r="R244" s="10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1:44">
      <c r="B245" s="10"/>
      <c r="C245" s="25"/>
      <c r="D245" s="81"/>
      <c r="E245" s="81"/>
      <c r="F245" s="29"/>
      <c r="G245" s="81"/>
      <c r="H245" s="26"/>
      <c r="I245" s="81"/>
      <c r="J245" s="81"/>
      <c r="K245" s="29"/>
      <c r="L245" s="29"/>
      <c r="M245" s="29"/>
      <c r="N245" s="29"/>
      <c r="O245" s="90"/>
      <c r="P245" s="90"/>
      <c r="Q245" s="106"/>
      <c r="R245" s="10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1:44">
      <c r="B246" s="10"/>
      <c r="C246" s="19"/>
      <c r="D246" s="81"/>
      <c r="E246" s="81"/>
      <c r="F246" s="83"/>
      <c r="G246" s="81"/>
      <c r="H246" s="26"/>
      <c r="I246" s="81"/>
      <c r="J246" s="81"/>
      <c r="K246" s="29"/>
      <c r="L246" s="29"/>
      <c r="M246" s="29"/>
      <c r="N246" s="29"/>
      <c r="O246" s="29"/>
      <c r="P246" s="29"/>
      <c r="Q246" s="106"/>
      <c r="R246" s="10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1:44" ht="13.5" customHeight="1">
      <c r="B247" s="30"/>
      <c r="C247" s="31"/>
      <c r="D247" s="82"/>
      <c r="E247" s="82"/>
      <c r="F247" s="33"/>
      <c r="G247" s="82"/>
      <c r="H247" s="32"/>
      <c r="I247" s="82"/>
      <c r="J247" s="82"/>
      <c r="K247" s="33"/>
      <c r="L247" s="33"/>
      <c r="M247" s="33"/>
      <c r="N247" s="33"/>
      <c r="O247" s="33"/>
      <c r="P247" s="33"/>
      <c r="Q247" s="106"/>
      <c r="R247" s="30"/>
      <c r="S247" s="3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1:44">
      <c r="B248" s="16"/>
      <c r="C248" s="91"/>
      <c r="D248" s="82"/>
      <c r="E248" s="82"/>
      <c r="F248" s="33"/>
      <c r="G248" s="82"/>
      <c r="H248" s="32"/>
      <c r="I248" s="82"/>
      <c r="J248" s="82"/>
      <c r="K248" s="33"/>
      <c r="L248" s="33"/>
      <c r="M248" s="33"/>
      <c r="N248" s="33"/>
      <c r="O248" s="33"/>
      <c r="P248" s="33"/>
      <c r="Q248" s="106"/>
      <c r="R248" s="30"/>
      <c r="S248" s="3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1:44">
      <c r="B249" s="35"/>
      <c r="C249" s="31"/>
      <c r="D249" s="82"/>
      <c r="E249" s="82"/>
      <c r="F249" s="33"/>
      <c r="G249" s="82"/>
      <c r="H249" s="32"/>
      <c r="I249" s="82"/>
      <c r="J249" s="82"/>
      <c r="K249" s="33"/>
      <c r="L249" s="33"/>
      <c r="M249" s="33"/>
      <c r="N249" s="33"/>
      <c r="O249" s="33"/>
      <c r="P249" s="33"/>
      <c r="Q249" s="106"/>
      <c r="R249" s="30"/>
      <c r="S249" s="3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1:44">
      <c r="B250" s="28"/>
      <c r="C250" s="91"/>
      <c r="D250" s="82"/>
      <c r="E250" s="82"/>
      <c r="F250" s="33"/>
      <c r="G250" s="82"/>
      <c r="H250" s="32"/>
      <c r="I250" s="82"/>
      <c r="J250" s="82"/>
      <c r="K250" s="33"/>
      <c r="L250" s="33"/>
      <c r="M250" s="33"/>
      <c r="N250" s="33"/>
      <c r="O250" s="33"/>
      <c r="P250" s="33"/>
      <c r="Q250" s="106"/>
      <c r="R250" s="30"/>
      <c r="S250" s="3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1:44">
      <c r="B251" s="15"/>
      <c r="C251" s="92"/>
      <c r="D251" s="88"/>
      <c r="E251" s="88"/>
      <c r="F251" s="87"/>
      <c r="G251" s="88"/>
      <c r="H251" s="98"/>
      <c r="I251" s="88"/>
      <c r="J251" s="88"/>
      <c r="K251" s="87"/>
      <c r="L251" s="87"/>
      <c r="M251" s="87"/>
      <c r="N251" s="87"/>
      <c r="O251" s="87"/>
      <c r="P251" s="87"/>
      <c r="Q251" s="106"/>
      <c r="R251" s="36"/>
      <c r="S251" s="3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1:44" ht="13.5" customHeight="1">
      <c r="B252" s="15"/>
      <c r="C252" s="85"/>
      <c r="D252" s="88"/>
      <c r="E252" s="88"/>
      <c r="F252" s="87"/>
      <c r="G252" s="88"/>
      <c r="H252" s="86"/>
      <c r="I252" s="88"/>
      <c r="J252" s="88"/>
      <c r="K252" s="87"/>
      <c r="L252" s="87"/>
      <c r="M252" s="87"/>
      <c r="N252" s="87"/>
      <c r="O252" s="87"/>
      <c r="P252" s="87"/>
      <c r="Q252" s="106"/>
      <c r="R252" s="36"/>
      <c r="S252" s="3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1:44" ht="12" customHeight="1">
      <c r="B253" s="15"/>
      <c r="C253" s="85"/>
      <c r="D253" s="88"/>
      <c r="E253" s="88"/>
      <c r="F253" s="87"/>
      <c r="G253" s="88"/>
      <c r="H253" s="86"/>
      <c r="I253" s="88"/>
      <c r="J253" s="88"/>
      <c r="K253" s="87"/>
      <c r="L253" s="87"/>
      <c r="M253" s="87"/>
      <c r="N253" s="87"/>
      <c r="O253" s="87"/>
      <c r="P253" s="87"/>
      <c r="Q253" s="107"/>
      <c r="R253" s="36"/>
      <c r="S253" s="30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1:44" s="2" customFormat="1" ht="12" customHeight="1">
      <c r="A254" s="37"/>
      <c r="B254" s="38"/>
      <c r="C254" s="89"/>
      <c r="D254" s="88"/>
      <c r="E254" s="88"/>
      <c r="F254" s="87"/>
      <c r="G254" s="88"/>
      <c r="H254" s="94"/>
      <c r="I254" s="88"/>
      <c r="J254" s="88"/>
      <c r="K254" s="87"/>
      <c r="L254" s="93"/>
      <c r="M254" s="87"/>
      <c r="N254" s="93"/>
      <c r="O254" s="87"/>
      <c r="P254" s="87"/>
      <c r="Q254" s="107"/>
      <c r="R254" s="39"/>
      <c r="S254" s="39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</row>
    <row r="255" spans="1:44" s="2" customFormat="1" ht="11.25" customHeight="1">
      <c r="A255" s="37"/>
      <c r="B255" s="38"/>
      <c r="C255" s="89"/>
      <c r="D255" s="88"/>
      <c r="E255" s="88"/>
      <c r="F255" s="87"/>
      <c r="G255" s="88"/>
      <c r="H255" s="94"/>
      <c r="I255" s="88"/>
      <c r="J255" s="88"/>
      <c r="K255" s="87"/>
      <c r="L255" s="87"/>
      <c r="M255" s="87"/>
      <c r="N255" s="87"/>
      <c r="O255" s="87"/>
      <c r="P255" s="87"/>
      <c r="Q255" s="107"/>
      <c r="R255" s="39"/>
      <c r="S255" s="39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</row>
    <row r="256" spans="1:44" s="2" customFormat="1" ht="11.25" customHeight="1">
      <c r="A256" s="37"/>
      <c r="B256" s="38"/>
      <c r="C256" s="89"/>
      <c r="D256" s="88"/>
      <c r="E256" s="88"/>
      <c r="F256" s="87"/>
      <c r="G256" s="88"/>
      <c r="H256" s="86"/>
      <c r="I256" s="88"/>
      <c r="J256" s="88"/>
      <c r="K256" s="87"/>
      <c r="L256" s="87"/>
      <c r="M256" s="87"/>
      <c r="N256" s="93"/>
      <c r="O256" s="87"/>
      <c r="P256" s="87"/>
      <c r="Q256" s="107"/>
      <c r="R256" s="39"/>
      <c r="S256" s="39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</row>
    <row r="257" spans="1:44" s="2" customFormat="1" ht="11.25" customHeight="1">
      <c r="A257" s="37"/>
      <c r="B257" s="38"/>
      <c r="C257" s="89"/>
      <c r="D257" s="88"/>
      <c r="E257" s="99"/>
      <c r="F257" s="93"/>
      <c r="G257" s="99"/>
      <c r="H257" s="86"/>
      <c r="I257" s="88"/>
      <c r="J257" s="88"/>
      <c r="K257" s="93"/>
      <c r="L257" s="87"/>
      <c r="M257" s="87"/>
      <c r="N257" s="93"/>
      <c r="O257" s="87"/>
      <c r="P257" s="87"/>
      <c r="Q257" s="107"/>
      <c r="R257" s="39"/>
      <c r="S257" s="39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</row>
    <row r="258" spans="1:44">
      <c r="B258" s="16"/>
      <c r="C258" s="89"/>
      <c r="D258" s="88"/>
      <c r="E258" s="88"/>
      <c r="F258" s="87"/>
      <c r="G258" s="88"/>
      <c r="H258" s="86"/>
      <c r="I258" s="88"/>
      <c r="J258" s="88"/>
      <c r="K258" s="87"/>
      <c r="L258" s="87"/>
      <c r="M258" s="87"/>
      <c r="N258" s="87"/>
      <c r="O258" s="23"/>
      <c r="P258" s="23"/>
      <c r="Q258" s="105"/>
      <c r="R258" s="36"/>
      <c r="S258" s="30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1:44">
      <c r="B259" s="24"/>
      <c r="C259" s="95"/>
      <c r="D259" s="88"/>
      <c r="E259" s="88"/>
      <c r="F259" s="87"/>
      <c r="G259" s="100"/>
      <c r="H259" s="86"/>
      <c r="I259" s="88"/>
      <c r="J259" s="88"/>
      <c r="K259" s="87"/>
      <c r="L259" s="87"/>
      <c r="M259" s="87"/>
      <c r="N259" s="87"/>
      <c r="O259" s="96"/>
      <c r="P259" s="96"/>
      <c r="Q259" s="105"/>
      <c r="R259" s="36"/>
      <c r="S259" s="30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1:44">
      <c r="B260" s="24"/>
      <c r="C260" s="95"/>
      <c r="D260" s="88"/>
      <c r="E260" s="88"/>
      <c r="F260" s="87"/>
      <c r="G260" s="100"/>
      <c r="H260" s="86"/>
      <c r="I260" s="88"/>
      <c r="J260" s="88"/>
      <c r="K260" s="87"/>
      <c r="L260" s="87"/>
      <c r="M260" s="87"/>
      <c r="N260" s="87"/>
      <c r="O260" s="96"/>
      <c r="P260" s="96"/>
      <c r="Q260" s="105"/>
      <c r="R260" s="36"/>
      <c r="S260" s="30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1:44">
      <c r="B261" s="24"/>
      <c r="C261" s="95"/>
      <c r="D261" s="88"/>
      <c r="E261" s="88"/>
      <c r="F261" s="87"/>
      <c r="G261" s="100"/>
      <c r="H261" s="86"/>
      <c r="I261" s="88"/>
      <c r="J261" s="88"/>
      <c r="K261" s="87"/>
      <c r="L261" s="87"/>
      <c r="M261" s="87"/>
      <c r="N261" s="87"/>
      <c r="O261" s="96"/>
      <c r="P261" s="96"/>
      <c r="Q261" s="105"/>
      <c r="R261" s="36"/>
      <c r="S261" s="30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1:44">
      <c r="B262" s="24"/>
      <c r="C262" s="95"/>
      <c r="D262" s="88"/>
      <c r="E262" s="88"/>
      <c r="F262" s="87"/>
      <c r="G262" s="100"/>
      <c r="H262" s="86"/>
      <c r="I262" s="88"/>
      <c r="J262" s="88"/>
      <c r="K262" s="87"/>
      <c r="L262" s="87"/>
      <c r="M262" s="87"/>
      <c r="N262" s="87"/>
      <c r="O262" s="96"/>
      <c r="P262" s="96"/>
      <c r="Q262" s="105"/>
      <c r="R262" s="36"/>
      <c r="S262" s="30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1:44">
      <c r="B263" s="24"/>
      <c r="C263" s="95"/>
      <c r="D263" s="88"/>
      <c r="E263" s="88"/>
      <c r="F263" s="87"/>
      <c r="G263" s="100"/>
      <c r="H263" s="86"/>
      <c r="I263" s="88"/>
      <c r="J263" s="88"/>
      <c r="K263" s="87"/>
      <c r="L263" s="87"/>
      <c r="M263" s="87"/>
      <c r="N263" s="87"/>
      <c r="O263" s="96"/>
      <c r="P263" s="96"/>
      <c r="Q263" s="105"/>
      <c r="R263" s="36"/>
      <c r="S263" s="30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1:44">
      <c r="B264" s="24"/>
      <c r="C264" s="95"/>
      <c r="D264" s="88"/>
      <c r="E264" s="88"/>
      <c r="F264" s="87"/>
      <c r="G264" s="100"/>
      <c r="H264" s="86"/>
      <c r="I264" s="88"/>
      <c r="J264" s="88"/>
      <c r="K264" s="87"/>
      <c r="L264" s="87"/>
      <c r="M264" s="87"/>
      <c r="N264" s="87"/>
      <c r="O264" s="96"/>
      <c r="P264" s="96"/>
      <c r="Q264" s="105"/>
      <c r="R264" s="36"/>
      <c r="S264" s="30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1:44">
      <c r="B265" s="24"/>
      <c r="C265" s="95"/>
      <c r="D265" s="88"/>
      <c r="E265" s="88"/>
      <c r="F265" s="87"/>
      <c r="G265" s="100"/>
      <c r="H265" s="86"/>
      <c r="I265" s="88"/>
      <c r="J265" s="88"/>
      <c r="K265" s="87"/>
      <c r="L265" s="87"/>
      <c r="M265" s="87"/>
      <c r="N265" s="87"/>
      <c r="O265" s="96"/>
      <c r="P265" s="96"/>
      <c r="Q265" s="105"/>
      <c r="R265" s="36"/>
      <c r="S265" s="30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1:44">
      <c r="B266" s="24"/>
      <c r="C266" s="95"/>
      <c r="D266" s="88"/>
      <c r="E266" s="88"/>
      <c r="F266" s="87"/>
      <c r="G266" s="100"/>
      <c r="H266" s="86"/>
      <c r="I266" s="88"/>
      <c r="J266" s="88"/>
      <c r="K266" s="87"/>
      <c r="L266" s="87"/>
      <c r="M266" s="87"/>
      <c r="N266" s="87"/>
      <c r="O266" s="96"/>
      <c r="P266" s="96"/>
      <c r="Q266" s="105"/>
      <c r="R266" s="36"/>
      <c r="S266" s="30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1:44">
      <c r="B267" s="24"/>
      <c r="C267" s="95"/>
      <c r="D267" s="88"/>
      <c r="E267" s="88"/>
      <c r="F267" s="87"/>
      <c r="G267" s="100"/>
      <c r="H267" s="86"/>
      <c r="I267" s="88"/>
      <c r="J267" s="88"/>
      <c r="K267" s="87"/>
      <c r="L267" s="87"/>
      <c r="M267" s="87"/>
      <c r="N267" s="87"/>
      <c r="O267" s="96"/>
      <c r="P267" s="96"/>
      <c r="Q267" s="105"/>
      <c r="R267" s="36"/>
      <c r="S267" s="30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1:44">
      <c r="B268" s="24"/>
      <c r="C268" s="95"/>
      <c r="D268" s="88"/>
      <c r="E268" s="88"/>
      <c r="F268" s="87"/>
      <c r="G268" s="100"/>
      <c r="H268" s="86"/>
      <c r="I268" s="88"/>
      <c r="J268" s="88"/>
      <c r="K268" s="87"/>
      <c r="L268" s="87"/>
      <c r="M268" s="87"/>
      <c r="N268" s="87"/>
      <c r="O268" s="96"/>
      <c r="P268" s="96"/>
      <c r="Q268" s="105"/>
      <c r="R268" s="36"/>
      <c r="S268" s="30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1:44">
      <c r="B269" s="24"/>
      <c r="C269" s="95"/>
      <c r="D269" s="88"/>
      <c r="E269" s="88"/>
      <c r="F269" s="87"/>
      <c r="G269" s="100"/>
      <c r="H269" s="86"/>
      <c r="I269" s="88"/>
      <c r="J269" s="88"/>
      <c r="K269" s="87"/>
      <c r="L269" s="87"/>
      <c r="M269" s="87"/>
      <c r="N269" s="87"/>
      <c r="O269" s="96"/>
      <c r="P269" s="96"/>
      <c r="Q269" s="105"/>
      <c r="R269" s="36"/>
      <c r="S269" s="30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1:44">
      <c r="B270" s="24"/>
      <c r="C270" s="95"/>
      <c r="D270" s="88"/>
      <c r="E270" s="88"/>
      <c r="F270" s="87"/>
      <c r="G270" s="100"/>
      <c r="H270" s="86"/>
      <c r="I270" s="88"/>
      <c r="J270" s="88"/>
      <c r="K270" s="87"/>
      <c r="L270" s="87"/>
      <c r="M270" s="87"/>
      <c r="N270" s="87"/>
      <c r="O270" s="96"/>
      <c r="P270" s="96"/>
      <c r="Q270" s="105"/>
      <c r="R270" s="36"/>
      <c r="S270" s="30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1:44">
      <c r="B271" s="24"/>
      <c r="C271" s="95"/>
      <c r="D271" s="88"/>
      <c r="E271" s="88"/>
      <c r="F271" s="87"/>
      <c r="G271" s="100"/>
      <c r="H271" s="86"/>
      <c r="I271" s="88"/>
      <c r="J271" s="88"/>
      <c r="K271" s="87"/>
      <c r="L271" s="87"/>
      <c r="M271" s="87"/>
      <c r="N271" s="87"/>
      <c r="O271" s="96"/>
      <c r="P271" s="96"/>
      <c r="Q271" s="105"/>
      <c r="R271" s="36"/>
      <c r="S271" s="30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1:44">
      <c r="B272" s="16"/>
      <c r="C272" s="89"/>
      <c r="D272" s="88"/>
      <c r="E272" s="88"/>
      <c r="F272" s="87"/>
      <c r="G272" s="88"/>
      <c r="H272" s="86"/>
      <c r="I272" s="88"/>
      <c r="J272" s="88"/>
      <c r="K272" s="87"/>
      <c r="L272" s="87"/>
      <c r="M272" s="87"/>
      <c r="N272" s="87"/>
      <c r="O272" s="23"/>
      <c r="P272" s="23"/>
      <c r="Q272" s="105"/>
      <c r="R272" s="36"/>
      <c r="S272" s="30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2:44">
      <c r="B273" s="16"/>
      <c r="C273" s="89"/>
      <c r="D273" s="88"/>
      <c r="E273" s="88"/>
      <c r="F273" s="87"/>
      <c r="G273" s="88"/>
      <c r="H273" s="86"/>
      <c r="I273" s="88"/>
      <c r="J273" s="88"/>
      <c r="K273" s="87"/>
      <c r="L273" s="87"/>
      <c r="M273" s="87"/>
      <c r="N273" s="87"/>
      <c r="O273" s="23"/>
      <c r="P273" s="23"/>
      <c r="Q273" s="105"/>
      <c r="R273" s="36"/>
      <c r="S273" s="30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2:44">
      <c r="B274" s="24"/>
      <c r="C274" s="89"/>
      <c r="D274" s="88"/>
      <c r="E274" s="88"/>
      <c r="F274" s="87"/>
      <c r="G274" s="100"/>
      <c r="H274" s="86"/>
      <c r="I274" s="88"/>
      <c r="J274" s="88"/>
      <c r="K274" s="87"/>
      <c r="L274" s="87"/>
      <c r="M274" s="87"/>
      <c r="N274" s="87"/>
      <c r="O274" s="96"/>
      <c r="P274" s="96"/>
      <c r="Q274" s="106"/>
      <c r="R274" s="36"/>
      <c r="S274" s="30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2:44">
      <c r="B275" s="15"/>
      <c r="C275" s="89"/>
      <c r="D275" s="88"/>
      <c r="E275" s="88"/>
      <c r="F275" s="87"/>
      <c r="G275" s="100"/>
      <c r="H275" s="86"/>
      <c r="I275" s="88"/>
      <c r="J275" s="88"/>
      <c r="K275" s="87"/>
      <c r="L275" s="87"/>
      <c r="M275" s="87"/>
      <c r="N275" s="87"/>
      <c r="O275" s="96"/>
      <c r="P275" s="96"/>
      <c r="Q275" s="106"/>
      <c r="R275" s="36"/>
      <c r="S275" s="30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2:44">
      <c r="B276" s="28"/>
      <c r="C276" s="91"/>
      <c r="D276" s="82"/>
      <c r="E276" s="82"/>
      <c r="F276" s="33"/>
      <c r="G276" s="82"/>
      <c r="H276" s="32"/>
      <c r="I276" s="82"/>
      <c r="J276" s="82"/>
      <c r="K276" s="33"/>
      <c r="L276" s="33"/>
      <c r="M276" s="33"/>
      <c r="N276" s="33"/>
      <c r="O276" s="33"/>
      <c r="P276" s="33"/>
      <c r="Q276" s="107"/>
      <c r="R276" s="36"/>
      <c r="S276" s="30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2:44" ht="13.5">
      <c r="B277" s="28"/>
      <c r="C277" s="97"/>
      <c r="D277" s="82"/>
      <c r="E277" s="82"/>
      <c r="F277" s="33"/>
      <c r="G277" s="82"/>
      <c r="H277" s="32"/>
      <c r="I277" s="82"/>
      <c r="J277" s="82"/>
      <c r="K277" s="33"/>
      <c r="L277" s="33"/>
      <c r="M277" s="33"/>
      <c r="N277" s="33"/>
      <c r="O277" s="33"/>
      <c r="P277" s="33"/>
      <c r="Q277" s="107"/>
      <c r="R277" s="36"/>
      <c r="S277" s="30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2:44">
      <c r="B278" s="28"/>
      <c r="C278" s="91"/>
      <c r="D278" s="82"/>
      <c r="E278" s="82"/>
      <c r="F278" s="33"/>
      <c r="G278" s="82"/>
      <c r="H278" s="32"/>
      <c r="I278" s="82"/>
      <c r="J278" s="82"/>
      <c r="K278" s="33"/>
      <c r="L278" s="33"/>
      <c r="M278" s="33"/>
      <c r="N278" s="33"/>
      <c r="O278" s="33"/>
      <c r="P278" s="33"/>
      <c r="Q278" s="107"/>
      <c r="R278" s="36"/>
      <c r="S278" s="30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2:44">
      <c r="B279" s="28"/>
      <c r="C279" s="91"/>
      <c r="D279" s="82"/>
      <c r="E279" s="82"/>
      <c r="F279" s="33"/>
      <c r="G279" s="82"/>
      <c r="H279" s="32"/>
      <c r="I279" s="82"/>
      <c r="J279" s="82"/>
      <c r="K279" s="33"/>
      <c r="L279" s="33"/>
      <c r="M279" s="33"/>
      <c r="N279" s="33"/>
      <c r="O279" s="33"/>
      <c r="P279" s="33"/>
      <c r="Q279" s="107"/>
      <c r="R279" s="36"/>
      <c r="S279" s="30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2:44">
      <c r="B280" s="28"/>
      <c r="C280" s="91"/>
      <c r="D280" s="82"/>
      <c r="E280" s="82"/>
      <c r="F280" s="33"/>
      <c r="G280" s="82"/>
      <c r="H280" s="32"/>
      <c r="I280" s="82"/>
      <c r="J280" s="82"/>
      <c r="K280" s="33"/>
      <c r="L280" s="33"/>
      <c r="M280" s="33"/>
      <c r="N280" s="33"/>
      <c r="O280" s="33"/>
      <c r="P280" s="33"/>
      <c r="Q280" s="107"/>
      <c r="R280" s="36"/>
      <c r="S280" s="30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2:44">
      <c r="B281" s="28"/>
      <c r="C281" s="91"/>
      <c r="D281" s="82"/>
      <c r="E281" s="82"/>
      <c r="F281" s="33"/>
      <c r="G281" s="82"/>
      <c r="H281" s="32"/>
      <c r="I281" s="82"/>
      <c r="J281" s="82"/>
      <c r="K281" s="33"/>
      <c r="L281" s="33"/>
      <c r="M281" s="33"/>
      <c r="N281" s="33"/>
      <c r="O281" s="33"/>
      <c r="P281" s="33"/>
      <c r="Q281" s="107"/>
      <c r="R281" s="36"/>
      <c r="S281" s="30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2:44">
      <c r="B282" s="10"/>
      <c r="C282" s="91"/>
      <c r="D282" s="82"/>
      <c r="E282" s="82"/>
      <c r="F282" s="33"/>
      <c r="G282" s="82"/>
      <c r="H282" s="32"/>
      <c r="I282" s="82"/>
      <c r="J282" s="82"/>
      <c r="K282" s="33"/>
      <c r="L282" s="33"/>
      <c r="M282" s="33"/>
      <c r="N282" s="33"/>
      <c r="O282" s="33"/>
      <c r="P282" s="33"/>
      <c r="Q282" s="107"/>
      <c r="R282" s="36"/>
      <c r="S282" s="30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2:44">
      <c r="B283" s="28"/>
      <c r="C283" s="91"/>
      <c r="D283" s="82"/>
      <c r="E283" s="82"/>
      <c r="F283" s="33"/>
      <c r="G283" s="82"/>
      <c r="H283" s="32"/>
      <c r="I283" s="82"/>
      <c r="J283" s="82"/>
      <c r="K283" s="33"/>
      <c r="L283" s="33"/>
      <c r="M283" s="33"/>
      <c r="N283" s="33"/>
      <c r="O283" s="33"/>
      <c r="P283" s="33"/>
      <c r="Q283" s="107"/>
      <c r="R283" s="36"/>
      <c r="S283" s="30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2:44">
      <c r="B284" s="28"/>
      <c r="C284" s="91"/>
      <c r="D284" s="82"/>
      <c r="E284" s="82"/>
      <c r="F284" s="33"/>
      <c r="G284" s="82"/>
      <c r="H284" s="32"/>
      <c r="I284" s="82"/>
      <c r="J284" s="82"/>
      <c r="K284" s="33"/>
      <c r="L284" s="33"/>
      <c r="M284" s="33"/>
      <c r="N284" s="33"/>
      <c r="O284" s="33"/>
      <c r="P284" s="33"/>
      <c r="Q284" s="107"/>
      <c r="R284" s="36"/>
      <c r="S284" s="30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2:44">
      <c r="B285" s="28"/>
      <c r="C285" s="91"/>
      <c r="D285" s="82"/>
      <c r="E285" s="82"/>
      <c r="F285" s="33"/>
      <c r="G285" s="82"/>
      <c r="H285" s="32"/>
      <c r="I285" s="82"/>
      <c r="J285" s="82"/>
      <c r="K285" s="33"/>
      <c r="L285" s="33"/>
      <c r="M285" s="33"/>
      <c r="N285" s="33"/>
      <c r="O285" s="33"/>
      <c r="P285" s="33"/>
      <c r="Q285" s="107"/>
      <c r="R285" s="36"/>
      <c r="S285" s="30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2:44">
      <c r="B286" s="28"/>
      <c r="C286" s="91"/>
      <c r="D286" s="82"/>
      <c r="E286" s="82"/>
      <c r="F286" s="33"/>
      <c r="G286" s="82"/>
      <c r="H286" s="32"/>
      <c r="I286" s="82"/>
      <c r="J286" s="82"/>
      <c r="K286" s="33"/>
      <c r="L286" s="33"/>
      <c r="M286" s="33"/>
      <c r="N286" s="33"/>
      <c r="O286" s="33"/>
      <c r="P286" s="33"/>
      <c r="Q286" s="107"/>
      <c r="R286" s="36"/>
      <c r="S286" s="30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2:44">
      <c r="B287" s="28"/>
      <c r="C287" s="91"/>
      <c r="D287" s="82"/>
      <c r="E287" s="82"/>
      <c r="F287" s="33"/>
      <c r="G287" s="82"/>
      <c r="H287" s="32"/>
      <c r="I287" s="82"/>
      <c r="J287" s="82"/>
      <c r="K287" s="33"/>
      <c r="L287" s="33"/>
      <c r="M287" s="33"/>
      <c r="N287" s="33"/>
      <c r="O287" s="33"/>
      <c r="P287" s="33"/>
      <c r="Q287" s="107"/>
      <c r="R287" s="36"/>
      <c r="S287" s="30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</sheetData>
  <sheetProtection algorithmName="SHA-512" hashValue="JSJZCPA3rCvKwPfwFEcQaAHH+iVNNHdrJ+BH9Rw4iO0QVNiKcdvyPXao7CsAumSsCPJxV6EtrkIizpcBIVlLyQ==" saltValue="MsWnOTbAdESb9f66mfxc3A==" spinCount="100000" sheet="1" objects="1" scenarios="1"/>
  <conditionalFormatting sqref="Y7 R7:S8 F32:F42 F100:F109">
    <cfRule type="cellIs" priority="30" stopIfTrue="1" operator="between">
      <formula>0.000000001</formula>
      <formula>100000000</formula>
    </cfRule>
  </conditionalFormatting>
  <conditionalFormatting sqref="D1:N6 D30:N31 D43:N43 D64:N65 G44:N61 D76:N77 G78:N95 D133:N133 G112:N129 G146:N163 G168:N175 G180:N197 G202:N209 G10:N27 G66:N73 G100:N107 D98:N99 D110:N111 D144:N145 D178:N179 D200:N201 G134:N134 G135:I141 D166:N167 D212:N65608 O1:Q27 G32:N39 O144:O163 P135:Q141 O29:Q39 G29:N29 D10:E29 G28:Q28 O41:Q61 G41:N42 D32:E42 G40:Q40 O63:Q73 G63:N63 D44:E63 G62:Q62 O97:Q107 G97:N97 D78:E97 G96:Q96 O110:Q129 D100:E109 O131:Q134 G131:N132 D112:E132 G130:Q130 O165:Q175 G165:N165 D146:E165 G164:Q164 O177:Q197 G177:N177 D168:E177 G176:Q176 O199:Q209 G199:N199 D180:E199 G198:Q198 O211:Q65608 G211:N211 D202:E211 G210:Q210 O75:Q95 G75:N75 D66:E75 G74:Q74 P143:Q163 G143:I143 D134:E143 G142:Q142 H108:P109 D9:N9 H7:N8 D7:D8 F7:F8">
    <cfRule type="cellIs" priority="31" stopIfTrue="1" operator="between">
      <formula>"0,000000001"</formula>
      <formula>100000000</formula>
    </cfRule>
  </conditionalFormatting>
  <conditionalFormatting sqref="F168:F177">
    <cfRule type="cellIs" priority="24" stopIfTrue="1" operator="between">
      <formula>0.000000001</formula>
      <formula>100000000</formula>
    </cfRule>
  </conditionalFormatting>
  <conditionalFormatting sqref="B2">
    <cfRule type="cellIs" priority="29" stopIfTrue="1" operator="between">
      <formula>"0,000000001"</formula>
      <formula>100000000</formula>
    </cfRule>
  </conditionalFormatting>
  <conditionalFormatting sqref="F134:F141 F143">
    <cfRule type="cellIs" priority="26" stopIfTrue="1" operator="between">
      <formula>0.000000001</formula>
      <formula>100000000</formula>
    </cfRule>
  </conditionalFormatting>
  <conditionalFormatting sqref="F78:F97">
    <cfRule type="cellIs" priority="28" stopIfTrue="1" operator="between">
      <formula>0.000000001</formula>
      <formula>100000000</formula>
    </cfRule>
  </conditionalFormatting>
  <conditionalFormatting sqref="F132">
    <cfRule type="cellIs" priority="27" stopIfTrue="1" operator="between">
      <formula>0.000000001</formula>
      <formula>100000000</formula>
    </cfRule>
  </conditionalFormatting>
  <conditionalFormatting sqref="F146:F165">
    <cfRule type="cellIs" priority="25" stopIfTrue="1" operator="between">
      <formula>0.000000001</formula>
      <formula>100000000</formula>
    </cfRule>
  </conditionalFormatting>
  <conditionalFormatting sqref="F180:F199">
    <cfRule type="cellIs" priority="23" stopIfTrue="1" operator="between">
      <formula>0.000000001</formula>
      <formula>100000000</formula>
    </cfRule>
  </conditionalFormatting>
  <conditionalFormatting sqref="F202:F211">
    <cfRule type="cellIs" priority="22" stopIfTrue="1" operator="between">
      <formula>0.000000001</formula>
      <formula>100000000</formula>
    </cfRule>
  </conditionalFormatting>
  <conditionalFormatting sqref="F66:F75">
    <cfRule type="cellIs" priority="21" stopIfTrue="1" operator="between">
      <formula>0.000000001</formula>
      <formula>100000000</formula>
    </cfRule>
  </conditionalFormatting>
  <conditionalFormatting sqref="F44:F63">
    <cfRule type="cellIs" priority="20" stopIfTrue="1" operator="between">
      <formula>0.000000001</formula>
      <formula>100000000</formula>
    </cfRule>
  </conditionalFormatting>
  <conditionalFormatting sqref="J135:J141 J143">
    <cfRule type="cellIs" priority="19" stopIfTrue="1" operator="between">
      <formula>"0,000000001"</formula>
      <formula>100000000</formula>
    </cfRule>
  </conditionalFormatting>
  <conditionalFormatting sqref="K135:K141 K143">
    <cfRule type="cellIs" priority="18" stopIfTrue="1" operator="between">
      <formula>"0,000000001"</formula>
      <formula>100000000</formula>
    </cfRule>
  </conditionalFormatting>
  <conditionalFormatting sqref="L135:L141 L143">
    <cfRule type="cellIs" priority="17" stopIfTrue="1" operator="between">
      <formula>"0,000000001"</formula>
      <formula>100000000</formula>
    </cfRule>
  </conditionalFormatting>
  <conditionalFormatting sqref="M135:M141 M143">
    <cfRule type="cellIs" priority="16" stopIfTrue="1" operator="between">
      <formula>"0,000000001"</formula>
      <formula>100000000</formula>
    </cfRule>
  </conditionalFormatting>
  <conditionalFormatting sqref="N135:N141 N143">
    <cfRule type="cellIs" priority="15" stopIfTrue="1" operator="between">
      <formula>"0,000000001"</formula>
      <formula>100000000</formula>
    </cfRule>
  </conditionalFormatting>
  <conditionalFormatting sqref="O135:O141 O143">
    <cfRule type="cellIs" priority="14" stopIfTrue="1" operator="between">
      <formula>"0,000000001"</formula>
      <formula>100000000</formula>
    </cfRule>
  </conditionalFormatting>
  <conditionalFormatting sqref="F10:F29">
    <cfRule type="cellIs" priority="13" stopIfTrue="1" operator="between">
      <formula>0.000000001</formula>
      <formula>100000000</formula>
    </cfRule>
  </conditionalFormatting>
  <conditionalFormatting sqref="F112:F131">
    <cfRule type="cellIs" priority="11" stopIfTrue="1" operator="between">
      <formula>0.000000001</formula>
      <formula>100000000</formula>
    </cfRule>
  </conditionalFormatting>
  <conditionalFormatting sqref="F142">
    <cfRule type="cellIs" priority="10" stopIfTrue="1" operator="between">
      <formula>0.000000001</formula>
      <formula>100000000</formula>
    </cfRule>
  </conditionalFormatting>
  <conditionalFormatting sqref="Q108:Q109">
    <cfRule type="cellIs" priority="9" stopIfTrue="1" operator="between">
      <formula>"0,000000001"</formula>
      <formula>100000000</formula>
    </cfRule>
  </conditionalFormatting>
  <conditionalFormatting sqref="G108:G109">
    <cfRule type="cellIs" priority="8" stopIfTrue="1" operator="between">
      <formula>"0,000000001"</formula>
      <formula>100000000</formula>
    </cfRule>
  </conditionalFormatting>
  <conditionalFormatting sqref="G7:G8">
    <cfRule type="cellIs" priority="2" stopIfTrue="1" operator="between">
      <formula>"0,000000001"</formula>
      <formula>100000000</formula>
    </cfRule>
  </conditionalFormatting>
  <conditionalFormatting sqref="E7:E8">
    <cfRule type="cellIs" priority="1" stopIfTrue="1" operator="between">
      <formula>"0,000000001"</formula>
      <formula>100000000</formula>
    </cfRule>
  </conditionalFormatting>
  <hyperlinks>
    <hyperlink ref="B2" r:id="rId1" xr:uid="{ABA194DC-629D-4FE0-963F-312F492B3CE9}"/>
  </hyperlinks>
  <pageMargins left="0.31496062992125984" right="0.23622047244094491" top="0.47244094488188981" bottom="0.35433070866141736" header="0.15748031496062992" footer="0.15748031496062992"/>
  <pageSetup paperSize="9" scale="90" orientation="landscape" r:id="rId2"/>
  <headerFooter alignWithMargins="0">
    <oddHeader>&amp;R&amp;8Utskriftsdatum: &amp;D 
Gällande metoder och mätosäkerheter, se bilaga.</oddHeader>
    <oddFooter>&amp;L&amp;8Ekologigruppen Ekoplan AB
Stora Södergatan 8C, 222 23 Lund
Telefon: 046-106750&amp;C&amp;8sid 1(1)&amp;R&amp;"Arial,Kursiv"&amp;7&amp;G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2945" r:id="rId6" name="Button 1">
              <controlPr defaultSize="0" print="0" autoFill="0" autoPict="0" macro="[0]!JANutskrift">
                <anchor moveWithCells="1">
                  <from>
                    <xdr:col>1</xdr:col>
                    <xdr:colOff>647700</xdr:colOff>
                    <xdr:row>8</xdr:row>
                    <xdr:rowOff>38100</xdr:rowOff>
                  </from>
                  <to>
                    <xdr:col>1</xdr:col>
                    <xdr:colOff>1168400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46" r:id="rId7" name="Button 2">
              <controlPr defaultSize="0" print="0" autoFill="0" autoPict="0" macro="[0]!FEButskrift">
                <anchor moveWithCells="1">
                  <from>
                    <xdr:col>1</xdr:col>
                    <xdr:colOff>654050</xdr:colOff>
                    <xdr:row>30</xdr:row>
                    <xdr:rowOff>31750</xdr:rowOff>
                  </from>
                  <to>
                    <xdr:col>1</xdr:col>
                    <xdr:colOff>1174750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47" r:id="rId8" name="Button 3">
              <controlPr defaultSize="0" print="0" autoFill="0" autoPict="0" macro="[0]!MARutskrift">
                <anchor moveWithCells="1">
                  <from>
                    <xdr:col>1</xdr:col>
                    <xdr:colOff>615950</xdr:colOff>
                    <xdr:row>42</xdr:row>
                    <xdr:rowOff>44450</xdr:rowOff>
                  </from>
                  <to>
                    <xdr:col>1</xdr:col>
                    <xdr:colOff>1136650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48" r:id="rId9" name="Button 4">
              <controlPr defaultSize="0" print="0" autoFill="0" autoPict="0" macro="[0]!APRutskrift">
                <anchor moveWithCells="1">
                  <from>
                    <xdr:col>1</xdr:col>
                    <xdr:colOff>596900</xdr:colOff>
                    <xdr:row>64</xdr:row>
                    <xdr:rowOff>31750</xdr:rowOff>
                  </from>
                  <to>
                    <xdr:col>1</xdr:col>
                    <xdr:colOff>1104900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49" r:id="rId10" name="Button 5">
              <controlPr defaultSize="0" print="0" autoFill="0" autoPict="0" macro="[0]!MAJutskrift">
                <anchor moveWithCells="1">
                  <from>
                    <xdr:col>1</xdr:col>
                    <xdr:colOff>635000</xdr:colOff>
                    <xdr:row>76</xdr:row>
                    <xdr:rowOff>38100</xdr:rowOff>
                  </from>
                  <to>
                    <xdr:col>1</xdr:col>
                    <xdr:colOff>1143000</xdr:colOff>
                    <xdr:row>77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0" r:id="rId11" name="Button 6">
              <controlPr defaultSize="0" print="0" autoFill="0" autoPict="0" macro="[0]!JUNutskrift">
                <anchor moveWithCells="1">
                  <from>
                    <xdr:col>1</xdr:col>
                    <xdr:colOff>571500</xdr:colOff>
                    <xdr:row>98</xdr:row>
                    <xdr:rowOff>44450</xdr:rowOff>
                  </from>
                  <to>
                    <xdr:col>1</xdr:col>
                    <xdr:colOff>1092200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1" r:id="rId12" name="Button 7">
              <controlPr defaultSize="0" print="0" autoFill="0" autoPict="0" macro="[0]!JULutskrift">
                <anchor moveWithCells="1">
                  <from>
                    <xdr:col>1</xdr:col>
                    <xdr:colOff>596900</xdr:colOff>
                    <xdr:row>110</xdr:row>
                    <xdr:rowOff>25400</xdr:rowOff>
                  </from>
                  <to>
                    <xdr:col>1</xdr:col>
                    <xdr:colOff>1104900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2" r:id="rId13" name="Button 8">
              <controlPr defaultSize="0" print="0" autoFill="0" autoPict="0" macro="[0]!AUGutskrift">
                <anchor moveWithCells="1">
                  <from>
                    <xdr:col>1</xdr:col>
                    <xdr:colOff>577850</xdr:colOff>
                    <xdr:row>132</xdr:row>
                    <xdr:rowOff>25400</xdr:rowOff>
                  </from>
                  <to>
                    <xdr:col>1</xdr:col>
                    <xdr:colOff>1098550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3" r:id="rId14" name="Button 9">
              <controlPr defaultSize="0" print="0" autoFill="0" autoPict="0" macro="[0]!SEPutskrift">
                <anchor moveWithCells="1">
                  <from>
                    <xdr:col>1</xdr:col>
                    <xdr:colOff>692150</xdr:colOff>
                    <xdr:row>144</xdr:row>
                    <xdr:rowOff>38100</xdr:rowOff>
                  </from>
                  <to>
                    <xdr:col>1</xdr:col>
                    <xdr:colOff>1212850</xdr:colOff>
                    <xdr:row>144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4" r:id="rId15" name="Button 10">
              <controlPr defaultSize="0" print="0" autoFill="0" autoPict="0" macro="[0]!OKTutskrift">
                <anchor moveWithCells="1">
                  <from>
                    <xdr:col>1</xdr:col>
                    <xdr:colOff>615950</xdr:colOff>
                    <xdr:row>166</xdr:row>
                    <xdr:rowOff>6350</xdr:rowOff>
                  </from>
                  <to>
                    <xdr:col>1</xdr:col>
                    <xdr:colOff>1136650</xdr:colOff>
                    <xdr:row>166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5" r:id="rId16" name="Button 11">
              <controlPr defaultSize="0" print="0" autoFill="0" autoPict="0" macro="[0]!NOVutskrift">
                <anchor moveWithCells="1">
                  <from>
                    <xdr:col>1</xdr:col>
                    <xdr:colOff>730250</xdr:colOff>
                    <xdr:row>178</xdr:row>
                    <xdr:rowOff>31750</xdr:rowOff>
                  </from>
                  <to>
                    <xdr:col>1</xdr:col>
                    <xdr:colOff>1250950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56" r:id="rId17" name="Button 12">
              <controlPr defaultSize="0" print="0" autoFill="0" autoPict="0" macro="[0]!DECutskrift">
                <anchor moveWithCells="1">
                  <from>
                    <xdr:col>1</xdr:col>
                    <xdr:colOff>730250</xdr:colOff>
                    <xdr:row>200</xdr:row>
                    <xdr:rowOff>31750</xdr:rowOff>
                  </from>
                  <to>
                    <xdr:col>1</xdr:col>
                    <xdr:colOff>1250950</xdr:colOff>
                    <xdr:row>201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4">
    <tabColor rgb="FF00B050"/>
  </sheetPr>
  <dimension ref="A1:Q139"/>
  <sheetViews>
    <sheetView showGridLines="0" showRowColHeaders="0" zoomScaleNormal="100" workbookViewId="0">
      <pane ySplit="9" topLeftCell="A76" activePane="bottomLeft" state="frozen"/>
      <selection pane="bottomLeft"/>
    </sheetView>
  </sheetViews>
  <sheetFormatPr defaultRowHeight="13"/>
  <cols>
    <col min="1" max="1" width="7" style="57" customWidth="1"/>
    <col min="2" max="2" width="74.36328125" style="520" customWidth="1"/>
    <col min="3" max="3" width="12.90625" style="210" customWidth="1"/>
    <col min="4" max="4" width="65.90625" customWidth="1"/>
    <col min="5" max="5" width="5.08984375" customWidth="1"/>
  </cols>
  <sheetData>
    <row r="1" spans="1:8" s="398" customFormat="1" ht="30.75" customHeight="1">
      <c r="A1" s="406"/>
      <c r="B1" s="516"/>
      <c r="C1" s="441"/>
      <c r="D1" s="406"/>
      <c r="E1" s="406"/>
    </row>
    <row r="2" spans="1:8" s="398" customFormat="1" ht="23">
      <c r="A2" s="437"/>
      <c r="B2" s="517" t="s">
        <v>404</v>
      </c>
      <c r="C2" s="442"/>
      <c r="D2" s="443"/>
      <c r="E2" s="443"/>
    </row>
    <row r="3" spans="1:8" s="398" customFormat="1" ht="23">
      <c r="A3" s="437"/>
      <c r="B3" s="517" t="s">
        <v>95</v>
      </c>
      <c r="C3" s="442"/>
      <c r="D3" s="443"/>
      <c r="E3" s="443"/>
    </row>
    <row r="4" spans="1:8" s="398" customFormat="1" ht="12.75" customHeight="1">
      <c r="A4" s="406"/>
      <c r="B4" s="518"/>
      <c r="C4" s="441"/>
      <c r="D4" s="406"/>
      <c r="E4" s="406"/>
    </row>
    <row r="5" spans="1:8" ht="6.75" customHeight="1">
      <c r="B5" s="519" t="s">
        <v>115</v>
      </c>
      <c r="C5" s="207"/>
      <c r="E5" s="57"/>
    </row>
    <row r="6" spans="1:8" ht="15.5">
      <c r="B6" s="519"/>
      <c r="C6" s="207"/>
      <c r="D6" s="59" t="s">
        <v>99</v>
      </c>
      <c r="E6" s="57"/>
      <c r="H6" s="58"/>
    </row>
    <row r="7" spans="1:8" ht="41.25" customHeight="1">
      <c r="C7" s="207"/>
      <c r="D7" s="248" t="s">
        <v>184</v>
      </c>
      <c r="E7" s="57"/>
    </row>
    <row r="8" spans="1:8">
      <c r="C8" s="207"/>
      <c r="D8" s="57"/>
      <c r="E8" s="57"/>
    </row>
    <row r="9" spans="1:8" ht="6.75" customHeight="1">
      <c r="C9" s="207"/>
      <c r="D9" s="57"/>
      <c r="E9" s="57"/>
    </row>
    <row r="10" spans="1:8">
      <c r="C10" s="207"/>
      <c r="D10" s="57"/>
      <c r="E10" s="57"/>
    </row>
    <row r="11" spans="1:8">
      <c r="B11" s="521" t="s">
        <v>133</v>
      </c>
      <c r="C11" s="208">
        <v>45691</v>
      </c>
      <c r="D11" s="57"/>
      <c r="E11" s="57"/>
    </row>
    <row r="12" spans="1:8">
      <c r="B12" s="522" t="s">
        <v>302</v>
      </c>
      <c r="C12" s="205"/>
      <c r="D12" s="57"/>
      <c r="E12" s="57"/>
    </row>
    <row r="13" spans="1:8" ht="30" customHeight="1">
      <c r="B13" s="522"/>
      <c r="C13" s="209"/>
      <c r="D13" s="57"/>
      <c r="E13" s="57"/>
    </row>
    <row r="14" spans="1:8" ht="15.5">
      <c r="B14" s="523"/>
      <c r="C14" s="209"/>
      <c r="D14" s="57"/>
      <c r="E14" s="57"/>
    </row>
    <row r="15" spans="1:8" ht="15.5">
      <c r="B15" s="524"/>
      <c r="C15" s="209"/>
      <c r="D15" s="57"/>
      <c r="E15" s="57"/>
    </row>
    <row r="16" spans="1:8">
      <c r="B16" s="525"/>
      <c r="C16" s="209"/>
      <c r="D16" s="57"/>
      <c r="E16" s="57"/>
    </row>
    <row r="17" spans="2:5">
      <c r="B17" s="525"/>
      <c r="C17" s="209"/>
      <c r="D17" s="57"/>
      <c r="E17" s="57"/>
    </row>
    <row r="18" spans="2:5">
      <c r="B18" s="525"/>
      <c r="C18" s="209"/>
      <c r="D18" s="57"/>
      <c r="E18" s="57"/>
    </row>
    <row r="19" spans="2:5" ht="409.5" customHeight="1">
      <c r="B19" s="526"/>
      <c r="C19" s="209"/>
      <c r="D19" s="57"/>
      <c r="E19" s="57"/>
    </row>
    <row r="20" spans="2:5" ht="80.150000000000006" customHeight="1">
      <c r="B20" s="522"/>
      <c r="C20" s="209"/>
      <c r="D20" s="57"/>
      <c r="E20" s="57"/>
    </row>
    <row r="21" spans="2:5">
      <c r="B21" s="521" t="s">
        <v>133</v>
      </c>
      <c r="C21" s="208">
        <v>45733</v>
      </c>
      <c r="D21" s="57"/>
      <c r="E21" s="57"/>
    </row>
    <row r="22" spans="2:5">
      <c r="B22" s="522" t="s">
        <v>302</v>
      </c>
      <c r="C22" s="205"/>
      <c r="D22" s="57"/>
      <c r="E22" s="57"/>
    </row>
    <row r="23" spans="2:5" ht="30" customHeight="1">
      <c r="B23" s="522"/>
      <c r="C23" s="209"/>
      <c r="D23" s="57"/>
      <c r="E23" s="57"/>
    </row>
    <row r="24" spans="2:5" ht="15.5">
      <c r="B24" s="527"/>
      <c r="C24" s="209"/>
      <c r="D24" s="57"/>
      <c r="E24" s="57"/>
    </row>
    <row r="25" spans="2:5" ht="15.5">
      <c r="B25" s="528"/>
      <c r="C25" s="209"/>
      <c r="D25" s="57"/>
      <c r="E25" s="57"/>
    </row>
    <row r="26" spans="2:5">
      <c r="B26" s="522"/>
      <c r="C26" s="209"/>
      <c r="D26" s="57"/>
      <c r="E26" s="57"/>
    </row>
    <row r="27" spans="2:5">
      <c r="B27" s="529"/>
      <c r="C27" s="209"/>
      <c r="D27" s="57"/>
      <c r="E27" s="57"/>
    </row>
    <row r="28" spans="2:5">
      <c r="B28" s="522"/>
      <c r="C28" s="209"/>
      <c r="D28" s="57"/>
      <c r="E28" s="57"/>
    </row>
    <row r="29" spans="2:5" ht="408.9" customHeight="1">
      <c r="B29" s="530"/>
      <c r="C29" s="209"/>
      <c r="D29" s="57"/>
      <c r="E29" s="57"/>
    </row>
    <row r="30" spans="2:5" ht="80.150000000000006" customHeight="1">
      <c r="B30" s="522"/>
      <c r="C30" s="209"/>
      <c r="D30" s="57"/>
      <c r="E30" s="57"/>
    </row>
    <row r="31" spans="2:5">
      <c r="B31" s="521" t="s">
        <v>133</v>
      </c>
      <c r="C31" s="208">
        <v>45762</v>
      </c>
      <c r="D31" s="57"/>
      <c r="E31" s="57"/>
    </row>
    <row r="32" spans="2:5">
      <c r="B32" s="522" t="s">
        <v>302</v>
      </c>
      <c r="C32" s="205"/>
      <c r="D32" s="57"/>
      <c r="E32" s="57"/>
    </row>
    <row r="33" spans="2:5" ht="30" customHeight="1">
      <c r="B33" s="522"/>
      <c r="C33" s="209"/>
      <c r="D33" s="57"/>
      <c r="E33" s="57"/>
    </row>
    <row r="34" spans="2:5" ht="15.5">
      <c r="B34" s="527"/>
      <c r="C34" s="209"/>
      <c r="D34" s="57"/>
      <c r="E34" s="57"/>
    </row>
    <row r="35" spans="2:5" ht="15.5">
      <c r="B35" s="528"/>
      <c r="C35" s="209"/>
      <c r="D35" s="57"/>
      <c r="E35" s="57"/>
    </row>
    <row r="36" spans="2:5">
      <c r="B36" s="522"/>
      <c r="C36" s="209"/>
      <c r="D36" s="57"/>
      <c r="E36" s="57"/>
    </row>
    <row r="37" spans="2:5">
      <c r="B37" s="529"/>
      <c r="C37" s="209"/>
      <c r="D37" s="57"/>
      <c r="E37" s="57"/>
    </row>
    <row r="38" spans="2:5">
      <c r="B38" s="522"/>
      <c r="C38" s="209"/>
      <c r="D38" s="57"/>
      <c r="E38" s="57"/>
    </row>
    <row r="39" spans="2:5" ht="408.9" customHeight="1">
      <c r="B39" s="530"/>
      <c r="C39" s="209"/>
      <c r="D39" s="57"/>
      <c r="E39" s="57"/>
    </row>
    <row r="40" spans="2:5" ht="80.150000000000006" customHeight="1">
      <c r="B40" s="522"/>
      <c r="C40" s="209"/>
      <c r="D40" s="57"/>
      <c r="E40" s="57"/>
    </row>
    <row r="41" spans="2:5">
      <c r="B41" s="521" t="s">
        <v>133</v>
      </c>
      <c r="C41" s="208">
        <v>45810</v>
      </c>
      <c r="D41" s="57"/>
      <c r="E41" s="57"/>
    </row>
    <row r="42" spans="2:5">
      <c r="B42" s="522" t="s">
        <v>302</v>
      </c>
      <c r="C42" s="205"/>
      <c r="D42" s="57"/>
      <c r="E42" s="57"/>
    </row>
    <row r="43" spans="2:5" ht="30" customHeight="1">
      <c r="B43" s="522"/>
      <c r="C43" s="209"/>
      <c r="D43" s="733"/>
      <c r="E43" s="57"/>
    </row>
    <row r="44" spans="2:5" ht="15.5">
      <c r="B44" s="527"/>
      <c r="C44" s="209"/>
      <c r="D44" s="733"/>
      <c r="E44" s="57"/>
    </row>
    <row r="45" spans="2:5" ht="15.5">
      <c r="B45" s="528"/>
      <c r="C45" s="209"/>
      <c r="D45" s="733"/>
      <c r="E45" s="57"/>
    </row>
    <row r="46" spans="2:5">
      <c r="B46" s="522"/>
      <c r="C46" s="209"/>
      <c r="D46" s="57"/>
      <c r="E46" s="57"/>
    </row>
    <row r="47" spans="2:5">
      <c r="B47" s="529"/>
      <c r="C47" s="209"/>
      <c r="D47" s="57"/>
      <c r="E47" s="57"/>
    </row>
    <row r="48" spans="2:5">
      <c r="B48" s="522"/>
      <c r="C48" s="209"/>
      <c r="D48" s="57"/>
      <c r="E48" s="57"/>
    </row>
    <row r="49" spans="2:5" ht="408.9" customHeight="1">
      <c r="B49" s="530"/>
      <c r="C49" s="209"/>
      <c r="D49" s="57"/>
      <c r="E49" s="57"/>
    </row>
    <row r="50" spans="2:5" ht="80.150000000000006" customHeight="1">
      <c r="B50" s="522"/>
      <c r="C50" s="209"/>
      <c r="D50" s="57"/>
      <c r="E50" s="57"/>
    </row>
    <row r="51" spans="2:5">
      <c r="B51" s="521" t="s">
        <v>133</v>
      </c>
      <c r="C51" s="208">
        <v>45835</v>
      </c>
      <c r="D51" s="57"/>
      <c r="E51" s="57"/>
    </row>
    <row r="52" spans="2:5">
      <c r="B52" s="522" t="s">
        <v>302</v>
      </c>
      <c r="C52" s="205"/>
      <c r="D52" s="57"/>
      <c r="E52" s="57"/>
    </row>
    <row r="53" spans="2:5" ht="30" customHeight="1">
      <c r="B53" s="522"/>
      <c r="C53" s="209"/>
      <c r="E53" s="57"/>
    </row>
    <row r="54" spans="2:5" ht="15.5">
      <c r="B54" s="527"/>
      <c r="C54" s="209"/>
      <c r="D54" s="57"/>
      <c r="E54" s="57"/>
    </row>
    <row r="55" spans="2:5" ht="15.5">
      <c r="B55" s="528"/>
      <c r="C55" s="209"/>
      <c r="D55" s="57"/>
      <c r="E55" s="57"/>
    </row>
    <row r="56" spans="2:5">
      <c r="B56" s="522"/>
      <c r="C56" s="209"/>
      <c r="D56" s="57"/>
      <c r="E56" s="57"/>
    </row>
    <row r="57" spans="2:5">
      <c r="B57" s="529"/>
      <c r="C57" s="209"/>
      <c r="D57" s="57"/>
      <c r="E57" s="57"/>
    </row>
    <row r="58" spans="2:5">
      <c r="B58" s="522"/>
      <c r="C58" s="209"/>
      <c r="D58" s="57"/>
      <c r="E58" s="57"/>
    </row>
    <row r="59" spans="2:5" ht="408.9" customHeight="1">
      <c r="B59" s="530"/>
      <c r="C59" s="209"/>
      <c r="D59" s="57"/>
      <c r="E59" s="57"/>
    </row>
    <row r="60" spans="2:5" ht="80.150000000000006" customHeight="1">
      <c r="B60" s="522"/>
      <c r="C60" s="209"/>
      <c r="D60" s="57"/>
      <c r="E60" s="57"/>
    </row>
    <row r="61" spans="2:5">
      <c r="B61" s="521" t="s">
        <v>133</v>
      </c>
      <c r="C61" s="208">
        <v>45911</v>
      </c>
      <c r="D61" s="57"/>
      <c r="E61" s="57"/>
    </row>
    <row r="62" spans="2:5">
      <c r="B62" s="522" t="s">
        <v>302</v>
      </c>
      <c r="C62" s="205"/>
      <c r="D62" s="57"/>
      <c r="E62" s="57"/>
    </row>
    <row r="63" spans="2:5" ht="30" customHeight="1">
      <c r="B63" s="522"/>
      <c r="C63" s="209"/>
      <c r="D63" s="57"/>
      <c r="E63" s="57"/>
    </row>
    <row r="64" spans="2:5" ht="15.5">
      <c r="B64" s="527"/>
      <c r="C64" s="209"/>
      <c r="D64" s="57"/>
      <c r="E64" s="57"/>
    </row>
    <row r="65" spans="2:5" ht="15.5">
      <c r="B65" s="528"/>
      <c r="C65" s="209"/>
      <c r="D65" s="57"/>
      <c r="E65" s="57"/>
    </row>
    <row r="66" spans="2:5">
      <c r="B66" s="522"/>
      <c r="C66" s="209"/>
      <c r="D66" s="57"/>
      <c r="E66" s="57"/>
    </row>
    <row r="67" spans="2:5">
      <c r="B67" s="529"/>
      <c r="C67" s="209"/>
      <c r="D67" s="57"/>
      <c r="E67" s="57"/>
    </row>
    <row r="68" spans="2:5">
      <c r="B68" s="522"/>
      <c r="C68" s="209"/>
      <c r="D68" s="57"/>
      <c r="E68" s="57"/>
    </row>
    <row r="69" spans="2:5" ht="408.9" customHeight="1">
      <c r="B69" s="531"/>
      <c r="C69" s="209"/>
      <c r="D69" s="57"/>
      <c r="E69" s="57"/>
    </row>
    <row r="70" spans="2:5" ht="80.150000000000006" customHeight="1">
      <c r="B70" s="522"/>
      <c r="C70" s="209"/>
      <c r="D70" s="57"/>
      <c r="E70" s="57"/>
    </row>
    <row r="71" spans="2:5">
      <c r="B71" s="521" t="s">
        <v>133</v>
      </c>
      <c r="C71" s="208">
        <v>45911</v>
      </c>
      <c r="D71" s="57"/>
      <c r="E71" s="57"/>
    </row>
    <row r="72" spans="2:5">
      <c r="B72" s="522" t="s">
        <v>302</v>
      </c>
      <c r="C72" s="205"/>
      <c r="D72" s="57"/>
      <c r="E72" s="57"/>
    </row>
    <row r="73" spans="2:5" ht="30" customHeight="1">
      <c r="B73" s="522"/>
      <c r="C73" s="209"/>
      <c r="D73" s="57"/>
      <c r="E73" s="57"/>
    </row>
    <row r="74" spans="2:5" ht="15.5">
      <c r="B74" s="527"/>
      <c r="C74" s="209"/>
      <c r="D74" s="57"/>
      <c r="E74" s="57"/>
    </row>
    <row r="75" spans="2:5" ht="15.5">
      <c r="B75" s="528"/>
      <c r="C75" s="209"/>
      <c r="D75" s="57"/>
      <c r="E75" s="57"/>
    </row>
    <row r="76" spans="2:5">
      <c r="B76" s="522"/>
      <c r="C76" s="209"/>
      <c r="E76" s="57"/>
    </row>
    <row r="77" spans="2:5">
      <c r="B77" s="529"/>
      <c r="C77" s="209"/>
      <c r="D77" s="57"/>
      <c r="E77" s="57"/>
    </row>
    <row r="78" spans="2:5">
      <c r="B78" s="522"/>
      <c r="C78" s="209"/>
      <c r="D78" s="57"/>
      <c r="E78" s="57"/>
    </row>
    <row r="79" spans="2:5" ht="408.9" customHeight="1">
      <c r="B79" s="531"/>
      <c r="C79" s="209"/>
      <c r="D79" s="57"/>
      <c r="E79" s="57"/>
    </row>
    <row r="80" spans="2:5" ht="80.150000000000006" customHeight="1">
      <c r="B80" s="522"/>
      <c r="C80" s="209"/>
      <c r="D80" s="57"/>
      <c r="E80" s="57"/>
    </row>
    <row r="81" spans="2:5">
      <c r="B81" s="521" t="s">
        <v>134</v>
      </c>
      <c r="C81" s="208" t="s">
        <v>408</v>
      </c>
      <c r="D81" s="57"/>
      <c r="E81" s="57"/>
    </row>
    <row r="82" spans="2:5">
      <c r="B82" s="522" t="s">
        <v>302</v>
      </c>
      <c r="C82" s="205"/>
      <c r="D82" s="57"/>
      <c r="E82" s="57"/>
    </row>
    <row r="83" spans="2:5" ht="30" customHeight="1">
      <c r="B83" s="522"/>
      <c r="C83" s="209"/>
      <c r="D83" s="57"/>
      <c r="E83" s="57"/>
    </row>
    <row r="84" spans="2:5" ht="15.5">
      <c r="B84" s="527"/>
      <c r="C84" s="209"/>
      <c r="D84" s="57"/>
      <c r="E84" s="57"/>
    </row>
    <row r="85" spans="2:5" ht="15.5">
      <c r="B85" s="528"/>
      <c r="C85" s="209"/>
      <c r="D85" s="57"/>
      <c r="E85" s="57"/>
    </row>
    <row r="86" spans="2:5">
      <c r="B86" s="522"/>
      <c r="C86" s="209"/>
      <c r="D86" s="57"/>
      <c r="E86" s="57"/>
    </row>
    <row r="87" spans="2:5">
      <c r="B87" s="529"/>
      <c r="C87" s="209"/>
      <c r="D87" s="57"/>
      <c r="E87" s="57"/>
    </row>
    <row r="88" spans="2:5">
      <c r="B88" s="522"/>
      <c r="C88" s="209"/>
      <c r="D88" s="57"/>
      <c r="E88" s="57"/>
    </row>
    <row r="89" spans="2:5" ht="408.9" customHeight="1">
      <c r="B89" s="530"/>
      <c r="C89" s="209"/>
      <c r="D89" s="57"/>
      <c r="E89" s="57"/>
    </row>
    <row r="90" spans="2:5" ht="80.150000000000006" customHeight="1">
      <c r="B90" s="522"/>
      <c r="C90" s="209"/>
      <c r="D90" s="57"/>
      <c r="E90" s="57"/>
    </row>
    <row r="91" spans="2:5">
      <c r="B91" s="521" t="s">
        <v>133</v>
      </c>
      <c r="C91" s="208" t="s">
        <v>409</v>
      </c>
      <c r="D91" s="57"/>
      <c r="E91" s="57"/>
    </row>
    <row r="92" spans="2:5">
      <c r="B92" s="522" t="s">
        <v>302</v>
      </c>
      <c r="C92" s="205"/>
      <c r="D92" s="57"/>
      <c r="E92" s="57"/>
    </row>
    <row r="93" spans="2:5" ht="30" customHeight="1">
      <c r="B93" s="522"/>
      <c r="C93" s="209"/>
      <c r="D93" s="57"/>
      <c r="E93" s="57"/>
    </row>
    <row r="94" spans="2:5" ht="15.5">
      <c r="B94" s="527"/>
      <c r="C94" s="209"/>
      <c r="D94" s="57"/>
      <c r="E94" s="57"/>
    </row>
    <row r="95" spans="2:5" ht="15.5">
      <c r="B95" s="528"/>
      <c r="C95" s="209"/>
      <c r="D95" s="57"/>
      <c r="E95" s="57"/>
    </row>
    <row r="96" spans="2:5">
      <c r="B96" s="522"/>
      <c r="C96" s="209"/>
      <c r="D96" s="57"/>
      <c r="E96" s="57"/>
    </row>
    <row r="97" spans="1:5">
      <c r="B97" s="529"/>
      <c r="C97" s="209"/>
      <c r="D97" s="57"/>
      <c r="E97" s="57"/>
    </row>
    <row r="98" spans="1:5">
      <c r="B98" s="522"/>
      <c r="C98" s="209"/>
      <c r="D98" s="57"/>
      <c r="E98" s="57"/>
    </row>
    <row r="99" spans="1:5" ht="408.9" customHeight="1">
      <c r="A99" s="530"/>
      <c r="C99" s="209"/>
      <c r="D99" s="57"/>
      <c r="E99" s="57"/>
    </row>
    <row r="100" spans="1:5" ht="80.150000000000006" customHeight="1">
      <c r="B100" s="522"/>
      <c r="C100" s="209"/>
      <c r="D100" s="57"/>
      <c r="E100" s="57"/>
    </row>
    <row r="101" spans="1:5">
      <c r="B101" s="521" t="s">
        <v>133</v>
      </c>
      <c r="C101" s="208" t="s">
        <v>410</v>
      </c>
      <c r="D101" s="57"/>
      <c r="E101" s="57"/>
    </row>
    <row r="102" spans="1:5">
      <c r="B102" s="522" t="s">
        <v>302</v>
      </c>
      <c r="C102" s="205"/>
      <c r="D102" s="57"/>
      <c r="E102" s="57"/>
    </row>
    <row r="103" spans="1:5" ht="30" customHeight="1">
      <c r="B103" s="522"/>
      <c r="C103" s="209"/>
      <c r="D103" s="57"/>
      <c r="E103" s="57"/>
    </row>
    <row r="104" spans="1:5" ht="15.5">
      <c r="B104" s="527"/>
      <c r="C104" s="209"/>
      <c r="D104" s="57"/>
      <c r="E104" s="57"/>
    </row>
    <row r="105" spans="1:5" ht="15.5">
      <c r="B105" s="528"/>
      <c r="C105" s="209"/>
      <c r="D105" s="57"/>
      <c r="E105" s="57"/>
    </row>
    <row r="106" spans="1:5">
      <c r="B106" s="522"/>
      <c r="C106" s="209"/>
      <c r="D106" s="57"/>
      <c r="E106" s="57"/>
    </row>
    <row r="107" spans="1:5">
      <c r="B107" s="529"/>
      <c r="C107" s="209"/>
      <c r="D107" s="57"/>
      <c r="E107" s="57"/>
    </row>
    <row r="108" spans="1:5">
      <c r="B108" s="522"/>
      <c r="C108" s="209"/>
      <c r="D108" s="57"/>
      <c r="E108" s="57"/>
    </row>
    <row r="109" spans="1:5" ht="408.9" customHeight="1">
      <c r="B109" s="530"/>
      <c r="C109" s="209"/>
      <c r="D109" s="57"/>
      <c r="E109" s="57"/>
    </row>
    <row r="110" spans="1:5" ht="80.150000000000006" customHeight="1">
      <c r="B110" s="522"/>
      <c r="C110" s="209"/>
      <c r="D110" s="57"/>
      <c r="E110" s="57"/>
    </row>
    <row r="111" spans="1:5">
      <c r="B111" s="521" t="s">
        <v>135</v>
      </c>
      <c r="C111" s="208" t="s">
        <v>411</v>
      </c>
      <c r="D111" s="57"/>
      <c r="E111" s="57"/>
    </row>
    <row r="112" spans="1:5">
      <c r="B112" s="522" t="s">
        <v>302</v>
      </c>
      <c r="C112" s="205"/>
      <c r="D112" s="57"/>
      <c r="E112" s="57"/>
    </row>
    <row r="113" spans="2:17" ht="30" customHeight="1">
      <c r="B113" s="522"/>
      <c r="C113" s="209"/>
      <c r="D113" s="57"/>
      <c r="E113" s="57"/>
    </row>
    <row r="114" spans="2:17" ht="15.5">
      <c r="B114" s="527"/>
      <c r="C114" s="209"/>
      <c r="D114" s="57"/>
      <c r="E114" s="57"/>
    </row>
    <row r="115" spans="2:17" ht="15.5">
      <c r="B115" s="528"/>
      <c r="C115" s="209"/>
      <c r="D115" s="57"/>
      <c r="E115" s="737"/>
      <c r="H115" s="737"/>
      <c r="M115" s="737"/>
      <c r="Q115" s="737"/>
    </row>
    <row r="116" spans="2:17">
      <c r="B116" s="522"/>
      <c r="C116" s="209"/>
      <c r="D116" s="57"/>
      <c r="E116" s="57"/>
    </row>
    <row r="117" spans="2:17">
      <c r="B117" s="529"/>
      <c r="C117" s="209"/>
      <c r="D117" s="57"/>
      <c r="E117" s="57"/>
    </row>
    <row r="118" spans="2:17">
      <c r="B118" s="522"/>
      <c r="C118" s="209"/>
      <c r="D118" s="57"/>
      <c r="E118" s="57"/>
    </row>
    <row r="119" spans="2:17" ht="408.9" customHeight="1">
      <c r="B119" s="530"/>
      <c r="C119" s="209"/>
      <c r="D119" s="57"/>
      <c r="E119" s="57"/>
    </row>
    <row r="120" spans="2:17" ht="80.150000000000006" customHeight="1">
      <c r="B120" s="522"/>
      <c r="C120" s="209"/>
      <c r="D120" s="57"/>
      <c r="E120" s="57"/>
    </row>
    <row r="121" spans="2:17">
      <c r="B121" s="521" t="s">
        <v>133</v>
      </c>
      <c r="C121" s="208" t="s">
        <v>412</v>
      </c>
      <c r="D121" s="57"/>
      <c r="E121" s="57"/>
    </row>
    <row r="122" spans="2:17">
      <c r="B122" s="522" t="s">
        <v>302</v>
      </c>
      <c r="C122" s="205"/>
      <c r="D122" s="57"/>
      <c r="E122" s="57"/>
    </row>
    <row r="123" spans="2:17" ht="30" customHeight="1">
      <c r="B123" s="522"/>
      <c r="C123" s="209"/>
      <c r="D123" s="57"/>
      <c r="E123" s="57"/>
    </row>
    <row r="124" spans="2:17" ht="15.5">
      <c r="B124" s="527"/>
      <c r="C124" s="209"/>
      <c r="D124" s="57"/>
      <c r="E124" s="57"/>
    </row>
    <row r="125" spans="2:17" ht="15.5">
      <c r="B125" s="528"/>
      <c r="C125" s="209"/>
      <c r="D125" s="57"/>
      <c r="E125" s="57"/>
    </row>
    <row r="126" spans="2:17">
      <c r="B126" s="522"/>
      <c r="C126" s="209"/>
      <c r="D126" s="57"/>
      <c r="E126" s="57"/>
    </row>
    <row r="127" spans="2:17">
      <c r="B127" s="529"/>
      <c r="C127" s="209"/>
      <c r="D127" s="57"/>
      <c r="E127" s="57"/>
    </row>
    <row r="128" spans="2:17">
      <c r="B128" s="522"/>
      <c r="C128" s="209"/>
      <c r="D128" s="57"/>
      <c r="E128" s="57"/>
    </row>
    <row r="129" spans="2:5" ht="408.9" customHeight="1">
      <c r="B129" s="530"/>
      <c r="C129" s="209"/>
      <c r="D129" s="57"/>
      <c r="E129" s="57"/>
    </row>
    <row r="130" spans="2:5" ht="80.150000000000006" customHeight="1">
      <c r="B130" s="522"/>
      <c r="C130" s="209"/>
      <c r="D130" s="57"/>
      <c r="E130" s="57"/>
    </row>
    <row r="131" spans="2:5">
      <c r="B131" s="521" t="s">
        <v>133</v>
      </c>
      <c r="C131" s="208" t="s">
        <v>413</v>
      </c>
      <c r="D131" s="57"/>
      <c r="E131" s="57"/>
    </row>
    <row r="132" spans="2:5">
      <c r="B132" s="522" t="s">
        <v>302</v>
      </c>
      <c r="C132" s="205"/>
      <c r="D132" s="57"/>
      <c r="E132" s="57"/>
    </row>
    <row r="133" spans="2:5" ht="30" customHeight="1">
      <c r="B133" s="522"/>
      <c r="C133" s="209"/>
      <c r="D133" s="57"/>
      <c r="E133" s="57"/>
    </row>
    <row r="134" spans="2:5" ht="15.5">
      <c r="B134" s="527"/>
      <c r="C134" s="209"/>
      <c r="D134" s="57"/>
      <c r="E134" s="57"/>
    </row>
    <row r="135" spans="2:5" ht="15.5">
      <c r="B135" s="528"/>
      <c r="C135" s="209"/>
      <c r="D135" s="57"/>
      <c r="E135" s="57"/>
    </row>
    <row r="136" spans="2:5">
      <c r="B136" s="522"/>
      <c r="C136" s="209"/>
      <c r="D136" s="57"/>
      <c r="E136" s="57"/>
    </row>
    <row r="137" spans="2:5">
      <c r="B137" s="529"/>
      <c r="C137" s="209"/>
      <c r="D137" s="57"/>
      <c r="E137" s="57"/>
    </row>
    <row r="138" spans="2:5">
      <c r="B138" s="522"/>
      <c r="C138" s="209"/>
      <c r="D138" s="57"/>
      <c r="E138" s="57"/>
    </row>
    <row r="139" spans="2:5" ht="408.9" customHeight="1">
      <c r="B139" s="530"/>
      <c r="C139" s="209"/>
      <c r="D139" s="57"/>
      <c r="E139" s="57"/>
    </row>
  </sheetData>
  <sheetProtection algorithmName="SHA-512" hashValue="j7tuQI4b9kcMTgfT2FtoZgFHc53XnlBjFXxU9DA+98BPZwqFxXMRj1+uvo81+LNe6idEIla8MHHi8gzF+7LZdQ==" saltValue="QkPkb8TFaY2oi9RHKaIWuQ==" spinCount="100000" sheet="1" objects="1" scenarios="1"/>
  <phoneticPr fontId="0" type="noConversion"/>
  <conditionalFormatting sqref="H1:H114 H140:H1048576 H116:H130">
    <cfRule type="cellIs" priority="2" stopIfTrue="1" operator="between">
      <formula>6.2</formula>
      <formula>6.5</formula>
    </cfRule>
  </conditionalFormatting>
  <conditionalFormatting sqref="H131:H139">
    <cfRule type="cellIs" priority="1" stopIfTrue="1" operator="between">
      <formula>6.2</formula>
      <formula>6.5</formula>
    </cfRule>
  </conditionalFormatting>
  <pageMargins left="0.62992125984251968" right="0.23622047244094491" top="1.1023622047244095" bottom="0.19685039370078741" header="0.23622047244094491" footer="0.19685039370078741"/>
  <pageSetup paperSize="9" orientation="portrait" r:id="rId1"/>
  <headerFooter alignWithMargins="0">
    <oddHeader>&amp;L                &amp;G</oddHeader>
    <oddFooter>&amp;L&amp;8Ekologigruppen Ekoplan AB
Stora Södergatan 8C
222 23 Lund&amp;C&amp;8
&amp;R&amp;8Telefon: 046-106750
Hemsida: www.ekologigruppen.se
E-post: eko@ekologigruppen.se</oddFooter>
  </headerFooter>
  <rowBreaks count="11" manualBreakCount="11">
    <brk id="20" max="16383" man="1"/>
    <brk id="30" max="16383" man="1"/>
    <brk id="40" max="16383" man="1"/>
    <brk id="50" max="16383" man="1"/>
    <brk id="60" max="16383" man="1"/>
    <brk id="70" max="16383" man="1"/>
    <brk id="80" max="16383" man="1"/>
    <brk id="90" max="16383" man="1"/>
    <brk id="100" max="16383" man="1"/>
    <brk id="110" max="16383" man="1"/>
    <brk id="120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605185" r:id="rId5">
          <objectPr locked="0" defaultSize="0" autoPict="0" r:id="rId6">
            <anchor moveWithCells="1">
              <from>
                <xdr:col>1</xdr:col>
                <xdr:colOff>44450</xdr:colOff>
                <xdr:row>12</xdr:row>
                <xdr:rowOff>368300</xdr:rowOff>
              </from>
              <to>
                <xdr:col>1</xdr:col>
                <xdr:colOff>4756150</xdr:colOff>
                <xdr:row>18</xdr:row>
                <xdr:rowOff>5060950</xdr:rowOff>
              </to>
            </anchor>
          </objectPr>
        </oleObject>
      </mc:Choice>
      <mc:Fallback>
        <oleObject progId="Word.Document.12" shapeId="605185" r:id="rId5"/>
      </mc:Fallback>
    </mc:AlternateContent>
    <mc:AlternateContent xmlns:mc="http://schemas.openxmlformats.org/markup-compatibility/2006">
      <mc:Choice Requires="x14">
        <oleObject progId="Word.Document.12" shapeId="605186" r:id="rId7">
          <objectPr locked="0" defaultSize="0" autoPict="0" r:id="rId8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4724400</xdr:colOff>
                <xdr:row>28</xdr:row>
                <xdr:rowOff>4800600</xdr:rowOff>
              </to>
            </anchor>
          </objectPr>
        </oleObject>
      </mc:Choice>
      <mc:Fallback>
        <oleObject progId="Word.Document.12" shapeId="605186" r:id="rId7"/>
      </mc:Fallback>
    </mc:AlternateContent>
    <mc:AlternateContent xmlns:mc="http://schemas.openxmlformats.org/markup-compatibility/2006">
      <mc:Choice Requires="x14">
        <oleObject progId="Word.Document.12" shapeId="605187" r:id="rId9">
          <objectPr locked="0" defaultSize="0" r:id="rId10">
            <anchor moveWithCells="1">
              <from>
                <xdr:col>1</xdr:col>
                <xdr:colOff>0</xdr:colOff>
                <xdr:row>32</xdr:row>
                <xdr:rowOff>368300</xdr:rowOff>
              </from>
              <to>
                <xdr:col>1</xdr:col>
                <xdr:colOff>5092700</xdr:colOff>
                <xdr:row>38</xdr:row>
                <xdr:rowOff>4749800</xdr:rowOff>
              </to>
            </anchor>
          </objectPr>
        </oleObject>
      </mc:Choice>
      <mc:Fallback>
        <oleObject progId="Word.Document.12" shapeId="605187" r:id="rId9"/>
      </mc:Fallback>
    </mc:AlternateContent>
    <mc:AlternateContent xmlns:mc="http://schemas.openxmlformats.org/markup-compatibility/2006">
      <mc:Choice Requires="x14">
        <oleObject progId="Word.Document.12" shapeId="605188" r:id="rId11">
          <objectPr locked="0" defaultSize="0" autoPict="0" r:id="rId12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1</xdr:col>
                <xdr:colOff>4832350</xdr:colOff>
                <xdr:row>48</xdr:row>
                <xdr:rowOff>4267200</xdr:rowOff>
              </to>
            </anchor>
          </objectPr>
        </oleObject>
      </mc:Choice>
      <mc:Fallback>
        <oleObject progId="Word.Document.12" shapeId="605188" r:id="rId11"/>
      </mc:Fallback>
    </mc:AlternateContent>
    <mc:AlternateContent xmlns:mc="http://schemas.openxmlformats.org/markup-compatibility/2006">
      <mc:Choice Requires="x14">
        <oleObject progId="Word.Document.12" shapeId="605189" r:id="rId13">
          <objectPr locked="0" defaultSize="0" autoPict="0" r:id="rId14">
            <anchor moveWithCells="1">
              <from>
                <xdr:col>1</xdr:col>
                <xdr:colOff>0</xdr:colOff>
                <xdr:row>53</xdr:row>
                <xdr:rowOff>0</xdr:rowOff>
              </from>
              <to>
                <xdr:col>2</xdr:col>
                <xdr:colOff>139700</xdr:colOff>
                <xdr:row>58</xdr:row>
                <xdr:rowOff>4800600</xdr:rowOff>
              </to>
            </anchor>
          </objectPr>
        </oleObject>
      </mc:Choice>
      <mc:Fallback>
        <oleObject progId="Word.Document.12" shapeId="605189" r:id="rId13"/>
      </mc:Fallback>
    </mc:AlternateContent>
    <mc:AlternateContent xmlns:mc="http://schemas.openxmlformats.org/markup-compatibility/2006">
      <mc:Choice Requires="x14">
        <oleObject progId="Word.Document.12" shapeId="605190" r:id="rId15">
          <objectPr locked="0" defaultSize="0" autoPict="0" r:id="rId16">
            <anchor moveWithCells="1">
              <from>
                <xdr:col>1</xdr:col>
                <xdr:colOff>0</xdr:colOff>
                <xdr:row>62</xdr:row>
                <xdr:rowOff>374650</xdr:rowOff>
              </from>
              <to>
                <xdr:col>2</xdr:col>
                <xdr:colOff>139700</xdr:colOff>
                <xdr:row>69</xdr:row>
                <xdr:rowOff>184150</xdr:rowOff>
              </to>
            </anchor>
          </objectPr>
        </oleObject>
      </mc:Choice>
      <mc:Fallback>
        <oleObject progId="Word.Document.12" shapeId="605190" r:id="rId15"/>
      </mc:Fallback>
    </mc:AlternateContent>
    <mc:AlternateContent xmlns:mc="http://schemas.openxmlformats.org/markup-compatibility/2006">
      <mc:Choice Requires="x14">
        <oleObject progId="Word.Document.12" shapeId="605191" r:id="rId17">
          <objectPr locked="0" defaultSize="0" r:id="rId18">
            <anchor moveWithCells="1">
              <from>
                <xdr:col>1</xdr:col>
                <xdr:colOff>31750</xdr:colOff>
                <xdr:row>73</xdr:row>
                <xdr:rowOff>0</xdr:rowOff>
              </from>
              <to>
                <xdr:col>2</xdr:col>
                <xdr:colOff>25400</xdr:colOff>
                <xdr:row>78</xdr:row>
                <xdr:rowOff>3327400</xdr:rowOff>
              </to>
            </anchor>
          </objectPr>
        </oleObject>
      </mc:Choice>
      <mc:Fallback>
        <oleObject progId="Word.Document.12" shapeId="605191" r:id="rId17"/>
      </mc:Fallback>
    </mc:AlternateContent>
    <mc:AlternateContent xmlns:mc="http://schemas.openxmlformats.org/markup-compatibility/2006">
      <mc:Choice Requires="x14">
        <oleObject progId="Word.Document.12" shapeId="605192" r:id="rId19">
          <objectPr locked="0" defaultSize="0" autoPict="0" r:id="rId20">
            <anchor moveWithCells="1">
              <from>
                <xdr:col>1</xdr:col>
                <xdr:colOff>31750</xdr:colOff>
                <xdr:row>83</xdr:row>
                <xdr:rowOff>31750</xdr:rowOff>
              </from>
              <to>
                <xdr:col>2</xdr:col>
                <xdr:colOff>6350</xdr:colOff>
                <xdr:row>88</xdr:row>
                <xdr:rowOff>4235450</xdr:rowOff>
              </to>
            </anchor>
          </objectPr>
        </oleObject>
      </mc:Choice>
      <mc:Fallback>
        <oleObject progId="Word.Document.12" shapeId="605192" r:id="rId19"/>
      </mc:Fallback>
    </mc:AlternateContent>
    <mc:AlternateContent xmlns:mc="http://schemas.openxmlformats.org/markup-compatibility/2006">
      <mc:Choice Requires="x14">
        <oleObject progId="Word.Document.12" shapeId="605193" r:id="rId21">
          <objectPr locked="0" defaultSize="0" autoPict="0" r:id="rId22">
            <anchor moveWithCells="1">
              <from>
                <xdr:col>1</xdr:col>
                <xdr:colOff>139700</xdr:colOff>
                <xdr:row>93</xdr:row>
                <xdr:rowOff>76200</xdr:rowOff>
              </from>
              <to>
                <xdr:col>2</xdr:col>
                <xdr:colOff>266700</xdr:colOff>
                <xdr:row>98</xdr:row>
                <xdr:rowOff>4959350</xdr:rowOff>
              </to>
            </anchor>
          </objectPr>
        </oleObject>
      </mc:Choice>
      <mc:Fallback>
        <oleObject progId="Word.Document.12" shapeId="605193" r:id="rId21"/>
      </mc:Fallback>
    </mc:AlternateContent>
    <mc:AlternateContent xmlns:mc="http://schemas.openxmlformats.org/markup-compatibility/2006">
      <mc:Choice Requires="x14">
        <oleObject progId="Word.Document.12" shapeId="605194" r:id="rId23">
          <objectPr locked="0" defaultSize="0" autoPict="0" r:id="rId24">
            <anchor moveWithCells="1">
              <from>
                <xdr:col>1</xdr:col>
                <xdr:colOff>76200</xdr:colOff>
                <xdr:row>102</xdr:row>
                <xdr:rowOff>368300</xdr:rowOff>
              </from>
              <to>
                <xdr:col>1</xdr:col>
                <xdr:colOff>120650</xdr:colOff>
                <xdr:row>229</xdr:row>
                <xdr:rowOff>0</xdr:rowOff>
              </to>
            </anchor>
          </objectPr>
        </oleObject>
      </mc:Choice>
      <mc:Fallback>
        <oleObject progId="Word.Document.12" shapeId="605194" r:id="rId23"/>
      </mc:Fallback>
    </mc:AlternateContent>
    <mc:AlternateContent xmlns:mc="http://schemas.openxmlformats.org/markup-compatibility/2006">
      <mc:Choice Requires="x14">
        <oleObject progId="Word.Document.12" shapeId="605195" r:id="rId25">
          <objectPr locked="0" defaultSize="0" r:id="rId26">
            <anchor moveWithCells="1">
              <from>
                <xdr:col>1</xdr:col>
                <xdr:colOff>38100</xdr:colOff>
                <xdr:row>114</xdr:row>
                <xdr:rowOff>31750</xdr:rowOff>
              </from>
              <to>
                <xdr:col>2</xdr:col>
                <xdr:colOff>184150</xdr:colOff>
                <xdr:row>119</xdr:row>
                <xdr:rowOff>571500</xdr:rowOff>
              </to>
            </anchor>
          </objectPr>
        </oleObject>
      </mc:Choice>
      <mc:Fallback>
        <oleObject progId="Word.Document.12" shapeId="605195" r:id="rId25"/>
      </mc:Fallback>
    </mc:AlternateContent>
    <mc:AlternateContent xmlns:mc="http://schemas.openxmlformats.org/markup-compatibility/2006">
      <mc:Choice Requires="x14">
        <oleObject progId="Word.Document.12" shapeId="605196" r:id="rId27">
          <objectPr locked="0" defaultSize="0" r:id="rId28">
            <anchor moveWithCells="1">
              <from>
                <xdr:col>1</xdr:col>
                <xdr:colOff>63500</xdr:colOff>
                <xdr:row>123</xdr:row>
                <xdr:rowOff>6350</xdr:rowOff>
              </from>
              <to>
                <xdr:col>2</xdr:col>
                <xdr:colOff>63500</xdr:colOff>
                <xdr:row>129</xdr:row>
                <xdr:rowOff>190500</xdr:rowOff>
              </to>
            </anchor>
          </objectPr>
        </oleObject>
      </mc:Choice>
      <mc:Fallback>
        <oleObject progId="Word.Document.12" shapeId="605196" r:id="rId27"/>
      </mc:Fallback>
    </mc:AlternateContent>
    <mc:AlternateContent xmlns:mc="http://schemas.openxmlformats.org/markup-compatibility/2006">
      <mc:Choice Requires="x14">
        <oleObject progId="Word.Document.12" shapeId="605197" r:id="rId29">
          <objectPr locked="0" defaultSize="0" r:id="rId30">
            <anchor moveWithCells="1">
              <from>
                <xdr:col>1</xdr:col>
                <xdr:colOff>31750</xdr:colOff>
                <xdr:row>134</xdr:row>
                <xdr:rowOff>76200</xdr:rowOff>
              </from>
              <to>
                <xdr:col>2</xdr:col>
                <xdr:colOff>44450</xdr:colOff>
                <xdr:row>138</xdr:row>
                <xdr:rowOff>4826000</xdr:rowOff>
              </to>
            </anchor>
          </objectPr>
        </oleObject>
      </mc:Choice>
      <mc:Fallback>
        <oleObject progId="Word.Document.12" shapeId="605197" r:id="rId29"/>
      </mc:Fallback>
    </mc:AlternateContent>
    <mc:AlternateContent xmlns:mc="http://schemas.openxmlformats.org/markup-compatibility/2006">
      <mc:Choice Requires="x14">
        <oleObject progId="Word.Document.12" shapeId="605198" r:id="rId31">
          <objectPr locked="0" defaultSize="0" autoPict="0" r:id="rId32">
            <anchor moveWithCells="1">
              <from>
                <xdr:col>1</xdr:col>
                <xdr:colOff>76200</xdr:colOff>
                <xdr:row>108</xdr:row>
                <xdr:rowOff>368300</xdr:rowOff>
              </from>
              <to>
                <xdr:col>2</xdr:col>
                <xdr:colOff>215900</xdr:colOff>
                <xdr:row>108</xdr:row>
                <xdr:rowOff>4489450</xdr:rowOff>
              </to>
            </anchor>
          </objectPr>
        </oleObject>
      </mc:Choice>
      <mc:Fallback>
        <oleObject progId="Word.Document.12" shapeId="605198" r:id="rId31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8">
    <tabColor rgb="FFFFFF00"/>
  </sheetPr>
  <dimension ref="B1:D24"/>
  <sheetViews>
    <sheetView showGridLines="0" showRowColHeaders="0" workbookViewId="0"/>
  </sheetViews>
  <sheetFormatPr defaultColWidth="9.08984375" defaultRowHeight="12.5"/>
  <cols>
    <col min="1" max="1" width="10.6328125" style="57" customWidth="1"/>
    <col min="2" max="2" width="52.08984375" style="57" customWidth="1"/>
    <col min="3" max="3" width="4.08984375" style="57" customWidth="1"/>
    <col min="4" max="4" width="52.08984375" style="57" customWidth="1"/>
    <col min="5" max="16384" width="9.08984375" style="57"/>
  </cols>
  <sheetData>
    <row r="1" spans="2:4" s="406" customFormat="1" ht="23">
      <c r="B1" s="438" t="s">
        <v>278</v>
      </c>
    </row>
    <row r="2" spans="2:4" s="406" customFormat="1" ht="23">
      <c r="B2" s="438" t="s">
        <v>90</v>
      </c>
    </row>
    <row r="3" spans="2:4" s="406" customFormat="1"/>
    <row r="4" spans="2:4" ht="20.149999999999999" customHeight="1">
      <c r="B4" s="444" t="s">
        <v>91</v>
      </c>
      <c r="D4" s="444" t="s">
        <v>92</v>
      </c>
    </row>
    <row r="5" spans="2:4" ht="17.5">
      <c r="B5" s="448" t="s">
        <v>140</v>
      </c>
      <c r="D5" s="601" t="s">
        <v>280</v>
      </c>
    </row>
    <row r="6" spans="2:4">
      <c r="B6" s="445" t="s">
        <v>138</v>
      </c>
      <c r="D6" s="602" t="s">
        <v>281</v>
      </c>
    </row>
    <row r="7" spans="2:4">
      <c r="B7" s="445" t="s">
        <v>139</v>
      </c>
      <c r="D7" s="603" t="s">
        <v>282</v>
      </c>
    </row>
    <row r="8" spans="2:4">
      <c r="B8" s="445"/>
      <c r="D8" s="602" t="s">
        <v>283</v>
      </c>
    </row>
    <row r="9" spans="2:4">
      <c r="B9" s="445" t="s">
        <v>220</v>
      </c>
      <c r="D9" s="602" t="s">
        <v>284</v>
      </c>
    </row>
    <row r="10" spans="2:4">
      <c r="B10" s="445"/>
      <c r="D10" s="602"/>
    </row>
    <row r="11" spans="2:4">
      <c r="B11" s="445"/>
      <c r="D11" s="602"/>
    </row>
    <row r="12" spans="2:4">
      <c r="B12" s="445" t="s">
        <v>93</v>
      </c>
      <c r="D12" s="602" t="s">
        <v>93</v>
      </c>
    </row>
    <row r="13" spans="2:4">
      <c r="B13" s="604" t="s">
        <v>422</v>
      </c>
      <c r="D13" s="604" t="s">
        <v>286</v>
      </c>
    </row>
    <row r="14" spans="2:4">
      <c r="B14" s="446"/>
      <c r="D14" s="602"/>
    </row>
    <row r="15" spans="2:4" ht="12" customHeight="1">
      <c r="B15" s="445" t="s">
        <v>94</v>
      </c>
      <c r="D15" s="602" t="s">
        <v>94</v>
      </c>
    </row>
    <row r="16" spans="2:4">
      <c r="B16" s="456" t="s">
        <v>136</v>
      </c>
      <c r="D16" s="604" t="s">
        <v>279</v>
      </c>
    </row>
    <row r="17" spans="2:4">
      <c r="B17" s="446"/>
      <c r="D17" s="602"/>
    </row>
    <row r="18" spans="2:4">
      <c r="B18" s="445" t="s">
        <v>423</v>
      </c>
      <c r="D18" s="602" t="s">
        <v>285</v>
      </c>
    </row>
    <row r="19" spans="2:4">
      <c r="B19" s="447"/>
      <c r="D19" s="605"/>
    </row>
    <row r="21" spans="2:4">
      <c r="D21" s="758"/>
    </row>
    <row r="22" spans="2:4">
      <c r="D22" s="759"/>
    </row>
    <row r="23" spans="2:4">
      <c r="D23" s="759"/>
    </row>
    <row r="24" spans="2:4">
      <c r="D24" s="759"/>
    </row>
  </sheetData>
  <sheetProtection algorithmName="SHA-512" hashValue="Ke3IZYMeRnVtlwrmAJ8gFwfQbqXr5DJIxXnsgJdNH4b6mhAPuPX94aiR8Yt8CxtH6fPL1LIqlSXrhvhoxbQJtw==" saltValue="ybpPeyanzLsa+u4Zp1kJ/Q==" spinCount="100000" sheet="1" objects="1" scenarios="1"/>
  <mergeCells count="2">
    <mergeCell ref="D21:D22"/>
    <mergeCell ref="D23:D24"/>
  </mergeCells>
  <phoneticPr fontId="0" type="noConversion"/>
  <hyperlinks>
    <hyperlink ref="B13" r:id="rId1" xr:uid="{00000000-0004-0000-0A00-000000000000}"/>
    <hyperlink ref="B16" r:id="rId2" xr:uid="{00000000-0004-0000-0A00-000001000000}"/>
    <hyperlink ref="D16" r:id="rId3" xr:uid="{036EE34A-08A4-47CD-94F6-7B698D34744F}"/>
    <hyperlink ref="D13" r:id="rId4" xr:uid="{BFC1C828-6FF7-4666-8377-99434D346653}"/>
  </hyperlinks>
  <pageMargins left="0.75" right="0.75" top="1" bottom="1" header="0.5" footer="0.5"/>
  <pageSetup paperSize="9" orientation="portrait" r:id="rId5"/>
  <headerFooter alignWithMargins="0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7">
    <tabColor rgb="FFFFFF00"/>
  </sheetPr>
  <dimension ref="A1:I19"/>
  <sheetViews>
    <sheetView showGridLines="0" showRowColHeaders="0" workbookViewId="0"/>
  </sheetViews>
  <sheetFormatPr defaultColWidth="9.08984375" defaultRowHeight="12.5"/>
  <cols>
    <col min="1" max="1" width="10.36328125" customWidth="1"/>
    <col min="2" max="2" width="17.453125" customWidth="1"/>
    <col min="3" max="3" width="1.6328125" customWidth="1"/>
    <col min="4" max="4" width="18.6328125" customWidth="1"/>
  </cols>
  <sheetData>
    <row r="1" spans="1:9" s="398" customFormat="1"/>
    <row r="2" spans="1:9" s="398" customFormat="1" ht="23">
      <c r="A2" s="449"/>
      <c r="B2" s="438" t="s">
        <v>278</v>
      </c>
      <c r="C2" s="449"/>
      <c r="D2" s="449"/>
      <c r="E2" s="449"/>
      <c r="F2" s="449"/>
      <c r="G2" s="449"/>
      <c r="H2" s="449"/>
      <c r="I2" s="449"/>
    </row>
    <row r="3" spans="1:9" s="398" customFormat="1" ht="23">
      <c r="B3" s="438" t="s">
        <v>82</v>
      </c>
    </row>
    <row r="4" spans="1:9" ht="20.149999999999999" customHeight="1">
      <c r="B4" s="451" t="s">
        <v>130</v>
      </c>
      <c r="H4" s="56"/>
    </row>
    <row r="5" spans="1:9">
      <c r="B5" s="452" t="s">
        <v>83</v>
      </c>
      <c r="D5" s="41"/>
    </row>
    <row r="6" spans="1:9" ht="15.5">
      <c r="B6" s="453" t="s">
        <v>84</v>
      </c>
      <c r="H6" s="56"/>
    </row>
    <row r="7" spans="1:9" ht="15.5">
      <c r="B7" s="453"/>
      <c r="H7" s="56"/>
    </row>
    <row r="8" spans="1:9" ht="78.75" customHeight="1">
      <c r="B8" s="450" t="s">
        <v>132</v>
      </c>
      <c r="D8" s="57" t="s">
        <v>301</v>
      </c>
      <c r="E8" s="57"/>
    </row>
    <row r="9" spans="1:9" ht="21.75" customHeight="1">
      <c r="D9" s="57"/>
      <c r="H9" s="56"/>
    </row>
    <row r="10" spans="1:9" ht="21.75" customHeight="1">
      <c r="D10" s="57"/>
      <c r="H10" s="56"/>
    </row>
    <row r="11" spans="1:9" ht="15.9" customHeight="1">
      <c r="B11" s="454" t="s">
        <v>279</v>
      </c>
    </row>
    <row r="12" spans="1:9" ht="15.9" customHeight="1">
      <c r="B12" s="454" t="s">
        <v>131</v>
      </c>
    </row>
    <row r="13" spans="1:9" ht="15.9" customHeight="1">
      <c r="B13" s="454" t="s">
        <v>85</v>
      </c>
    </row>
    <row r="14" spans="1:9" ht="15.9" customHeight="1">
      <c r="B14" s="454" t="s">
        <v>86</v>
      </c>
    </row>
    <row r="15" spans="1:9" ht="15.9" customHeight="1">
      <c r="B15" s="455"/>
    </row>
    <row r="16" spans="1:9" ht="15.9" customHeight="1">
      <c r="B16" s="454" t="s">
        <v>87</v>
      </c>
    </row>
    <row r="17" spans="2:2" ht="15.9" customHeight="1">
      <c r="B17" s="454" t="s">
        <v>88</v>
      </c>
    </row>
    <row r="18" spans="2:2" ht="15.9" customHeight="1">
      <c r="B18" s="454" t="s">
        <v>89</v>
      </c>
    </row>
    <row r="19" spans="2:2" ht="15.9" customHeight="1">
      <c r="B19" s="454"/>
    </row>
  </sheetData>
  <sheetProtection algorithmName="SHA-512" hashValue="5eeUVC7yNLlAPd+d79kyM0HwdnVn2G5qt/pl7dgaBCM0wJPRtnOAViJRly7qXJQcbRw7MrKa3cMpuDIxmKGkRw==" saltValue="BvFf90r/Ifc0maQcheIv0g==" spinCount="100000" sheet="1" objects="1" scenarios="1"/>
  <phoneticPr fontId="0" type="noConversion"/>
  <conditionalFormatting sqref="B4">
    <cfRule type="cellIs" dxfId="41" priority="1" stopIfTrue="1" operator="between">
      <formula>6.2</formula>
      <formula>6.5</formula>
    </cfRule>
    <cfRule type="cellIs" dxfId="40" priority="2" stopIfTrue="1" operator="between">
      <formula>5.6</formula>
      <formula>6.19</formula>
    </cfRule>
    <cfRule type="cellIs" dxfId="39" priority="3" stopIfTrue="1" operator="between">
      <formula>2</formula>
      <formula>5.59</formula>
    </cfRule>
  </conditionalFormatting>
  <hyperlinks>
    <hyperlink ref="B16" r:id="rId1" xr:uid="{00000000-0004-0000-0B00-000001000000}"/>
    <hyperlink ref="B18" r:id="rId2" xr:uid="{00000000-0004-0000-0B00-000002000000}"/>
    <hyperlink ref="B13" r:id="rId3" xr:uid="{00000000-0004-0000-0B00-000003000000}"/>
    <hyperlink ref="B14" r:id="rId4" xr:uid="{00000000-0004-0000-0B00-000004000000}"/>
    <hyperlink ref="B17" r:id="rId5" xr:uid="{00000000-0004-0000-0B00-000005000000}"/>
    <hyperlink ref="B12" r:id="rId6" xr:uid="{00000000-0004-0000-0B00-000007000000}"/>
    <hyperlink ref="B11" r:id="rId7" xr:uid="{00000000-0004-0000-0B00-000008000000}"/>
    <hyperlink ref="B8" r:id="rId8" display="Vattendrag                 SLU                 fr o m 2013*" xr:uid="{5526D626-184A-4BB9-90A0-82BEB5A5E38A}"/>
  </hyperlinks>
  <pageMargins left="0.75" right="0.75" top="1" bottom="1" header="0.5" footer="0.5"/>
  <pageSetup paperSize="9" orientation="portrait" r:id="rId9"/>
  <headerFooter alignWithMargins="0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6">
    <tabColor rgb="FFFFFF00"/>
  </sheetPr>
  <dimension ref="B1:I52"/>
  <sheetViews>
    <sheetView showGridLines="0" showRowColHeaders="0" workbookViewId="0"/>
  </sheetViews>
  <sheetFormatPr defaultColWidth="9" defaultRowHeight="12.5"/>
  <cols>
    <col min="1" max="1" width="11" style="42" customWidth="1"/>
    <col min="2" max="2" width="20.08984375" style="42" customWidth="1"/>
    <col min="3" max="6" width="10.08984375" style="42" customWidth="1"/>
    <col min="7" max="7" width="11.54296875" style="42" customWidth="1"/>
    <col min="8" max="8" width="21.08984375" style="42" customWidth="1"/>
    <col min="9" max="16384" width="9" style="42"/>
  </cols>
  <sheetData>
    <row r="1" spans="2:9" s="457" customFormat="1" ht="21.75" customHeight="1"/>
    <row r="2" spans="2:9" s="457" customFormat="1" ht="23">
      <c r="B2" s="438" t="s">
        <v>278</v>
      </c>
    </row>
    <row r="3" spans="2:9" s="457" customFormat="1" ht="23">
      <c r="B3" s="438" t="s">
        <v>32</v>
      </c>
    </row>
    <row r="4" spans="2:9" s="457" customFormat="1"/>
    <row r="5" spans="2:9" ht="20.149999999999999" customHeight="1">
      <c r="B5" s="42" t="s">
        <v>33</v>
      </c>
    </row>
    <row r="6" spans="2:9" ht="13">
      <c r="B6" s="43" t="s">
        <v>34</v>
      </c>
    </row>
    <row r="7" spans="2:9">
      <c r="B7" s="42" t="s">
        <v>35</v>
      </c>
    </row>
    <row r="9" spans="2:9">
      <c r="B9" s="42" t="s">
        <v>36</v>
      </c>
    </row>
    <row r="11" spans="2:9" ht="13">
      <c r="B11" s="43" t="s">
        <v>37</v>
      </c>
    </row>
    <row r="12" spans="2:9" ht="5.25" customHeight="1" thickBot="1">
      <c r="B12" s="43"/>
    </row>
    <row r="13" spans="2:9" ht="12.75" customHeight="1">
      <c r="B13" s="44" t="s">
        <v>38</v>
      </c>
      <c r="C13" s="366">
        <v>1</v>
      </c>
      <c r="D13" s="371">
        <v>2</v>
      </c>
      <c r="E13" s="63">
        <v>3</v>
      </c>
      <c r="F13" s="68">
        <v>4</v>
      </c>
      <c r="G13" s="73">
        <v>5</v>
      </c>
      <c r="H13" s="45" t="s">
        <v>39</v>
      </c>
      <c r="I13" s="46"/>
    </row>
    <row r="14" spans="2:9">
      <c r="B14" s="47" t="s">
        <v>40</v>
      </c>
      <c r="C14" s="367" t="s">
        <v>194</v>
      </c>
      <c r="D14" s="372" t="s">
        <v>193</v>
      </c>
      <c r="E14" s="64" t="s">
        <v>41</v>
      </c>
      <c r="F14" s="69" t="s">
        <v>42</v>
      </c>
      <c r="G14" s="74" t="s">
        <v>43</v>
      </c>
      <c r="H14" s="48"/>
      <c r="I14" s="46"/>
    </row>
    <row r="15" spans="2:9">
      <c r="B15" s="49" t="s">
        <v>44</v>
      </c>
      <c r="C15" s="368" t="s">
        <v>199</v>
      </c>
      <c r="D15" s="373" t="s">
        <v>200</v>
      </c>
      <c r="E15" s="65" t="s">
        <v>45</v>
      </c>
      <c r="F15" s="70" t="s">
        <v>46</v>
      </c>
      <c r="G15" s="75" t="s">
        <v>47</v>
      </c>
      <c r="H15" s="50"/>
      <c r="I15" s="46"/>
    </row>
    <row r="16" spans="2:9">
      <c r="B16" s="47" t="s">
        <v>49</v>
      </c>
      <c r="C16" s="367" t="s">
        <v>195</v>
      </c>
      <c r="D16" s="372" t="s">
        <v>48</v>
      </c>
      <c r="E16" s="64" t="s">
        <v>41</v>
      </c>
      <c r="F16" s="69" t="s">
        <v>50</v>
      </c>
      <c r="G16" s="74" t="s">
        <v>51</v>
      </c>
      <c r="H16" s="48"/>
      <c r="I16" s="46"/>
    </row>
    <row r="17" spans="2:9">
      <c r="B17" s="49" t="s">
        <v>52</v>
      </c>
      <c r="C17" s="368" t="s">
        <v>201</v>
      </c>
      <c r="D17" s="375" t="s">
        <v>211</v>
      </c>
      <c r="E17" s="65" t="s">
        <v>53</v>
      </c>
      <c r="F17" s="70" t="s">
        <v>54</v>
      </c>
      <c r="G17" s="75" t="s">
        <v>55</v>
      </c>
      <c r="H17" s="50"/>
      <c r="I17" s="46"/>
    </row>
    <row r="18" spans="2:9">
      <c r="B18" s="109" t="s">
        <v>107</v>
      </c>
      <c r="C18" s="367" t="s">
        <v>195</v>
      </c>
      <c r="D18" s="372" t="s">
        <v>48</v>
      </c>
      <c r="E18" s="66" t="s">
        <v>41</v>
      </c>
      <c r="F18" s="71" t="s">
        <v>50</v>
      </c>
      <c r="G18" s="76" t="s">
        <v>51</v>
      </c>
      <c r="H18" s="51"/>
      <c r="I18" s="46"/>
    </row>
    <row r="19" spans="2:9">
      <c r="B19" s="108" t="s">
        <v>108</v>
      </c>
      <c r="C19" s="369" t="s">
        <v>203</v>
      </c>
      <c r="D19" s="374" t="s">
        <v>202</v>
      </c>
      <c r="E19" s="66" t="s">
        <v>109</v>
      </c>
      <c r="F19" s="71" t="s">
        <v>110</v>
      </c>
      <c r="G19" s="76" t="s">
        <v>111</v>
      </c>
      <c r="H19" s="51"/>
      <c r="I19" s="46"/>
    </row>
    <row r="20" spans="2:9">
      <c r="B20" s="47" t="s">
        <v>58</v>
      </c>
      <c r="C20" s="367" t="s">
        <v>196</v>
      </c>
      <c r="D20" s="372" t="s">
        <v>41</v>
      </c>
      <c r="E20" s="64" t="s">
        <v>48</v>
      </c>
      <c r="F20" s="69" t="s">
        <v>59</v>
      </c>
      <c r="G20" s="74" t="s">
        <v>60</v>
      </c>
      <c r="H20" s="48" t="s">
        <v>61</v>
      </c>
      <c r="I20" s="46"/>
    </row>
    <row r="21" spans="2:9" ht="13.5">
      <c r="B21" s="49" t="s">
        <v>62</v>
      </c>
      <c r="C21" s="370" t="s">
        <v>204</v>
      </c>
      <c r="D21" s="375" t="s">
        <v>238</v>
      </c>
      <c r="E21" s="67" t="s">
        <v>63</v>
      </c>
      <c r="F21" s="72" t="s">
        <v>64</v>
      </c>
      <c r="G21" s="75" t="s">
        <v>65</v>
      </c>
      <c r="H21" s="50"/>
      <c r="I21" s="46"/>
    </row>
    <row r="22" spans="2:9" ht="12.75" customHeight="1">
      <c r="B22" s="47" t="s">
        <v>66</v>
      </c>
      <c r="C22" s="367" t="s">
        <v>198</v>
      </c>
      <c r="D22" s="372" t="s">
        <v>197</v>
      </c>
      <c r="E22" s="64" t="s">
        <v>56</v>
      </c>
      <c r="F22" s="69" t="s">
        <v>57</v>
      </c>
      <c r="G22" s="74" t="s">
        <v>67</v>
      </c>
      <c r="H22" s="52" t="s">
        <v>209</v>
      </c>
      <c r="I22" s="46"/>
    </row>
    <row r="23" spans="2:9" ht="12.75" customHeight="1">
      <c r="B23" s="53" t="s">
        <v>19</v>
      </c>
      <c r="C23" s="368" t="s">
        <v>206</v>
      </c>
      <c r="D23" s="373" t="s">
        <v>205</v>
      </c>
      <c r="E23" s="65" t="s">
        <v>68</v>
      </c>
      <c r="F23" s="70" t="s">
        <v>69</v>
      </c>
      <c r="G23" s="75" t="s">
        <v>55</v>
      </c>
      <c r="H23" s="50" t="s">
        <v>210</v>
      </c>
      <c r="I23" s="46"/>
    </row>
    <row r="24" spans="2:9" ht="12.75" customHeight="1">
      <c r="B24" s="47" t="s">
        <v>70</v>
      </c>
      <c r="C24" s="367" t="s">
        <v>198</v>
      </c>
      <c r="D24" s="372" t="s">
        <v>197</v>
      </c>
      <c r="E24" s="64" t="s">
        <v>56</v>
      </c>
      <c r="F24" s="69" t="s">
        <v>57</v>
      </c>
      <c r="G24" s="74" t="s">
        <v>67</v>
      </c>
      <c r="H24" s="52" t="s">
        <v>209</v>
      </c>
      <c r="I24" s="46"/>
    </row>
    <row r="25" spans="2:9" ht="12.75" customHeight="1">
      <c r="B25" s="719" t="s">
        <v>19</v>
      </c>
      <c r="C25" s="368" t="s">
        <v>208</v>
      </c>
      <c r="D25" s="373" t="s">
        <v>207</v>
      </c>
      <c r="E25" s="65" t="s">
        <v>71</v>
      </c>
      <c r="F25" s="70" t="s">
        <v>72</v>
      </c>
      <c r="G25" s="75" t="s">
        <v>73</v>
      </c>
      <c r="H25" s="50" t="s">
        <v>210</v>
      </c>
      <c r="I25" s="46"/>
    </row>
    <row r="26" spans="2:9" ht="12.75" customHeight="1">
      <c r="B26" s="109" t="s">
        <v>375</v>
      </c>
      <c r="C26" s="369" t="s">
        <v>198</v>
      </c>
      <c r="D26" s="374" t="s">
        <v>197</v>
      </c>
      <c r="E26" s="66" t="s">
        <v>56</v>
      </c>
      <c r="F26" s="71" t="s">
        <v>57</v>
      </c>
      <c r="G26" s="76" t="s">
        <v>67</v>
      </c>
      <c r="H26" s="721"/>
      <c r="I26" s="46"/>
    </row>
    <row r="27" spans="2:9" ht="12.75" customHeight="1">
      <c r="B27" s="719" t="s">
        <v>19</v>
      </c>
      <c r="C27" s="368" t="s">
        <v>376</v>
      </c>
      <c r="D27" s="375" t="s">
        <v>377</v>
      </c>
      <c r="E27" s="720" t="s">
        <v>378</v>
      </c>
      <c r="F27" s="72" t="s">
        <v>379</v>
      </c>
      <c r="G27" s="75" t="s">
        <v>380</v>
      </c>
      <c r="H27" s="50" t="s">
        <v>210</v>
      </c>
      <c r="I27" s="46"/>
    </row>
    <row r="28" spans="2:9" ht="12.75" customHeight="1">
      <c r="B28" s="109" t="s">
        <v>270</v>
      </c>
      <c r="C28" s="369" t="s">
        <v>381</v>
      </c>
      <c r="D28" s="374" t="s">
        <v>382</v>
      </c>
      <c r="E28" s="66" t="s">
        <v>41</v>
      </c>
      <c r="F28" s="71" t="s">
        <v>383</v>
      </c>
      <c r="G28" s="76" t="s">
        <v>384</v>
      </c>
      <c r="H28" s="721"/>
      <c r="I28" s="46"/>
    </row>
    <row r="29" spans="2:9" ht="12.75" customHeight="1" thickBot="1">
      <c r="B29" s="54" t="s">
        <v>271</v>
      </c>
      <c r="C29" s="722" t="s">
        <v>385</v>
      </c>
      <c r="D29" s="723" t="s">
        <v>386</v>
      </c>
      <c r="E29" s="724" t="s">
        <v>387</v>
      </c>
      <c r="F29" s="725" t="s">
        <v>388</v>
      </c>
      <c r="G29" s="77" t="s">
        <v>65</v>
      </c>
      <c r="H29" s="55"/>
      <c r="I29" s="46"/>
    </row>
    <row r="32" spans="2:9">
      <c r="B32" s="42" t="s">
        <v>74</v>
      </c>
    </row>
    <row r="33" spans="2:2">
      <c r="B33" s="42" t="s">
        <v>75</v>
      </c>
    </row>
    <row r="34" spans="2:2">
      <c r="B34" s="42" t="s">
        <v>76</v>
      </c>
    </row>
    <row r="35" spans="2:2">
      <c r="B35" s="42" t="s">
        <v>77</v>
      </c>
    </row>
    <row r="38" spans="2:2" ht="13">
      <c r="B38" s="43" t="s">
        <v>78</v>
      </c>
    </row>
    <row r="40" spans="2:2">
      <c r="B40" s="42" t="s">
        <v>79</v>
      </c>
    </row>
    <row r="41" spans="2:2">
      <c r="B41" s="42" t="s">
        <v>80</v>
      </c>
    </row>
    <row r="42" spans="2:2">
      <c r="B42" s="42" t="s">
        <v>81</v>
      </c>
    </row>
    <row r="44" spans="2:2" ht="13">
      <c r="B44" s="43" t="s">
        <v>141</v>
      </c>
    </row>
    <row r="47" spans="2:2" ht="13">
      <c r="B47" s="43" t="s">
        <v>142</v>
      </c>
    </row>
    <row r="48" spans="2:2">
      <c r="B48" s="42" t="s">
        <v>143</v>
      </c>
    </row>
    <row r="49" spans="2:2">
      <c r="B49" s="42" t="s">
        <v>144</v>
      </c>
    </row>
    <row r="50" spans="2:2">
      <c r="B50" s="42" t="s">
        <v>145</v>
      </c>
    </row>
    <row r="51" spans="2:2">
      <c r="B51" s="42" t="s">
        <v>146</v>
      </c>
    </row>
    <row r="52" spans="2:2">
      <c r="B52" s="42" t="s">
        <v>180</v>
      </c>
    </row>
  </sheetData>
  <sheetProtection algorithmName="SHA-512" hashValue="YjcFSYRY3OWeZs3RIqRNRyDW+z/34PiB/HAW0tRoUt5aKmD7f+rqFzKSKaVr1qDlT26OxBH9xJRIC0JRVi8msQ==" saltValue="zcO+gjlyHn14/9V4ki0l5A==" spinCount="100000" sheet="1" objects="1" scenarios="1"/>
  <phoneticPr fontId="0" type="noConversion"/>
  <conditionalFormatting sqref="U1:U25 U30:U1048576">
    <cfRule type="cellIs" dxfId="38" priority="4" stopIfTrue="1" operator="between">
      <formula>625</formula>
      <formula>1250</formula>
    </cfRule>
    <cfRule type="cellIs" dxfId="37" priority="5" stopIfTrue="1" operator="between">
      <formula>1251</formula>
      <formula>5000</formula>
    </cfRule>
    <cfRule type="cellIs" dxfId="36" priority="6" stopIfTrue="1" operator="between">
      <formula>5001</formula>
      <formula>100000</formula>
    </cfRule>
  </conditionalFormatting>
  <conditionalFormatting sqref="U26:U29">
    <cfRule type="cellIs" dxfId="35" priority="1" stopIfTrue="1" operator="between">
      <formula>625</formula>
      <formula>1250</formula>
    </cfRule>
    <cfRule type="cellIs" dxfId="34" priority="2" stopIfTrue="1" operator="between">
      <formula>1251</formula>
      <formula>5000</formula>
    </cfRule>
    <cfRule type="cellIs" dxfId="33" priority="3" stopIfTrue="1" operator="between">
      <formula>5001</formula>
      <formula>100000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D1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305F-FCB1-4BBB-80A9-5E3C2427ACBA}">
  <sheetPr codeName="Blad18">
    <tabColor rgb="FFFF0000"/>
  </sheetPr>
  <dimension ref="A1:K113"/>
  <sheetViews>
    <sheetView topLeftCell="A5" workbookViewId="0">
      <selection activeCell="E14" sqref="E14"/>
    </sheetView>
  </sheetViews>
  <sheetFormatPr defaultColWidth="9.08984375" defaultRowHeight="13.5"/>
  <cols>
    <col min="1" max="1" width="11.36328125" style="285" customWidth="1"/>
    <col min="2" max="2" width="8.6328125" style="288" customWidth="1"/>
    <col min="3" max="3" width="68.6328125" style="285" customWidth="1"/>
    <col min="4" max="4" width="7.08984375" style="285" customWidth="1"/>
    <col min="5" max="5" width="41.453125" style="285" customWidth="1"/>
    <col min="6" max="16384" width="9.08984375" style="285"/>
  </cols>
  <sheetData>
    <row r="1" spans="1:5" s="567" customFormat="1" ht="15">
      <c r="A1" s="565" t="s">
        <v>239</v>
      </c>
      <c r="B1" s="566"/>
    </row>
    <row r="2" spans="1:5" s="567" customFormat="1" ht="15">
      <c r="A2" s="565"/>
      <c r="B2" s="566"/>
    </row>
    <row r="3" spans="1:5" s="567" customFormat="1" ht="18" customHeight="1">
      <c r="A3" s="568" t="s">
        <v>240</v>
      </c>
      <c r="B3" s="568"/>
      <c r="C3" s="568"/>
      <c r="D3" s="568"/>
    </row>
    <row r="4" spans="1:5" s="567" customFormat="1" ht="18" customHeight="1">
      <c r="A4" s="568" t="s">
        <v>243</v>
      </c>
      <c r="B4" s="568"/>
      <c r="C4" s="568"/>
      <c r="D4" s="568"/>
      <c r="E4" s="569" t="s">
        <v>241</v>
      </c>
    </row>
    <row r="5" spans="1:5" s="567" customFormat="1" ht="18" customHeight="1">
      <c r="A5" s="570"/>
      <c r="B5" s="568"/>
      <c r="C5" s="568"/>
      <c r="D5" s="568"/>
    </row>
    <row r="6" spans="1:5" s="567" customFormat="1" ht="18" customHeight="1">
      <c r="A6" s="568"/>
      <c r="B6" s="568"/>
      <c r="C6" s="568"/>
      <c r="D6" s="568"/>
    </row>
    <row r="7" spans="1:5" s="567" customFormat="1" ht="18" customHeight="1">
      <c r="A7" s="567" t="s">
        <v>244</v>
      </c>
      <c r="B7" s="568"/>
      <c r="C7" s="568"/>
      <c r="D7" s="568"/>
    </row>
    <row r="9" spans="1:5">
      <c r="A9" s="284" t="s">
        <v>154</v>
      </c>
      <c r="B9" s="289" t="s">
        <v>172</v>
      </c>
      <c r="C9" s="284" t="s">
        <v>173</v>
      </c>
      <c r="D9" s="284" t="s">
        <v>174</v>
      </c>
    </row>
    <row r="10" spans="1:5" ht="20">
      <c r="A10" s="287">
        <v>44427</v>
      </c>
      <c r="B10" s="563" t="s">
        <v>242</v>
      </c>
      <c r="C10" s="286" t="s">
        <v>245</v>
      </c>
      <c r="D10" s="564" t="s">
        <v>175</v>
      </c>
    </row>
    <row r="11" spans="1:5">
      <c r="A11" s="287">
        <v>44600</v>
      </c>
      <c r="B11" s="563" t="s">
        <v>248</v>
      </c>
      <c r="C11" s="286" t="s">
        <v>247</v>
      </c>
      <c r="D11" s="564" t="s">
        <v>175</v>
      </c>
    </row>
    <row r="12" spans="1:5" ht="20">
      <c r="A12" s="287">
        <v>45300</v>
      </c>
      <c r="B12" s="563" t="s">
        <v>248</v>
      </c>
      <c r="C12" s="286" t="s">
        <v>300</v>
      </c>
      <c r="D12" s="564" t="s">
        <v>175</v>
      </c>
    </row>
    <row r="13" spans="1:5">
      <c r="A13" s="287">
        <v>45300</v>
      </c>
      <c r="B13" s="563" t="s">
        <v>305</v>
      </c>
      <c r="C13" s="286"/>
      <c r="D13" s="564" t="s">
        <v>175</v>
      </c>
    </row>
    <row r="14" spans="1:5" ht="20">
      <c r="A14" s="287">
        <v>45316</v>
      </c>
      <c r="B14" s="563"/>
      <c r="C14" s="286" t="s">
        <v>312</v>
      </c>
      <c r="D14" s="564" t="s">
        <v>175</v>
      </c>
    </row>
    <row r="15" spans="1:5">
      <c r="A15" s="287">
        <v>45316</v>
      </c>
      <c r="B15" s="563"/>
      <c r="C15" s="286" t="s">
        <v>352</v>
      </c>
      <c r="D15" s="564" t="s">
        <v>175</v>
      </c>
    </row>
    <row r="16" spans="1:5" ht="20">
      <c r="A16" s="287">
        <v>45316</v>
      </c>
      <c r="B16" s="563"/>
      <c r="C16" s="694" t="s">
        <v>353</v>
      </c>
      <c r="D16" s="564" t="s">
        <v>175</v>
      </c>
    </row>
    <row r="17" spans="1:4">
      <c r="A17" s="287">
        <v>45316</v>
      </c>
      <c r="B17" s="563"/>
      <c r="C17" s="695" t="s">
        <v>354</v>
      </c>
      <c r="D17" s="564" t="s">
        <v>175</v>
      </c>
    </row>
    <row r="18" spans="1:4">
      <c r="A18" s="287">
        <v>45322</v>
      </c>
      <c r="B18" s="563"/>
      <c r="C18" s="286" t="s">
        <v>366</v>
      </c>
      <c r="D18" s="564" t="s">
        <v>175</v>
      </c>
    </row>
    <row r="19" spans="1:4">
      <c r="A19" s="287">
        <v>45327</v>
      </c>
      <c r="B19" s="563"/>
      <c r="C19" s="286" t="s">
        <v>371</v>
      </c>
      <c r="D19" s="564" t="s">
        <v>175</v>
      </c>
    </row>
    <row r="20" spans="1:4" ht="40">
      <c r="A20" s="287">
        <v>45362</v>
      </c>
      <c r="B20" s="563"/>
      <c r="C20" s="286" t="s">
        <v>373</v>
      </c>
      <c r="D20" s="564" t="s">
        <v>374</v>
      </c>
    </row>
    <row r="21" spans="1:4">
      <c r="A21" s="287">
        <v>45433</v>
      </c>
      <c r="B21" s="563"/>
      <c r="C21" s="286" t="s">
        <v>394</v>
      </c>
      <c r="D21" s="564" t="s">
        <v>175</v>
      </c>
    </row>
    <row r="22" spans="1:4" ht="20">
      <c r="A22" s="287">
        <v>45559</v>
      </c>
      <c r="B22" s="563"/>
      <c r="C22" s="286" t="s">
        <v>398</v>
      </c>
      <c r="D22" s="564" t="s">
        <v>175</v>
      </c>
    </row>
    <row r="23" spans="1:4">
      <c r="A23" s="287">
        <v>45567</v>
      </c>
      <c r="B23" s="563"/>
      <c r="C23" s="286" t="s">
        <v>399</v>
      </c>
      <c r="D23" s="564" t="s">
        <v>400</v>
      </c>
    </row>
    <row r="24" spans="1:4" ht="20">
      <c r="A24" s="287">
        <v>45670</v>
      </c>
      <c r="B24" s="563"/>
      <c r="C24" s="286" t="s">
        <v>414</v>
      </c>
      <c r="D24" s="564" t="s">
        <v>175</v>
      </c>
    </row>
    <row r="25" spans="1:4" ht="20">
      <c r="A25" s="287">
        <v>45671</v>
      </c>
      <c r="B25" s="563"/>
      <c r="C25" s="286" t="s">
        <v>421</v>
      </c>
      <c r="D25" s="564" t="s">
        <v>175</v>
      </c>
    </row>
    <row r="26" spans="1:4">
      <c r="A26" s="287">
        <v>45700</v>
      </c>
      <c r="B26" s="563"/>
      <c r="C26" s="286" t="s">
        <v>430</v>
      </c>
      <c r="D26" s="564" t="s">
        <v>175</v>
      </c>
    </row>
    <row r="27" spans="1:4">
      <c r="A27" s="287">
        <v>45810</v>
      </c>
      <c r="B27" s="563"/>
      <c r="C27" s="286" t="s">
        <v>434</v>
      </c>
      <c r="D27" s="564" t="s">
        <v>175</v>
      </c>
    </row>
    <row r="28" spans="1:4">
      <c r="A28" s="287">
        <v>45925</v>
      </c>
      <c r="B28" s="563"/>
      <c r="C28" s="286" t="s">
        <v>441</v>
      </c>
      <c r="D28" s="564"/>
    </row>
    <row r="29" spans="1:4">
      <c r="A29" s="287"/>
      <c r="B29" s="563"/>
      <c r="C29" s="286"/>
      <c r="D29" s="564"/>
    </row>
    <row r="30" spans="1:4">
      <c r="A30" s="287"/>
      <c r="B30" s="563"/>
      <c r="C30" s="286"/>
      <c r="D30" s="564"/>
    </row>
    <row r="31" spans="1:4">
      <c r="A31" s="287"/>
      <c r="B31" s="563"/>
      <c r="C31" s="286"/>
      <c r="D31" s="564"/>
    </row>
    <row r="32" spans="1:4">
      <c r="A32" s="287"/>
      <c r="B32" s="563"/>
      <c r="C32" s="286"/>
      <c r="D32" s="564"/>
    </row>
    <row r="33" spans="1:4">
      <c r="A33" s="287"/>
      <c r="B33" s="563"/>
      <c r="C33" s="286"/>
      <c r="D33" s="564"/>
    </row>
    <row r="34" spans="1:4">
      <c r="A34" s="287"/>
      <c r="B34" s="563"/>
      <c r="C34" s="286"/>
      <c r="D34" s="564"/>
    </row>
    <row r="35" spans="1:4">
      <c r="A35" s="287"/>
      <c r="B35" s="563"/>
      <c r="C35" s="286"/>
      <c r="D35" s="564"/>
    </row>
    <row r="36" spans="1:4">
      <c r="A36" s="287"/>
      <c r="B36" s="563"/>
      <c r="C36" s="286"/>
      <c r="D36" s="564"/>
    </row>
    <row r="37" spans="1:4">
      <c r="A37" s="287"/>
      <c r="B37" s="563"/>
      <c r="C37" s="286"/>
      <c r="D37" s="564"/>
    </row>
    <row r="38" spans="1:4">
      <c r="A38" s="287"/>
      <c r="B38" s="563"/>
      <c r="C38" s="286"/>
      <c r="D38" s="564"/>
    </row>
    <row r="39" spans="1:4">
      <c r="A39" s="287"/>
      <c r="B39" s="563"/>
      <c r="C39" s="286"/>
      <c r="D39" s="564"/>
    </row>
    <row r="40" spans="1:4">
      <c r="A40" s="287"/>
      <c r="B40" s="563"/>
      <c r="C40" s="286"/>
      <c r="D40" s="564"/>
    </row>
    <row r="41" spans="1:4">
      <c r="A41" s="287"/>
      <c r="B41" s="563"/>
      <c r="C41" s="286"/>
      <c r="D41" s="564"/>
    </row>
    <row r="42" spans="1:4">
      <c r="A42" s="287"/>
      <c r="B42" s="563"/>
      <c r="C42" s="286"/>
      <c r="D42" s="564"/>
    </row>
    <row r="43" spans="1:4">
      <c r="A43" s="287"/>
      <c r="B43" s="563"/>
      <c r="C43" s="286"/>
      <c r="D43" s="564"/>
    </row>
    <row r="44" spans="1:4">
      <c r="A44" s="287"/>
      <c r="B44" s="563"/>
      <c r="C44" s="286"/>
      <c r="D44" s="564"/>
    </row>
    <row r="45" spans="1:4">
      <c r="A45" s="287"/>
      <c r="B45" s="563"/>
      <c r="C45" s="286"/>
      <c r="D45" s="564"/>
    </row>
    <row r="46" spans="1:4">
      <c r="A46" s="287"/>
      <c r="B46" s="563"/>
      <c r="C46" s="286"/>
      <c r="D46" s="564"/>
    </row>
    <row r="47" spans="1:4">
      <c r="A47" s="287"/>
      <c r="B47" s="563"/>
      <c r="C47" s="286"/>
      <c r="D47" s="564"/>
    </row>
    <row r="48" spans="1:4">
      <c r="A48" s="287"/>
      <c r="B48" s="563"/>
      <c r="C48" s="286"/>
      <c r="D48" s="564"/>
    </row>
    <row r="49" spans="1:4">
      <c r="A49" s="287"/>
      <c r="B49" s="563"/>
      <c r="C49" s="286"/>
      <c r="D49" s="564"/>
    </row>
    <row r="50" spans="1:4">
      <c r="A50" s="287"/>
      <c r="B50" s="563"/>
      <c r="C50" s="286"/>
      <c r="D50" s="564"/>
    </row>
    <row r="51" spans="1:4">
      <c r="A51" s="287"/>
      <c r="B51" s="563"/>
      <c r="C51" s="286"/>
      <c r="D51" s="564"/>
    </row>
    <row r="52" spans="1:4">
      <c r="A52" s="287"/>
      <c r="B52" s="563"/>
      <c r="C52" s="286"/>
      <c r="D52" s="564"/>
    </row>
    <row r="53" spans="1:4">
      <c r="A53" s="287"/>
      <c r="B53" s="563"/>
      <c r="C53" s="286"/>
      <c r="D53" s="564"/>
    </row>
    <row r="54" spans="1:4">
      <c r="A54" s="287"/>
      <c r="B54" s="563"/>
      <c r="C54" s="286"/>
      <c r="D54" s="564"/>
    </row>
    <row r="55" spans="1:4">
      <c r="A55" s="287"/>
      <c r="B55" s="563"/>
      <c r="C55" s="286"/>
      <c r="D55" s="564"/>
    </row>
    <row r="56" spans="1:4">
      <c r="A56" s="287"/>
      <c r="B56" s="563"/>
      <c r="C56" s="286"/>
      <c r="D56" s="564"/>
    </row>
    <row r="57" spans="1:4">
      <c r="A57" s="287"/>
      <c r="B57" s="563"/>
      <c r="C57" s="286"/>
      <c r="D57" s="564"/>
    </row>
    <row r="58" spans="1:4">
      <c r="A58" s="287"/>
      <c r="B58" s="563"/>
      <c r="C58" s="286"/>
      <c r="D58" s="564"/>
    </row>
    <row r="59" spans="1:4">
      <c r="A59" s="287"/>
      <c r="B59" s="563"/>
      <c r="C59" s="286"/>
      <c r="D59" s="564"/>
    </row>
    <row r="60" spans="1:4">
      <c r="A60" s="287"/>
      <c r="B60" s="563"/>
      <c r="C60" s="286"/>
      <c r="D60" s="564"/>
    </row>
    <row r="61" spans="1:4">
      <c r="A61" s="287"/>
      <c r="B61" s="563"/>
      <c r="C61" s="286"/>
      <c r="D61" s="564"/>
    </row>
    <row r="62" spans="1:4">
      <c r="A62" s="287"/>
      <c r="B62" s="563"/>
      <c r="C62" s="286"/>
      <c r="D62" s="564"/>
    </row>
    <row r="63" spans="1:4">
      <c r="A63" s="287"/>
      <c r="B63" s="563"/>
      <c r="C63" s="286"/>
      <c r="D63" s="564"/>
    </row>
    <row r="64" spans="1:4">
      <c r="A64" s="287"/>
      <c r="B64" s="563"/>
      <c r="C64" s="286"/>
      <c r="D64" s="564"/>
    </row>
    <row r="65" spans="1:4">
      <c r="A65" s="287"/>
      <c r="B65" s="563"/>
      <c r="C65" s="286"/>
      <c r="D65" s="564"/>
    </row>
    <row r="66" spans="1:4">
      <c r="A66" s="287"/>
      <c r="B66" s="563"/>
      <c r="C66" s="286"/>
      <c r="D66" s="564"/>
    </row>
    <row r="67" spans="1:4">
      <c r="A67" s="287"/>
      <c r="B67" s="563"/>
      <c r="C67" s="286"/>
      <c r="D67" s="564"/>
    </row>
    <row r="68" spans="1:4">
      <c r="A68" s="287"/>
      <c r="B68" s="563"/>
      <c r="C68" s="286"/>
      <c r="D68" s="564"/>
    </row>
    <row r="69" spans="1:4">
      <c r="A69" s="287"/>
      <c r="B69" s="563"/>
      <c r="C69" s="286"/>
      <c r="D69" s="564"/>
    </row>
    <row r="70" spans="1:4">
      <c r="A70" s="287"/>
      <c r="B70" s="563"/>
      <c r="C70" s="286"/>
      <c r="D70" s="564"/>
    </row>
    <row r="71" spans="1:4">
      <c r="A71" s="287"/>
      <c r="B71" s="563"/>
      <c r="C71" s="286"/>
      <c r="D71" s="564"/>
    </row>
    <row r="72" spans="1:4">
      <c r="A72" s="287"/>
      <c r="B72" s="563"/>
      <c r="C72" s="286"/>
      <c r="D72" s="564"/>
    </row>
    <row r="73" spans="1:4">
      <c r="A73" s="287"/>
      <c r="B73" s="563"/>
      <c r="C73" s="286"/>
      <c r="D73" s="564"/>
    </row>
    <row r="74" spans="1:4">
      <c r="A74" s="287"/>
      <c r="B74" s="563"/>
      <c r="C74" s="286"/>
      <c r="D74" s="564"/>
    </row>
    <row r="75" spans="1:4">
      <c r="A75" s="287"/>
      <c r="B75" s="563"/>
      <c r="C75" s="286"/>
      <c r="D75" s="564"/>
    </row>
    <row r="76" spans="1:4">
      <c r="A76" s="287"/>
      <c r="B76" s="563"/>
      <c r="C76" s="286"/>
      <c r="D76" s="564"/>
    </row>
    <row r="77" spans="1:4">
      <c r="A77" s="287"/>
      <c r="B77" s="563"/>
      <c r="C77" s="286"/>
      <c r="D77" s="564"/>
    </row>
    <row r="78" spans="1:4">
      <c r="A78" s="287"/>
      <c r="B78" s="563"/>
      <c r="C78" s="286"/>
      <c r="D78" s="564"/>
    </row>
    <row r="79" spans="1:4">
      <c r="A79" s="287"/>
      <c r="B79" s="563"/>
      <c r="C79" s="286"/>
      <c r="D79" s="564"/>
    </row>
    <row r="80" spans="1:4">
      <c r="A80" s="287"/>
      <c r="B80" s="563"/>
      <c r="C80" s="286"/>
      <c r="D80" s="564"/>
    </row>
    <row r="81" spans="1:4">
      <c r="A81" s="287"/>
      <c r="B81" s="563"/>
      <c r="C81" s="286"/>
      <c r="D81" s="564"/>
    </row>
    <row r="82" spans="1:4">
      <c r="A82" s="287"/>
      <c r="B82" s="563"/>
      <c r="C82" s="286"/>
      <c r="D82" s="564"/>
    </row>
    <row r="83" spans="1:4">
      <c r="A83" s="287"/>
      <c r="B83" s="563"/>
      <c r="C83" s="286"/>
      <c r="D83" s="564"/>
    </row>
    <row r="84" spans="1:4">
      <c r="A84" s="287"/>
      <c r="B84" s="563"/>
      <c r="C84" s="286"/>
      <c r="D84" s="564"/>
    </row>
    <row r="85" spans="1:4">
      <c r="A85" s="287"/>
      <c r="B85" s="563"/>
      <c r="C85" s="286"/>
      <c r="D85" s="564"/>
    </row>
    <row r="86" spans="1:4">
      <c r="A86" s="287"/>
      <c r="B86" s="563"/>
      <c r="C86" s="286"/>
      <c r="D86" s="564"/>
    </row>
    <row r="87" spans="1:4">
      <c r="A87" s="287"/>
      <c r="B87" s="563"/>
      <c r="C87" s="286"/>
      <c r="D87" s="564"/>
    </row>
    <row r="88" spans="1:4">
      <c r="A88" s="287"/>
      <c r="B88" s="563"/>
      <c r="C88" s="286"/>
      <c r="D88" s="564"/>
    </row>
    <row r="89" spans="1:4">
      <c r="A89" s="287"/>
      <c r="B89" s="563"/>
      <c r="C89" s="286"/>
      <c r="D89" s="564"/>
    </row>
    <row r="90" spans="1:4">
      <c r="A90" s="287"/>
      <c r="B90" s="563"/>
      <c r="C90" s="286"/>
      <c r="D90" s="564"/>
    </row>
    <row r="91" spans="1:4">
      <c r="A91" s="287"/>
      <c r="B91" s="563"/>
      <c r="C91" s="286"/>
      <c r="D91" s="564"/>
    </row>
    <row r="92" spans="1:4">
      <c r="A92" s="287"/>
      <c r="B92" s="563"/>
      <c r="C92" s="286"/>
      <c r="D92" s="564"/>
    </row>
    <row r="93" spans="1:4">
      <c r="A93" s="287"/>
      <c r="B93" s="563"/>
      <c r="C93" s="286"/>
      <c r="D93" s="564"/>
    </row>
    <row r="94" spans="1:4">
      <c r="A94" s="287"/>
      <c r="B94" s="563"/>
      <c r="C94" s="286"/>
      <c r="D94" s="564"/>
    </row>
    <row r="95" spans="1:4">
      <c r="A95" s="287"/>
      <c r="B95" s="563"/>
      <c r="C95" s="286"/>
      <c r="D95" s="564"/>
    </row>
    <row r="96" spans="1:4">
      <c r="A96" s="287"/>
      <c r="B96" s="563"/>
      <c r="C96" s="286"/>
      <c r="D96" s="564"/>
    </row>
    <row r="97" spans="1:11">
      <c r="A97" s="287"/>
      <c r="B97" s="563"/>
      <c r="C97" s="286"/>
      <c r="D97" s="564"/>
    </row>
    <row r="98" spans="1:11">
      <c r="A98" s="287"/>
      <c r="B98" s="563"/>
      <c r="C98" s="286"/>
      <c r="D98" s="564"/>
    </row>
    <row r="99" spans="1:11">
      <c r="A99" s="287"/>
      <c r="B99" s="563"/>
      <c r="C99" s="286"/>
      <c r="D99" s="564"/>
    </row>
    <row r="112" spans="1:11">
      <c r="K112" s="571"/>
    </row>
    <row r="113" spans="11:11">
      <c r="K113" s="571"/>
    </row>
  </sheetData>
  <hyperlinks>
    <hyperlink ref="E4" r:id="rId1" xr:uid="{07FAFE3A-2768-44AB-BBA4-B39C082FA532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6">
    <tabColor rgb="FFFF0000"/>
  </sheetPr>
  <dimension ref="A1:J20"/>
  <sheetViews>
    <sheetView workbookViewId="0">
      <selection activeCell="H32" sqref="H32"/>
    </sheetView>
  </sheetViews>
  <sheetFormatPr defaultRowHeight="12.5"/>
  <cols>
    <col min="2" max="2" width="40.6328125" customWidth="1"/>
  </cols>
  <sheetData>
    <row r="1" spans="1:10">
      <c r="A1">
        <v>3</v>
      </c>
      <c r="B1" s="102" t="s">
        <v>252</v>
      </c>
      <c r="C1">
        <v>12</v>
      </c>
      <c r="G1">
        <v>1</v>
      </c>
      <c r="J1" s="57"/>
    </row>
    <row r="2" spans="1:10">
      <c r="A2">
        <v>5</v>
      </c>
      <c r="B2" s="102" t="s">
        <v>253</v>
      </c>
      <c r="C2">
        <v>6</v>
      </c>
      <c r="J2" s="57"/>
    </row>
    <row r="3" spans="1:10">
      <c r="A3">
        <v>7</v>
      </c>
      <c r="B3" s="102" t="s">
        <v>254</v>
      </c>
      <c r="C3">
        <v>12</v>
      </c>
      <c r="J3" s="57"/>
    </row>
    <row r="4" spans="1:10">
      <c r="A4">
        <v>9</v>
      </c>
      <c r="B4" s="102" t="s">
        <v>255</v>
      </c>
      <c r="C4">
        <v>6</v>
      </c>
      <c r="J4" s="57"/>
    </row>
    <row r="5" spans="1:10">
      <c r="A5">
        <v>11</v>
      </c>
      <c r="B5" s="102" t="s">
        <v>256</v>
      </c>
      <c r="C5">
        <v>12</v>
      </c>
      <c r="J5" s="57"/>
    </row>
    <row r="6" spans="1:10">
      <c r="A6">
        <v>13</v>
      </c>
      <c r="B6" s="122" t="s">
        <v>257</v>
      </c>
      <c r="C6">
        <v>6</v>
      </c>
      <c r="J6" s="57"/>
    </row>
    <row r="7" spans="1:10">
      <c r="A7">
        <v>15</v>
      </c>
      <c r="B7" s="102" t="s">
        <v>258</v>
      </c>
      <c r="C7">
        <v>6</v>
      </c>
      <c r="J7" s="57"/>
    </row>
    <row r="8" spans="1:10">
      <c r="A8">
        <v>17</v>
      </c>
      <c r="B8" s="102" t="s">
        <v>259</v>
      </c>
      <c r="C8">
        <v>6</v>
      </c>
      <c r="J8" s="57"/>
    </row>
    <row r="9" spans="1:10">
      <c r="A9">
        <v>18</v>
      </c>
      <c r="B9" s="102" t="s">
        <v>266</v>
      </c>
      <c r="C9">
        <v>6</v>
      </c>
      <c r="J9" s="57"/>
    </row>
    <row r="10" spans="1:10">
      <c r="A10">
        <v>19</v>
      </c>
      <c r="B10" s="102" t="s">
        <v>260</v>
      </c>
      <c r="C10">
        <v>12</v>
      </c>
      <c r="J10" s="57"/>
    </row>
    <row r="11" spans="1:10">
      <c r="A11">
        <v>20</v>
      </c>
      <c r="B11" s="102" t="s">
        <v>267</v>
      </c>
      <c r="C11">
        <v>12</v>
      </c>
      <c r="J11" s="57"/>
    </row>
    <row r="12" spans="1:10">
      <c r="A12">
        <v>21</v>
      </c>
      <c r="B12" s="102" t="s">
        <v>261</v>
      </c>
      <c r="C12">
        <v>12</v>
      </c>
      <c r="J12" s="57"/>
    </row>
    <row r="13" spans="1:10">
      <c r="A13">
        <v>22</v>
      </c>
      <c r="B13" s="102" t="s">
        <v>268</v>
      </c>
      <c r="C13">
        <v>6</v>
      </c>
      <c r="J13" s="57"/>
    </row>
    <row r="14" spans="1:10">
      <c r="A14">
        <v>23</v>
      </c>
      <c r="B14" s="122" t="s">
        <v>297</v>
      </c>
      <c r="C14">
        <v>6</v>
      </c>
      <c r="J14" s="57"/>
    </row>
    <row r="15" spans="1:10">
      <c r="A15">
        <v>24</v>
      </c>
      <c r="B15" s="122" t="s">
        <v>269</v>
      </c>
      <c r="C15">
        <v>6</v>
      </c>
      <c r="J15" s="57"/>
    </row>
    <row r="16" spans="1:10">
      <c r="A16">
        <v>25</v>
      </c>
      <c r="B16" s="102" t="s">
        <v>263</v>
      </c>
      <c r="C16">
        <v>12</v>
      </c>
      <c r="J16" s="57"/>
    </row>
    <row r="17" spans="1:10">
      <c r="A17">
        <v>27</v>
      </c>
      <c r="B17" s="102" t="s">
        <v>264</v>
      </c>
      <c r="C17">
        <v>6</v>
      </c>
      <c r="J17" s="57"/>
    </row>
    <row r="18" spans="1:10">
      <c r="A18">
        <v>29</v>
      </c>
      <c r="B18" s="102" t="s">
        <v>295</v>
      </c>
      <c r="C18">
        <v>12</v>
      </c>
      <c r="J18" s="57"/>
    </row>
    <row r="19" spans="1:10">
      <c r="A19">
        <v>30</v>
      </c>
      <c r="B19" s="102" t="s">
        <v>296</v>
      </c>
      <c r="C19">
        <v>12</v>
      </c>
      <c r="J19" s="57"/>
    </row>
    <row r="20" spans="1:10">
      <c r="A20">
        <v>6</v>
      </c>
      <c r="B20" s="102" t="s">
        <v>265</v>
      </c>
      <c r="C20">
        <v>12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4">
    <tabColor rgb="FFFF0000"/>
  </sheetPr>
  <dimension ref="A1:AQ218"/>
  <sheetViews>
    <sheetView zoomScale="120" zoomScaleNormal="120" workbookViewId="0">
      <selection activeCell="A16" sqref="A16:V16"/>
    </sheetView>
  </sheetViews>
  <sheetFormatPr defaultColWidth="9.08984375" defaultRowHeight="12.5"/>
  <cols>
    <col min="1" max="16384" width="9.08984375" style="136"/>
  </cols>
  <sheetData>
    <row r="1" spans="1:43" ht="17.5">
      <c r="A1" s="135" t="s">
        <v>119</v>
      </c>
    </row>
    <row r="2" spans="1:43" ht="22.5">
      <c r="A2" s="137" t="s">
        <v>231</v>
      </c>
    </row>
    <row r="3" spans="1:43" ht="18">
      <c r="A3" s="138" t="s">
        <v>120</v>
      </c>
    </row>
    <row r="4" spans="1:43" s="552" customFormat="1" ht="13.5">
      <c r="A4" s="538" t="s">
        <v>2</v>
      </c>
      <c r="B4" s="539" t="s">
        <v>3</v>
      </c>
      <c r="C4" s="540" t="s">
        <v>4</v>
      </c>
      <c r="D4" s="541" t="s">
        <v>101</v>
      </c>
      <c r="E4" s="542" t="s">
        <v>5</v>
      </c>
      <c r="F4" s="542" t="s">
        <v>7</v>
      </c>
      <c r="G4" s="543" t="s">
        <v>8</v>
      </c>
      <c r="H4" s="543"/>
      <c r="I4" s="542" t="s">
        <v>6</v>
      </c>
      <c r="J4" s="544" t="s">
        <v>9</v>
      </c>
      <c r="K4" s="545" t="s">
        <v>232</v>
      </c>
      <c r="L4" s="544" t="s">
        <v>233</v>
      </c>
      <c r="M4" s="546" t="s">
        <v>102</v>
      </c>
      <c r="N4" s="547" t="s">
        <v>10</v>
      </c>
      <c r="O4" s="548" t="s">
        <v>219</v>
      </c>
      <c r="P4" s="547" t="s">
        <v>113</v>
      </c>
      <c r="Q4" s="549" t="s">
        <v>103</v>
      </c>
      <c r="R4" s="547" t="s">
        <v>11</v>
      </c>
      <c r="S4" s="547" t="s">
        <v>117</v>
      </c>
      <c r="T4" s="541" t="s">
        <v>13</v>
      </c>
      <c r="U4" s="550" t="s">
        <v>12</v>
      </c>
      <c r="V4" s="139"/>
      <c r="W4" s="551"/>
      <c r="X4" s="551"/>
    </row>
    <row r="5" spans="1:43" s="140" customFormat="1" ht="12" customHeight="1">
      <c r="B5" s="141"/>
      <c r="C5" s="142"/>
      <c r="D5" s="143"/>
      <c r="E5" s="143"/>
      <c r="F5" s="144"/>
      <c r="G5" s="553">
        <f>ROUND((F5/((9.266*EXP(-0.04555*E5)+5.374))*100),0)</f>
        <v>0</v>
      </c>
      <c r="H5" s="553"/>
      <c r="I5" s="144"/>
      <c r="J5" s="143"/>
      <c r="K5" s="144"/>
      <c r="L5" s="145"/>
      <c r="M5" s="144"/>
      <c r="N5" s="144"/>
      <c r="O5" s="146"/>
      <c r="P5" s="146"/>
      <c r="Q5" s="147"/>
      <c r="R5" s="144"/>
      <c r="S5" s="147"/>
      <c r="T5" s="147"/>
      <c r="U5" s="147"/>
      <c r="V5" s="147"/>
      <c r="W5" s="148"/>
      <c r="X5" s="149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1"/>
      <c r="AM5" s="151"/>
      <c r="AN5" s="151"/>
      <c r="AO5" s="151"/>
      <c r="AP5" s="152"/>
      <c r="AQ5" s="153">
        <v>0.02</v>
      </c>
    </row>
    <row r="6" spans="1:43" s="150" customFormat="1"/>
    <row r="7" spans="1:43" s="150" customFormat="1"/>
    <row r="8" spans="1:43" s="150" customFormat="1"/>
    <row r="9" spans="1:43" s="150" customFormat="1"/>
    <row r="10" spans="1:43" s="150" customFormat="1"/>
    <row r="11" spans="1:43" s="150" customFormat="1"/>
    <row r="12" spans="1:43" s="150" customFormat="1"/>
    <row r="13" spans="1:43" s="150" customFormat="1">
      <c r="A13" s="698"/>
      <c r="B13" s="698"/>
      <c r="C13" s="698"/>
      <c r="D13" s="698"/>
      <c r="E13" s="698"/>
      <c r="F13" s="698"/>
      <c r="G13" s="698"/>
      <c r="H13" s="698"/>
      <c r="I13" s="698"/>
      <c r="J13" s="698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</row>
    <row r="14" spans="1:43" s="150" customFormat="1"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</row>
    <row r="15" spans="1:43" s="150" customFormat="1">
      <c r="A15" s="150" t="s">
        <v>234</v>
      </c>
    </row>
    <row r="16" spans="1:43" s="698" customFormat="1">
      <c r="A16" s="696">
        <v>22</v>
      </c>
      <c r="B16" s="696">
        <v>3</v>
      </c>
      <c r="C16" s="696">
        <v>1</v>
      </c>
      <c r="D16" s="696">
        <v>2</v>
      </c>
      <c r="E16" s="696">
        <v>8</v>
      </c>
      <c r="F16" s="696">
        <v>6</v>
      </c>
      <c r="G16" s="696">
        <v>9</v>
      </c>
      <c r="H16" s="696">
        <v>7</v>
      </c>
      <c r="I16" s="696">
        <v>5</v>
      </c>
      <c r="J16" s="699">
        <v>14</v>
      </c>
      <c r="K16" s="699">
        <v>18</v>
      </c>
      <c r="L16" s="699">
        <v>11</v>
      </c>
      <c r="M16" s="699">
        <v>12</v>
      </c>
      <c r="N16" s="699">
        <v>13</v>
      </c>
      <c r="O16" s="699">
        <v>15</v>
      </c>
      <c r="P16" s="699">
        <v>16</v>
      </c>
      <c r="Q16" s="699">
        <v>19</v>
      </c>
      <c r="R16" s="699">
        <v>20</v>
      </c>
      <c r="S16" s="699">
        <v>17</v>
      </c>
      <c r="T16" s="699">
        <v>10</v>
      </c>
      <c r="U16" s="699">
        <v>4</v>
      </c>
      <c r="V16" s="699">
        <v>21</v>
      </c>
    </row>
    <row r="17" spans="1:22" s="698" customFormat="1">
      <c r="A17" s="276" t="s">
        <v>389</v>
      </c>
      <c r="B17" s="276" t="s">
        <v>355</v>
      </c>
      <c r="C17" s="276" t="s">
        <v>356</v>
      </c>
      <c r="D17" s="276" t="s">
        <v>357</v>
      </c>
      <c r="E17" s="276" t="s">
        <v>121</v>
      </c>
      <c r="F17" s="276" t="s">
        <v>122</v>
      </c>
      <c r="G17" s="276" t="s">
        <v>123</v>
      </c>
      <c r="H17" s="276" t="s">
        <v>124</v>
      </c>
      <c r="I17" s="276" t="s">
        <v>125</v>
      </c>
      <c r="J17" s="276" t="s">
        <v>390</v>
      </c>
      <c r="K17" s="276" t="s">
        <v>391</v>
      </c>
      <c r="L17" s="276" t="s">
        <v>358</v>
      </c>
      <c r="M17" s="276" t="s">
        <v>359</v>
      </c>
      <c r="N17" s="276" t="s">
        <v>360</v>
      </c>
      <c r="O17" s="276" t="s">
        <v>361</v>
      </c>
      <c r="P17" s="276" t="s">
        <v>362</v>
      </c>
      <c r="Q17" s="276" t="s">
        <v>363</v>
      </c>
      <c r="R17" s="276" t="s">
        <v>364</v>
      </c>
      <c r="S17" s="276" t="s">
        <v>365</v>
      </c>
      <c r="T17" s="276" t="s">
        <v>392</v>
      </c>
      <c r="U17" s="276" t="s">
        <v>393</v>
      </c>
      <c r="V17" s="276" t="s">
        <v>332</v>
      </c>
    </row>
    <row r="18" spans="1:22" s="698" customFormat="1" ht="13.5">
      <c r="A18" s="575" t="s">
        <v>6</v>
      </c>
      <c r="B18" s="575" t="s">
        <v>9</v>
      </c>
      <c r="C18" s="575" t="s">
        <v>116</v>
      </c>
      <c r="D18" s="575" t="s">
        <v>128</v>
      </c>
      <c r="E18" s="576" t="s">
        <v>102</v>
      </c>
      <c r="F18" s="577" t="s">
        <v>10</v>
      </c>
      <c r="G18" s="577" t="s">
        <v>129</v>
      </c>
      <c r="H18" s="578" t="s">
        <v>103</v>
      </c>
      <c r="I18" s="577" t="s">
        <v>11</v>
      </c>
      <c r="J18" s="575" t="s">
        <v>372</v>
      </c>
      <c r="K18" s="183" t="s">
        <v>335</v>
      </c>
      <c r="L18" s="183" t="s">
        <v>336</v>
      </c>
      <c r="M18" s="184" t="s">
        <v>337</v>
      </c>
      <c r="N18" s="183" t="s">
        <v>330</v>
      </c>
      <c r="O18" s="183" t="s">
        <v>338</v>
      </c>
      <c r="P18" s="183" t="s">
        <v>339</v>
      </c>
      <c r="Q18" s="183" t="s">
        <v>340</v>
      </c>
      <c r="R18" s="183" t="s">
        <v>331</v>
      </c>
      <c r="S18" s="183" t="s">
        <v>341</v>
      </c>
      <c r="T18" s="183" t="s">
        <v>342</v>
      </c>
      <c r="U18" s="183" t="s">
        <v>332</v>
      </c>
      <c r="V18" s="183" t="s">
        <v>334</v>
      </c>
    </row>
    <row r="19" spans="1:22" s="734" customFormat="1">
      <c r="A19" s="577">
        <v>1</v>
      </c>
      <c r="B19" s="577">
        <v>2</v>
      </c>
      <c r="C19" s="577">
        <v>3</v>
      </c>
      <c r="D19" s="577">
        <v>4</v>
      </c>
      <c r="E19" s="577">
        <v>5</v>
      </c>
      <c r="F19" s="577">
        <v>6</v>
      </c>
      <c r="G19" s="577">
        <v>7</v>
      </c>
      <c r="H19" s="577">
        <v>8</v>
      </c>
      <c r="I19" s="577">
        <v>9</v>
      </c>
      <c r="J19" s="577">
        <v>10</v>
      </c>
      <c r="K19" s="577">
        <v>11</v>
      </c>
      <c r="L19" s="577">
        <v>12</v>
      </c>
      <c r="M19" s="577">
        <v>13</v>
      </c>
      <c r="N19" s="577">
        <v>14</v>
      </c>
      <c r="O19" s="577">
        <v>15</v>
      </c>
      <c r="P19" s="577">
        <v>16</v>
      </c>
      <c r="Q19" s="577">
        <v>17</v>
      </c>
      <c r="R19" s="577">
        <v>18</v>
      </c>
      <c r="S19" s="577">
        <v>19</v>
      </c>
      <c r="T19" s="577">
        <v>20</v>
      </c>
      <c r="U19" s="577">
        <v>21</v>
      </c>
      <c r="V19" s="577">
        <v>22</v>
      </c>
    </row>
    <row r="20" spans="1:22" s="150" customFormat="1">
      <c r="A20" s="150" t="s">
        <v>235</v>
      </c>
    </row>
    <row r="21" spans="1:22" s="150" customFormat="1">
      <c r="A21" s="150" t="s">
        <v>236</v>
      </c>
    </row>
    <row r="22" spans="1:22" s="150" customFormat="1"/>
    <row r="23" spans="1:22" s="150" customFormat="1"/>
    <row r="24" spans="1:22" s="150" customFormat="1"/>
    <row r="25" spans="1:22" s="150" customFormat="1"/>
    <row r="26" spans="1:22" s="150" customFormat="1"/>
    <row r="27" spans="1:22" s="150" customFormat="1"/>
    <row r="28" spans="1:22" s="150" customFormat="1"/>
    <row r="29" spans="1:22" s="150" customFormat="1"/>
    <row r="30" spans="1:22" s="150" customFormat="1"/>
    <row r="31" spans="1:22" s="150" customFormat="1"/>
    <row r="32" spans="1:22" s="150" customFormat="1"/>
    <row r="33" s="150" customFormat="1"/>
    <row r="34" s="150" customFormat="1"/>
    <row r="35" s="150" customFormat="1"/>
    <row r="36" s="150" customFormat="1"/>
    <row r="37" s="150" customFormat="1"/>
    <row r="38" s="150" customFormat="1"/>
    <row r="39" s="150" customFormat="1"/>
    <row r="40" s="150" customFormat="1"/>
    <row r="41" s="150" customFormat="1"/>
    <row r="42" s="150" customFormat="1"/>
    <row r="43" s="150" customFormat="1"/>
    <row r="44" s="150" customFormat="1"/>
    <row r="45" s="150" customFormat="1"/>
    <row r="46" s="150" customFormat="1"/>
    <row r="47" s="150" customFormat="1"/>
    <row r="48" s="150" customFormat="1"/>
    <row r="49" s="150" customFormat="1"/>
    <row r="50" s="150" customFormat="1"/>
    <row r="51" s="150" customFormat="1"/>
    <row r="52" s="150" customFormat="1"/>
    <row r="53" s="150" customFormat="1"/>
    <row r="54" s="150" customFormat="1"/>
    <row r="55" s="150" customFormat="1"/>
    <row r="56" s="150" customFormat="1"/>
    <row r="57" s="150" customFormat="1"/>
    <row r="58" s="150" customFormat="1"/>
    <row r="59" s="150" customFormat="1"/>
    <row r="60" s="150" customFormat="1"/>
    <row r="61" s="150" customFormat="1"/>
    <row r="62" s="150" customFormat="1"/>
    <row r="63" s="150" customFormat="1"/>
    <row r="64" s="150" customFormat="1"/>
    <row r="65" s="150" customFormat="1"/>
    <row r="66" s="150" customFormat="1"/>
    <row r="67" s="150" customFormat="1"/>
    <row r="68" s="150" customFormat="1"/>
    <row r="69" s="150" customFormat="1"/>
    <row r="70" s="150" customFormat="1"/>
    <row r="71" s="150" customFormat="1"/>
    <row r="72" s="150" customFormat="1"/>
    <row r="73" s="150" customFormat="1"/>
    <row r="74" s="150" customFormat="1"/>
    <row r="75" s="150" customFormat="1"/>
    <row r="76" s="150" customFormat="1"/>
    <row r="77" s="150" customFormat="1"/>
    <row r="78" s="150" customFormat="1"/>
    <row r="79" s="150" customFormat="1"/>
    <row r="80" s="150" customFormat="1"/>
    <row r="81" s="150" customFormat="1"/>
    <row r="82" s="150" customFormat="1"/>
    <row r="83" s="150" customFormat="1"/>
    <row r="84" s="150" customFormat="1"/>
    <row r="85" s="150" customFormat="1"/>
    <row r="86" s="150" customFormat="1"/>
    <row r="87" s="150" customFormat="1"/>
    <row r="88" s="150" customFormat="1"/>
    <row r="89" s="150" customFormat="1"/>
    <row r="90" s="150" customFormat="1"/>
    <row r="91" s="150" customFormat="1"/>
    <row r="92" s="150" customFormat="1"/>
    <row r="93" s="150" customFormat="1"/>
    <row r="94" s="150" customFormat="1"/>
    <row r="95" s="150" customFormat="1"/>
    <row r="96" s="150" customFormat="1"/>
    <row r="97" s="150" customFormat="1"/>
    <row r="98" s="150" customFormat="1"/>
    <row r="99" s="150" customFormat="1"/>
    <row r="100" s="150" customFormat="1"/>
    <row r="101" s="150" customFormat="1"/>
    <row r="102" s="150" customFormat="1"/>
    <row r="103" s="150" customFormat="1"/>
    <row r="104" s="150" customFormat="1"/>
    <row r="105" s="150" customFormat="1"/>
    <row r="106" s="150" customFormat="1"/>
    <row r="107" s="150" customFormat="1"/>
    <row r="108" s="150" customFormat="1"/>
    <row r="109" s="150" customFormat="1"/>
    <row r="110" s="150" customFormat="1"/>
    <row r="111" s="150" customFormat="1"/>
    <row r="112" s="150" customFormat="1"/>
    <row r="113" s="150" customFormat="1"/>
    <row r="114" s="150" customFormat="1"/>
    <row r="115" s="150" customFormat="1"/>
    <row r="116" s="150" customFormat="1"/>
    <row r="117" s="150" customFormat="1"/>
    <row r="118" s="150" customFormat="1"/>
    <row r="119" s="150" customFormat="1"/>
    <row r="120" s="150" customFormat="1"/>
    <row r="121" s="150" customFormat="1"/>
    <row r="122" s="150" customFormat="1"/>
    <row r="123" s="150" customFormat="1"/>
    <row r="124" s="150" customFormat="1"/>
    <row r="125" s="150" customFormat="1"/>
    <row r="126" s="150" customFormat="1"/>
    <row r="127" s="150" customFormat="1"/>
    <row r="128" s="150" customFormat="1"/>
    <row r="129" s="150" customFormat="1"/>
    <row r="130" s="150" customFormat="1"/>
    <row r="131" s="150" customFormat="1"/>
    <row r="132" s="150" customFormat="1"/>
    <row r="133" s="150" customFormat="1"/>
    <row r="134" s="150" customFormat="1"/>
    <row r="135" s="150" customFormat="1"/>
    <row r="136" s="150" customFormat="1"/>
    <row r="137" s="150" customFormat="1"/>
    <row r="138" s="150" customFormat="1"/>
    <row r="139" s="150" customFormat="1"/>
    <row r="140" s="150" customFormat="1"/>
    <row r="141" s="150" customFormat="1"/>
    <row r="142" s="150" customFormat="1"/>
    <row r="143" s="150" customFormat="1"/>
    <row r="144" s="150" customFormat="1"/>
    <row r="145" s="150" customFormat="1"/>
    <row r="146" s="150" customFormat="1"/>
    <row r="147" s="150" customFormat="1"/>
    <row r="148" s="150" customFormat="1"/>
    <row r="149" s="150" customFormat="1"/>
    <row r="150" s="150" customFormat="1"/>
    <row r="151" s="150" customFormat="1"/>
    <row r="152" s="150" customFormat="1"/>
    <row r="153" s="150" customFormat="1"/>
    <row r="154" s="150" customFormat="1"/>
    <row r="155" s="150" customFormat="1"/>
    <row r="156" s="150" customFormat="1"/>
    <row r="157" s="150" customFormat="1"/>
    <row r="158" s="150" customFormat="1"/>
    <row r="159" s="150" customFormat="1"/>
    <row r="160" s="150" customFormat="1"/>
    <row r="161" s="150" customFormat="1"/>
    <row r="162" s="150" customFormat="1"/>
    <row r="163" s="150" customFormat="1"/>
    <row r="164" s="150" customFormat="1"/>
    <row r="165" s="150" customFormat="1"/>
    <row r="166" s="150" customFormat="1"/>
    <row r="167" s="150" customFormat="1"/>
    <row r="168" s="150" customFormat="1"/>
    <row r="169" s="150" customFormat="1"/>
    <row r="170" s="150" customFormat="1"/>
    <row r="171" s="150" customFormat="1"/>
    <row r="172" s="150" customFormat="1"/>
    <row r="173" s="150" customFormat="1"/>
    <row r="174" s="150" customFormat="1"/>
    <row r="175" s="150" customFormat="1"/>
    <row r="176" s="150" customFormat="1"/>
    <row r="177" s="150" customFormat="1"/>
    <row r="178" s="150" customFormat="1"/>
    <row r="179" s="150" customFormat="1"/>
    <row r="180" s="150" customFormat="1"/>
    <row r="181" s="150" customFormat="1"/>
    <row r="182" s="150" customFormat="1"/>
    <row r="183" s="150" customFormat="1"/>
    <row r="184" s="150" customFormat="1"/>
    <row r="185" s="150" customFormat="1"/>
    <row r="186" s="150" customFormat="1"/>
    <row r="187" s="150" customFormat="1"/>
    <row r="188" s="150" customFormat="1"/>
    <row r="189" s="150" customFormat="1"/>
    <row r="190" s="150" customFormat="1"/>
    <row r="191" s="150" customFormat="1"/>
    <row r="192" s="150" customFormat="1"/>
    <row r="193" s="150" customFormat="1"/>
    <row r="194" s="150" customFormat="1"/>
    <row r="195" s="150" customFormat="1"/>
    <row r="196" s="150" customFormat="1"/>
    <row r="197" s="150" customFormat="1"/>
    <row r="198" s="150" customFormat="1"/>
    <row r="199" s="150" customFormat="1"/>
    <row r="200" s="150" customFormat="1"/>
    <row r="201" s="150" customFormat="1"/>
    <row r="202" s="150" customFormat="1"/>
    <row r="203" s="150" customFormat="1"/>
    <row r="204" s="150" customFormat="1"/>
    <row r="205" s="150" customFormat="1"/>
    <row r="206" s="150" customFormat="1"/>
    <row r="207" s="150" customFormat="1"/>
    <row r="208" s="150" customFormat="1"/>
    <row r="209" s="150" customFormat="1"/>
    <row r="210" s="150" customFormat="1"/>
    <row r="211" s="150" customFormat="1"/>
    <row r="212" s="150" customFormat="1"/>
    <row r="213" s="150" customFormat="1"/>
    <row r="214" s="150" customFormat="1"/>
    <row r="215" s="150" customFormat="1"/>
    <row r="216" s="150" customFormat="1"/>
    <row r="217" s="150" customFormat="1"/>
    <row r="218" s="150" customFormat="1"/>
  </sheetData>
  <sheetProtection formatCells="0" formatColumns="0" formatRows="0" insertColumns="0" insertRows="0" insertHyperlinks="0" deleteColumns="0" deleteRows="0" sort="0" autoFilter="0" pivotTables="0"/>
  <conditionalFormatting sqref="X5:AK5">
    <cfRule type="cellIs" priority="15" stopIfTrue="1" operator="between">
      <formula>0.000000001</formula>
      <formula>100000000</formula>
    </cfRule>
  </conditionalFormatting>
  <conditionalFormatting sqref="W5">
    <cfRule type="cellIs" priority="16" stopIfTrue="1" operator="between">
      <formula>0.000000001</formula>
      <formula>100000000</formula>
    </cfRule>
  </conditionalFormatting>
  <conditionalFormatting sqref="J5 N5 P5:R5">
    <cfRule type="cellIs" priority="17" stopIfTrue="1" operator="between">
      <formula>0.000000001</formula>
      <formula>100000000</formula>
    </cfRule>
  </conditionalFormatting>
  <conditionalFormatting sqref="E5">
    <cfRule type="cellIs" dxfId="32" priority="18" stopIfTrue="1" operator="between">
      <formula>3</formula>
      <formula>5</formula>
    </cfRule>
    <cfRule type="cellIs" dxfId="31" priority="19" stopIfTrue="1" operator="between">
      <formula>2.99</formula>
      <formula>1</formula>
    </cfRule>
    <cfRule type="cellIs" dxfId="30" priority="20" stopIfTrue="1" operator="between">
      <formula>1</formula>
      <formula>0.01</formula>
    </cfRule>
  </conditionalFormatting>
  <conditionalFormatting sqref="L5">
    <cfRule type="cellIs" dxfId="29" priority="21" stopIfTrue="1" operator="between">
      <formula>1</formula>
      <formula>2.5</formula>
    </cfRule>
    <cfRule type="cellIs" dxfId="28" priority="22" stopIfTrue="1" operator="between">
      <formula>2.56</formula>
      <formula>7</formula>
    </cfRule>
    <cfRule type="cellIs" dxfId="27" priority="23" stopIfTrue="1" operator="between">
      <formula>7.1</formula>
      <formula>300</formula>
    </cfRule>
  </conditionalFormatting>
  <conditionalFormatting sqref="K5">
    <cfRule type="cellIs" dxfId="26" priority="24" stopIfTrue="1" operator="between">
      <formula>25</formula>
      <formula>60</formula>
    </cfRule>
    <cfRule type="cellIs" dxfId="25" priority="25" stopIfTrue="1" operator="between">
      <formula>61</formula>
      <formula>100</formula>
    </cfRule>
    <cfRule type="cellIs" dxfId="24" priority="26" stopIfTrue="1" operator="between">
      <formula>101</formula>
      <formula>3000</formula>
    </cfRule>
  </conditionalFormatting>
  <conditionalFormatting sqref="O5">
    <cfRule type="cellIs" dxfId="23" priority="27" stopIfTrue="1" operator="between">
      <formula>25</formula>
      <formula>50</formula>
    </cfRule>
    <cfRule type="cellIs" dxfId="22" priority="28" stopIfTrue="1" operator="between">
      <formula>51</formula>
      <formula>100</formula>
    </cfRule>
    <cfRule type="cellIs" dxfId="21" priority="29" stopIfTrue="1" operator="between">
      <formula>101</formula>
      <formula>2000</formula>
    </cfRule>
  </conditionalFormatting>
  <conditionalFormatting sqref="S5">
    <cfRule type="cellIs" dxfId="20" priority="30" stopIfTrue="1" operator="between">
      <formula>625</formula>
      <formula>1250</formula>
    </cfRule>
    <cfRule type="cellIs" dxfId="19" priority="31" stopIfTrue="1" operator="between">
      <formula>1251</formula>
      <formula>5000</formula>
    </cfRule>
    <cfRule type="cellIs" dxfId="18" priority="32" stopIfTrue="1" operator="between">
      <formula>5001</formula>
      <formula>100000</formula>
    </cfRule>
  </conditionalFormatting>
  <conditionalFormatting sqref="V5">
    <cfRule type="cellIs" dxfId="17" priority="33" stopIfTrue="1" operator="between">
      <formula>0.01</formula>
      <formula>0.99</formula>
    </cfRule>
    <cfRule type="cellIs" dxfId="16" priority="34" stopIfTrue="1" operator="between">
      <formula>1</formula>
      <formula>2.459</formula>
    </cfRule>
    <cfRule type="cellIs" dxfId="15" priority="35" stopIfTrue="1" operator="between">
      <formula>2.5</formula>
      <formula>5</formula>
    </cfRule>
  </conditionalFormatting>
  <conditionalFormatting sqref="U5">
    <cfRule type="cellIs" dxfId="14" priority="36" stopIfTrue="1" operator="between">
      <formula>5</formula>
      <formula>12</formula>
    </cfRule>
    <cfRule type="cellIs" dxfId="13" priority="37" stopIfTrue="1" operator="between">
      <formula>12.01</formula>
      <formula>25</formula>
    </cfRule>
    <cfRule type="cellIs" dxfId="12" priority="38" stopIfTrue="1" operator="between">
      <formula>25.01</formula>
      <formula>200</formula>
    </cfRule>
  </conditionalFormatting>
  <conditionalFormatting sqref="M5">
    <cfRule type="cellIs" dxfId="11" priority="39" stopIfTrue="1" operator="between">
      <formula>32</formula>
      <formula>47</formula>
    </cfRule>
    <cfRule type="cellIs" dxfId="10" priority="40" stopIfTrue="1" operator="between">
      <formula>47.01</formula>
      <formula>63</formula>
    </cfRule>
    <cfRule type="cellIs" dxfId="9" priority="41" stopIfTrue="1" operator="between">
      <formula>63.01</formula>
      <formula>2000</formula>
    </cfRule>
  </conditionalFormatting>
  <conditionalFormatting sqref="T5">
    <cfRule type="cellIs" dxfId="8" priority="42" stopIfTrue="1" operator="between">
      <formula>0.05</formula>
      <formula>0.12</formula>
    </cfRule>
  </conditionalFormatting>
  <conditionalFormatting sqref="T5">
    <cfRule type="cellIs" dxfId="7" priority="43" stopIfTrue="1" operator="between">
      <formula>0.121</formula>
      <formula>0.2</formula>
    </cfRule>
  </conditionalFormatting>
  <conditionalFormatting sqref="T5">
    <cfRule type="cellIs" dxfId="6" priority="44" stopIfTrue="1" operator="between">
      <formula>0.201</formula>
      <formula>0.9</formula>
    </cfRule>
  </conditionalFormatting>
  <conditionalFormatting sqref="G5:H5">
    <cfRule type="cellIs" priority="7" stopIfTrue="1" operator="between">
      <formula>0.000000001</formula>
      <formula>100000000</formula>
    </cfRule>
  </conditionalFormatting>
  <conditionalFormatting sqref="E4">
    <cfRule type="cellIs" dxfId="5" priority="11" stopIfTrue="1" operator="between">
      <formula>6.2</formula>
      <formula>6.5</formula>
    </cfRule>
    <cfRule type="cellIs" dxfId="4" priority="12" stopIfTrue="1" operator="between">
      <formula>5.6</formula>
      <formula>6.19</formula>
    </cfRule>
    <cfRule type="cellIs" dxfId="3" priority="13" stopIfTrue="1" operator="between">
      <formula>2</formula>
      <formula>5.59</formula>
    </cfRule>
  </conditionalFormatting>
  <conditionalFormatting sqref="F4:Z4">
    <cfRule type="cellIs" priority="14" stopIfTrue="1" operator="between">
      <formula>0.000000001</formula>
      <formula>100000000</formula>
    </cfRule>
  </conditionalFormatting>
  <conditionalFormatting sqref="F5 I5">
    <cfRule type="cellIs" dxfId="2" priority="8" stopIfTrue="1" operator="between">
      <formula>25</formula>
      <formula>60</formula>
    </cfRule>
    <cfRule type="cellIs" dxfId="1" priority="9" stopIfTrue="1" operator="between">
      <formula>61</formula>
      <formula>100</formula>
    </cfRule>
    <cfRule type="cellIs" dxfId="0" priority="10" stopIfTrue="1" operator="between">
      <formula>101</formula>
      <formula>3000</formula>
    </cfRule>
  </conditionalFormatting>
  <conditionalFormatting sqref="A18:C18 F18:I18 A19:J19 L19 N19 P19 R19 T19 V19">
    <cfRule type="cellIs" priority="6" stopIfTrue="1" operator="between">
      <formula>"0,000000001"</formula>
      <formula>100000000</formula>
    </cfRule>
  </conditionalFormatting>
  <conditionalFormatting sqref="E18">
    <cfRule type="cellIs" priority="5" stopIfTrue="1" operator="between">
      <formula>"0,000000001"</formula>
      <formula>100000000</formula>
    </cfRule>
  </conditionalFormatting>
  <conditionalFormatting sqref="D18">
    <cfRule type="cellIs" priority="4" stopIfTrue="1" operator="between">
      <formula>"0,000000001"</formula>
      <formula>100000000</formula>
    </cfRule>
  </conditionalFormatting>
  <conditionalFormatting sqref="K19 M19 O19 Q19 S19 U19">
    <cfRule type="cellIs" priority="3" stopIfTrue="1" operator="between">
      <formula>"0,000000001"</formula>
      <formula>100000000</formula>
    </cfRule>
  </conditionalFormatting>
  <conditionalFormatting sqref="J18">
    <cfRule type="cellIs" priority="2" stopIfTrue="1" operator="between">
      <formula>"0,000000001"</formula>
      <formula>100000000</formula>
    </cfRule>
  </conditionalFormatting>
  <conditionalFormatting sqref="K18:V18">
    <cfRule type="cellIs" priority="1" stopIfTrue="1" operator="between">
      <formula>"0,000000001"</formula>
      <formula>100000000</formula>
    </cfRule>
  </conditionalFormatting>
  <pageMargins left="0.7" right="0.7" top="0.75" bottom="0.75" header="0.3" footer="0.3"/>
  <pageSetup paperSize="9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rgb="FF92D050"/>
  </sheetPr>
  <dimension ref="A1:AS287"/>
  <sheetViews>
    <sheetView topLeftCell="B1" zoomScaleNormal="100" workbookViewId="0">
      <pane xSplit="1" ySplit="8" topLeftCell="C105" activePane="bottomRight" state="frozen"/>
      <selection activeCell="B1" sqref="B1"/>
      <selection pane="topRight" activeCell="C1" sqref="C1"/>
      <selection pane="bottomLeft" activeCell="B9" sqref="B9"/>
      <selection pane="bottomRight" activeCell="R118" sqref="R118"/>
    </sheetView>
  </sheetViews>
  <sheetFormatPr defaultColWidth="6.90625" defaultRowHeight="11.5"/>
  <cols>
    <col min="1" max="1" width="7" style="1" hidden="1" customWidth="1"/>
    <col min="2" max="2" width="40.453125" style="3" customWidth="1"/>
    <col min="3" max="3" width="11.54296875" style="9" customWidth="1"/>
    <col min="4" max="4" width="6.36328125" style="78" customWidth="1"/>
    <col min="5" max="5" width="7" style="78" customWidth="1"/>
    <col min="6" max="6" width="5.453125" style="6" customWidth="1"/>
    <col min="7" max="7" width="6" style="78" customWidth="1"/>
    <col min="8" max="8" width="6" style="8" customWidth="1"/>
    <col min="9" max="9" width="5.90625" style="78" customWidth="1"/>
    <col min="10" max="10" width="6" style="78" customWidth="1"/>
    <col min="11" max="11" width="6.36328125" style="6" customWidth="1"/>
    <col min="12" max="12" width="6" style="6" customWidth="1"/>
    <col min="13" max="13" width="8.90625" style="6" customWidth="1"/>
    <col min="14" max="14" width="7" style="6" customWidth="1"/>
    <col min="15" max="16" width="6.54296875" style="6" customWidth="1"/>
    <col min="17" max="17" width="6.54296875" style="8" customWidth="1"/>
    <col min="18" max="18" width="24" style="104" customWidth="1"/>
    <col min="19" max="16384" width="6.90625" style="3"/>
  </cols>
  <sheetData>
    <row r="1" spans="1:45" s="388" customFormat="1" ht="88.5" customHeight="1">
      <c r="A1" s="389"/>
      <c r="B1" s="390" t="s">
        <v>402</v>
      </c>
      <c r="C1" s="440"/>
      <c r="D1" s="392"/>
      <c r="E1" s="392"/>
      <c r="F1" s="393"/>
      <c r="G1" s="392"/>
      <c r="H1" s="394"/>
      <c r="I1" s="392"/>
      <c r="J1" s="392"/>
      <c r="K1" s="393"/>
      <c r="L1" s="393"/>
      <c r="M1" s="393"/>
      <c r="N1" s="393"/>
      <c r="O1" s="393"/>
      <c r="P1" s="393"/>
      <c r="Q1" s="394"/>
      <c r="R1" s="395"/>
    </row>
    <row r="2" spans="1:45" s="388" customFormat="1" ht="26.25" customHeight="1">
      <c r="A2" s="389"/>
      <c r="B2" s="440"/>
      <c r="C2" s="440"/>
      <c r="D2" s="392"/>
      <c r="E2" s="392"/>
      <c r="F2" s="393"/>
      <c r="G2" s="392"/>
      <c r="H2" s="394"/>
      <c r="I2" s="392"/>
      <c r="J2" s="392"/>
      <c r="K2" s="393"/>
      <c r="L2" s="393"/>
      <c r="M2" s="393"/>
      <c r="N2" s="393"/>
      <c r="O2" s="396"/>
      <c r="P2" s="396"/>
      <c r="Q2" s="726"/>
      <c r="R2" s="395"/>
    </row>
    <row r="3" spans="1:45" ht="28.25" customHeight="1">
      <c r="B3" s="335" t="s">
        <v>246</v>
      </c>
      <c r="C3" s="598" t="s">
        <v>250</v>
      </c>
      <c r="D3" s="250"/>
      <c r="E3" s="250"/>
      <c r="F3" s="251"/>
      <c r="G3" s="250"/>
      <c r="H3" s="252"/>
      <c r="I3" s="250"/>
      <c r="J3" s="250"/>
      <c r="K3" s="251"/>
      <c r="L3" s="251"/>
      <c r="M3" s="251"/>
      <c r="N3" s="253"/>
      <c r="O3" s="254"/>
      <c r="P3" s="254"/>
      <c r="Q3" s="727"/>
      <c r="R3" s="254"/>
      <c r="S3" s="256"/>
      <c r="T3" s="257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</row>
    <row r="4" spans="1:45" ht="20">
      <c r="B4" s="336"/>
      <c r="C4" s="600" t="s">
        <v>251</v>
      </c>
      <c r="D4" s="250"/>
      <c r="E4" s="250"/>
      <c r="F4" s="251"/>
      <c r="G4" s="250"/>
      <c r="H4" s="252"/>
      <c r="I4" s="250"/>
      <c r="J4" s="250"/>
      <c r="K4" s="251"/>
      <c r="L4" s="251"/>
      <c r="M4" s="251"/>
      <c r="N4" s="254"/>
      <c r="O4" s="254"/>
      <c r="P4" s="254"/>
      <c r="Q4" s="727"/>
      <c r="R4" s="255"/>
      <c r="S4" s="256"/>
      <c r="T4" s="257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</row>
    <row r="5" spans="1:45" ht="20">
      <c r="B5" s="337"/>
      <c r="C5" s="599" t="s">
        <v>249</v>
      </c>
      <c r="D5" s="250"/>
      <c r="E5" s="250"/>
      <c r="F5" s="251"/>
      <c r="G5" s="250"/>
      <c r="H5" s="252"/>
      <c r="I5" s="250"/>
      <c r="J5" s="250"/>
      <c r="K5" s="251"/>
      <c r="L5" s="251"/>
      <c r="M5" s="251"/>
      <c r="N5" s="254"/>
      <c r="O5" s="254"/>
      <c r="P5" s="254"/>
      <c r="Q5" s="727"/>
      <c r="R5" s="254"/>
      <c r="S5" s="256"/>
      <c r="T5" s="257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</row>
    <row r="6" spans="1:45" s="61" customFormat="1" ht="26.25" customHeight="1">
      <c r="A6" s="60"/>
      <c r="B6" s="259"/>
      <c r="C6" s="260"/>
      <c r="D6" s="250"/>
      <c r="E6" s="250"/>
      <c r="F6" s="251"/>
      <c r="G6" s="261"/>
      <c r="H6" s="252"/>
      <c r="I6" s="250"/>
      <c r="J6" s="250"/>
      <c r="K6" s="251"/>
      <c r="L6" s="251"/>
      <c r="M6" s="251"/>
      <c r="N6" s="251"/>
      <c r="O6" s="251"/>
      <c r="P6" s="251"/>
      <c r="Q6" s="252"/>
      <c r="R6" s="262"/>
      <c r="S6" s="263"/>
      <c r="T6" s="263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</row>
    <row r="7" spans="1:45" s="580" customFormat="1" ht="11.25" customHeight="1">
      <c r="A7" s="572" t="s">
        <v>2</v>
      </c>
      <c r="B7" s="573" t="s">
        <v>3</v>
      </c>
      <c r="C7" s="574" t="s">
        <v>4</v>
      </c>
      <c r="D7" s="575" t="s">
        <v>5</v>
      </c>
      <c r="E7" s="575" t="s">
        <v>7</v>
      </c>
      <c r="F7" s="576" t="s">
        <v>8</v>
      </c>
      <c r="G7" s="575" t="s">
        <v>6</v>
      </c>
      <c r="H7" s="575" t="s">
        <v>9</v>
      </c>
      <c r="I7" s="575" t="s">
        <v>116</v>
      </c>
      <c r="J7" s="575" t="s">
        <v>128</v>
      </c>
      <c r="K7" s="576" t="s">
        <v>102</v>
      </c>
      <c r="L7" s="577" t="s">
        <v>10</v>
      </c>
      <c r="M7" s="577" t="s">
        <v>129</v>
      </c>
      <c r="N7" s="578" t="s">
        <v>103</v>
      </c>
      <c r="O7" s="577" t="s">
        <v>11</v>
      </c>
      <c r="P7" s="575" t="s">
        <v>372</v>
      </c>
      <c r="Q7" s="575" t="s">
        <v>270</v>
      </c>
      <c r="R7" s="573" t="s">
        <v>13</v>
      </c>
      <c r="S7" s="579"/>
      <c r="V7" s="576"/>
    </row>
    <row r="8" spans="1:45" s="589" customFormat="1" ht="12">
      <c r="A8" s="581" t="s">
        <v>14</v>
      </c>
      <c r="B8" s="582" t="s">
        <v>15</v>
      </c>
      <c r="C8" s="583" t="s">
        <v>16</v>
      </c>
      <c r="D8" s="584" t="s">
        <v>17</v>
      </c>
      <c r="E8" s="584" t="s">
        <v>106</v>
      </c>
      <c r="F8" s="584" t="s">
        <v>114</v>
      </c>
      <c r="G8" s="584"/>
      <c r="H8" s="584" t="s">
        <v>104</v>
      </c>
      <c r="I8" s="584" t="s">
        <v>105</v>
      </c>
      <c r="J8" s="584" t="s">
        <v>106</v>
      </c>
      <c r="K8" s="585" t="s">
        <v>19</v>
      </c>
      <c r="L8" s="586" t="s">
        <v>19</v>
      </c>
      <c r="M8" s="587" t="s">
        <v>20</v>
      </c>
      <c r="N8" s="586" t="s">
        <v>20</v>
      </c>
      <c r="O8" s="586" t="s">
        <v>20</v>
      </c>
      <c r="P8" s="584" t="s">
        <v>19</v>
      </c>
      <c r="Q8" s="584" t="s">
        <v>271</v>
      </c>
      <c r="R8" s="588"/>
      <c r="S8" s="582"/>
      <c r="V8" s="585"/>
    </row>
    <row r="9" spans="1:45" s="460" customFormat="1" ht="17.25" customHeight="1">
      <c r="A9" s="473">
        <v>250</v>
      </c>
      <c r="B9" s="474" t="s">
        <v>96</v>
      </c>
      <c r="C9" s="479"/>
      <c r="D9" s="508"/>
      <c r="E9" s="508"/>
      <c r="F9" s="509"/>
      <c r="G9" s="508"/>
      <c r="H9" s="510"/>
      <c r="I9" s="511"/>
      <c r="J9" s="608"/>
      <c r="K9" s="509"/>
      <c r="L9" s="509"/>
      <c r="M9" s="509"/>
      <c r="N9" s="509"/>
      <c r="O9" s="509"/>
      <c r="P9" s="509"/>
      <c r="Q9" s="510"/>
      <c r="R9" s="512"/>
      <c r="S9" s="458"/>
      <c r="T9" s="459"/>
    </row>
    <row r="10" spans="1:45" s="102" customFormat="1" ht="12" customHeight="1">
      <c r="A10" s="118">
        <v>3</v>
      </c>
      <c r="B10" s="102" t="s">
        <v>252</v>
      </c>
      <c r="C10" s="125">
        <v>45671</v>
      </c>
      <c r="D10" s="193">
        <v>2.8</v>
      </c>
      <c r="E10" s="193">
        <v>13.79</v>
      </c>
      <c r="F10" s="214">
        <f t="shared" ref="F10:F28" si="0">IF(E10&lt;&gt;"",ROUND((E10/((9.266*EXP(-0.04555*D10)+5.374))*100),0),"")</f>
        <v>102</v>
      </c>
      <c r="G10" s="193">
        <v>8</v>
      </c>
      <c r="H10" s="193">
        <v>7.6</v>
      </c>
      <c r="I10" s="193">
        <v>45.8</v>
      </c>
      <c r="J10" s="193">
        <v>1.5</v>
      </c>
      <c r="K10" s="189">
        <v>42</v>
      </c>
      <c r="L10" s="189">
        <v>84</v>
      </c>
      <c r="M10" s="189">
        <v>4000</v>
      </c>
      <c r="N10" s="189">
        <v>53</v>
      </c>
      <c r="O10" s="189">
        <v>4500</v>
      </c>
      <c r="P10" s="189"/>
      <c r="Q10" s="193"/>
      <c r="R10" s="200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</row>
    <row r="11" spans="1:45" s="102" customFormat="1" ht="12" customHeight="1">
      <c r="A11" s="118">
        <v>5</v>
      </c>
      <c r="B11" s="102" t="s">
        <v>253</v>
      </c>
      <c r="C11" s="125">
        <v>45671</v>
      </c>
      <c r="D11" s="193">
        <v>1.8</v>
      </c>
      <c r="E11" s="193">
        <v>12.94</v>
      </c>
      <c r="F11" s="214">
        <f t="shared" si="0"/>
        <v>93</v>
      </c>
      <c r="G11" s="193">
        <v>7.9</v>
      </c>
      <c r="H11" s="193">
        <v>6.8</v>
      </c>
      <c r="I11" s="193">
        <v>45</v>
      </c>
      <c r="J11" s="193">
        <v>1.4</v>
      </c>
      <c r="K11" s="189">
        <v>42</v>
      </c>
      <c r="L11" s="189">
        <v>92</v>
      </c>
      <c r="M11" s="189">
        <v>3200</v>
      </c>
      <c r="N11" s="189">
        <v>74</v>
      </c>
      <c r="O11" s="189">
        <v>4000</v>
      </c>
      <c r="P11" s="189"/>
      <c r="Q11" s="193"/>
      <c r="R11" s="200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</row>
    <row r="12" spans="1:45" s="102" customFormat="1" ht="12" customHeight="1">
      <c r="A12" s="118">
        <v>6</v>
      </c>
      <c r="B12" s="102" t="s">
        <v>265</v>
      </c>
      <c r="C12" s="125">
        <v>45671</v>
      </c>
      <c r="D12" s="193">
        <v>2.2000000000000002</v>
      </c>
      <c r="E12" s="193">
        <v>13.14</v>
      </c>
      <c r="F12" s="214">
        <f t="shared" si="0"/>
        <v>96</v>
      </c>
      <c r="G12" s="193">
        <v>7.9</v>
      </c>
      <c r="H12" s="193">
        <v>7.7</v>
      </c>
      <c r="I12" s="193">
        <v>43.7</v>
      </c>
      <c r="J12" s="193">
        <v>1.5</v>
      </c>
      <c r="K12" s="189">
        <v>40</v>
      </c>
      <c r="L12" s="189">
        <v>89</v>
      </c>
      <c r="M12" s="189">
        <v>2900</v>
      </c>
      <c r="N12" s="189">
        <v>91</v>
      </c>
      <c r="O12" s="189">
        <v>3500</v>
      </c>
      <c r="P12" s="189"/>
      <c r="Q12" s="193"/>
      <c r="R12" s="200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</row>
    <row r="13" spans="1:45" s="102" customFormat="1" ht="12" customHeight="1">
      <c r="A13" s="118">
        <v>7</v>
      </c>
      <c r="B13" s="102" t="s">
        <v>254</v>
      </c>
      <c r="C13" s="125">
        <v>45671</v>
      </c>
      <c r="D13" s="193">
        <v>2.4</v>
      </c>
      <c r="E13" s="193">
        <v>13.24</v>
      </c>
      <c r="F13" s="214">
        <f t="shared" si="0"/>
        <v>97</v>
      </c>
      <c r="G13" s="193">
        <v>8.1999999999999993</v>
      </c>
      <c r="H13" s="193">
        <v>5.7</v>
      </c>
      <c r="I13" s="193">
        <v>40.4</v>
      </c>
      <c r="J13" s="193">
        <v>1.4</v>
      </c>
      <c r="K13" s="189">
        <v>47</v>
      </c>
      <c r="L13" s="189">
        <v>78</v>
      </c>
      <c r="M13" s="189">
        <v>3100</v>
      </c>
      <c r="N13" s="189">
        <v>24</v>
      </c>
      <c r="O13" s="189">
        <v>3700</v>
      </c>
      <c r="P13" s="189"/>
      <c r="Q13" s="193"/>
      <c r="R13" s="200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</row>
    <row r="14" spans="1:45" s="102" customFormat="1" ht="12" customHeight="1">
      <c r="A14" s="118">
        <v>9</v>
      </c>
      <c r="B14" s="102" t="s">
        <v>255</v>
      </c>
      <c r="C14" s="125">
        <v>45670</v>
      </c>
      <c r="D14" s="193">
        <v>1.2</v>
      </c>
      <c r="E14" s="193">
        <v>14.28</v>
      </c>
      <c r="F14" s="214">
        <f t="shared" si="0"/>
        <v>101</v>
      </c>
      <c r="G14" s="193">
        <v>8.1</v>
      </c>
      <c r="H14" s="193">
        <v>5.5</v>
      </c>
      <c r="I14" s="193">
        <v>46.4</v>
      </c>
      <c r="J14" s="193">
        <v>1.2</v>
      </c>
      <c r="K14" s="189">
        <v>37</v>
      </c>
      <c r="L14" s="189">
        <v>58</v>
      </c>
      <c r="M14" s="189">
        <v>8100</v>
      </c>
      <c r="N14" s="189">
        <v>19</v>
      </c>
      <c r="O14" s="189">
        <v>8200</v>
      </c>
      <c r="P14" s="189"/>
      <c r="Q14" s="193"/>
      <c r="R14" s="200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1"/>
      <c r="AE14" s="461"/>
      <c r="AF14" s="461"/>
      <c r="AG14" s="461"/>
      <c r="AH14" s="461"/>
      <c r="AI14" s="461"/>
      <c r="AJ14" s="461"/>
      <c r="AK14" s="461"/>
      <c r="AL14" s="461"/>
      <c r="AM14" s="461"/>
      <c r="AN14" s="461"/>
      <c r="AO14" s="461"/>
      <c r="AP14" s="461"/>
      <c r="AQ14" s="461"/>
      <c r="AR14" s="461"/>
      <c r="AS14" s="461"/>
    </row>
    <row r="15" spans="1:45" s="102" customFormat="1" ht="12" customHeight="1">
      <c r="A15" s="118">
        <v>11</v>
      </c>
      <c r="B15" s="102" t="s">
        <v>256</v>
      </c>
      <c r="C15" s="125">
        <v>45670</v>
      </c>
      <c r="D15" s="193">
        <v>0.2</v>
      </c>
      <c r="E15" s="193">
        <v>14.46</v>
      </c>
      <c r="F15" s="214">
        <f t="shared" si="0"/>
        <v>99</v>
      </c>
      <c r="G15" s="193">
        <v>8</v>
      </c>
      <c r="H15" s="193">
        <v>8.9</v>
      </c>
      <c r="I15" s="193">
        <v>49.1</v>
      </c>
      <c r="J15" s="193">
        <v>1.6</v>
      </c>
      <c r="K15" s="189">
        <v>38</v>
      </c>
      <c r="L15" s="189">
        <v>71</v>
      </c>
      <c r="M15" s="189">
        <v>6700</v>
      </c>
      <c r="N15" s="189">
        <v>67</v>
      </c>
      <c r="O15" s="189">
        <v>6600</v>
      </c>
      <c r="P15" s="189"/>
      <c r="Q15" s="193"/>
      <c r="R15" s="200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  <c r="AS15" s="461"/>
    </row>
    <row r="16" spans="1:45" s="102" customFormat="1" ht="12" customHeight="1">
      <c r="A16" s="118">
        <v>13</v>
      </c>
      <c r="B16" s="102" t="s">
        <v>257</v>
      </c>
      <c r="C16" s="125">
        <v>45671</v>
      </c>
      <c r="D16" s="193">
        <v>2.6</v>
      </c>
      <c r="E16" s="193">
        <v>13.47</v>
      </c>
      <c r="F16" s="214">
        <f t="shared" si="0"/>
        <v>99</v>
      </c>
      <c r="G16" s="193">
        <v>8.1</v>
      </c>
      <c r="H16" s="193">
        <v>3.2</v>
      </c>
      <c r="I16" s="193">
        <v>47.2</v>
      </c>
      <c r="J16" s="193">
        <v>1.2</v>
      </c>
      <c r="K16" s="189">
        <v>32</v>
      </c>
      <c r="L16" s="189">
        <v>62</v>
      </c>
      <c r="M16" s="189">
        <v>6300</v>
      </c>
      <c r="N16" s="189">
        <v>67</v>
      </c>
      <c r="O16" s="189">
        <v>6600</v>
      </c>
      <c r="P16" s="189"/>
      <c r="Q16" s="193"/>
      <c r="R16" s="200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</row>
    <row r="17" spans="1:45" s="102" customFormat="1" ht="12" customHeight="1">
      <c r="A17" s="118">
        <v>15</v>
      </c>
      <c r="B17" s="102" t="s">
        <v>258</v>
      </c>
      <c r="C17" s="125">
        <v>45671</v>
      </c>
      <c r="D17" s="193">
        <v>3.2</v>
      </c>
      <c r="E17" s="193">
        <v>12.46</v>
      </c>
      <c r="F17" s="214">
        <f t="shared" si="0"/>
        <v>93</v>
      </c>
      <c r="G17" s="193">
        <v>8</v>
      </c>
      <c r="H17" s="193">
        <v>5.2</v>
      </c>
      <c r="I17" s="193">
        <v>56.8</v>
      </c>
      <c r="J17" s="193">
        <v>1.2</v>
      </c>
      <c r="K17" s="189">
        <v>22</v>
      </c>
      <c r="L17" s="189">
        <v>49</v>
      </c>
      <c r="M17" s="189">
        <v>6900</v>
      </c>
      <c r="N17" s="189">
        <v>140</v>
      </c>
      <c r="O17" s="189">
        <v>7200</v>
      </c>
      <c r="P17" s="189"/>
      <c r="Q17" s="193"/>
      <c r="R17" s="200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  <c r="AS17" s="461"/>
    </row>
    <row r="18" spans="1:45" s="102" customFormat="1" ht="12" customHeight="1">
      <c r="A18" s="118">
        <v>17</v>
      </c>
      <c r="B18" s="102" t="s">
        <v>259</v>
      </c>
      <c r="C18" s="125">
        <v>45671</v>
      </c>
      <c r="D18" s="193">
        <v>2.2000000000000002</v>
      </c>
      <c r="E18" s="193">
        <v>13.57</v>
      </c>
      <c r="F18" s="214">
        <f t="shared" si="0"/>
        <v>99</v>
      </c>
      <c r="G18" s="193">
        <v>7.8</v>
      </c>
      <c r="H18" s="193">
        <v>9.5</v>
      </c>
      <c r="I18" s="193">
        <v>37.799999999999997</v>
      </c>
      <c r="J18" s="193">
        <v>1.3</v>
      </c>
      <c r="K18" s="189">
        <v>17</v>
      </c>
      <c r="L18" s="189">
        <v>79</v>
      </c>
      <c r="M18" s="189">
        <v>3900</v>
      </c>
      <c r="N18" s="189">
        <v>71</v>
      </c>
      <c r="O18" s="189">
        <v>4700</v>
      </c>
      <c r="P18" s="189"/>
      <c r="Q18" s="193"/>
      <c r="R18" s="200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</row>
    <row r="19" spans="1:45" s="102" customFormat="1" ht="12" customHeight="1">
      <c r="A19" s="118">
        <v>18</v>
      </c>
      <c r="B19" s="102" t="s">
        <v>266</v>
      </c>
      <c r="C19" s="125">
        <v>45670</v>
      </c>
      <c r="D19" s="193">
        <v>0.4</v>
      </c>
      <c r="E19" s="193">
        <v>14.05</v>
      </c>
      <c r="F19" s="214">
        <f t="shared" si="0"/>
        <v>97</v>
      </c>
      <c r="G19" s="193">
        <v>8.1999999999999993</v>
      </c>
      <c r="H19" s="193">
        <v>2.6</v>
      </c>
      <c r="I19" s="193">
        <v>52</v>
      </c>
      <c r="J19" s="193">
        <v>1.1000000000000001</v>
      </c>
      <c r="K19" s="189">
        <v>25</v>
      </c>
      <c r="L19" s="189">
        <v>41</v>
      </c>
      <c r="M19" s="189">
        <v>8100</v>
      </c>
      <c r="N19" s="189">
        <v>19</v>
      </c>
      <c r="O19" s="189">
        <v>8100</v>
      </c>
      <c r="P19" s="189"/>
      <c r="Q19" s="193"/>
      <c r="R19" s="200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1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  <c r="AS19" s="461"/>
    </row>
    <row r="20" spans="1:45" s="102" customFormat="1" ht="12" customHeight="1">
      <c r="A20" s="118">
        <v>19</v>
      </c>
      <c r="B20" s="102" t="s">
        <v>260</v>
      </c>
      <c r="C20" s="125">
        <v>45671</v>
      </c>
      <c r="D20" s="193">
        <v>3</v>
      </c>
      <c r="E20" s="193">
        <v>13.31</v>
      </c>
      <c r="F20" s="214">
        <f t="shared" si="0"/>
        <v>99</v>
      </c>
      <c r="G20" s="193">
        <v>8</v>
      </c>
      <c r="H20" s="193">
        <v>4.4000000000000004</v>
      </c>
      <c r="I20" s="193">
        <v>54.1</v>
      </c>
      <c r="J20" s="193">
        <v>1.5</v>
      </c>
      <c r="K20" s="189">
        <v>40</v>
      </c>
      <c r="L20" s="189">
        <v>74</v>
      </c>
      <c r="M20" s="189">
        <v>7500</v>
      </c>
      <c r="N20" s="189">
        <v>230</v>
      </c>
      <c r="O20" s="189">
        <v>7800</v>
      </c>
      <c r="P20" s="189"/>
      <c r="Q20" s="193"/>
      <c r="R20" s="200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61"/>
      <c r="AE20" s="461"/>
      <c r="AF20" s="461"/>
      <c r="AG20" s="461"/>
      <c r="AH20" s="461"/>
      <c r="AI20" s="461"/>
      <c r="AJ20" s="461"/>
      <c r="AK20" s="461"/>
      <c r="AL20" s="461"/>
      <c r="AM20" s="461"/>
      <c r="AN20" s="461"/>
      <c r="AO20" s="461"/>
      <c r="AP20" s="461"/>
      <c r="AQ20" s="461"/>
      <c r="AR20" s="461"/>
      <c r="AS20" s="461"/>
    </row>
    <row r="21" spans="1:45" s="102" customFormat="1" ht="12" customHeight="1">
      <c r="A21" s="118">
        <v>20</v>
      </c>
      <c r="B21" s="102" t="s">
        <v>267</v>
      </c>
      <c r="C21" s="125">
        <v>45671</v>
      </c>
      <c r="D21" s="193">
        <v>3.5</v>
      </c>
      <c r="E21" s="193">
        <v>13.15</v>
      </c>
      <c r="F21" s="214">
        <f t="shared" si="0"/>
        <v>99</v>
      </c>
      <c r="G21" s="193">
        <v>8</v>
      </c>
      <c r="H21" s="193">
        <v>9.9</v>
      </c>
      <c r="I21" s="193">
        <v>55.1</v>
      </c>
      <c r="J21" s="193">
        <v>2.1</v>
      </c>
      <c r="K21" s="189">
        <v>37</v>
      </c>
      <c r="L21" s="189">
        <v>100</v>
      </c>
      <c r="M21" s="189">
        <v>6700</v>
      </c>
      <c r="N21" s="189">
        <v>320</v>
      </c>
      <c r="O21" s="189">
        <v>7400</v>
      </c>
      <c r="P21" s="189"/>
      <c r="Q21" s="193"/>
      <c r="R21" s="200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1"/>
      <c r="AL21" s="461"/>
      <c r="AM21" s="461"/>
      <c r="AN21" s="461"/>
      <c r="AO21" s="461"/>
      <c r="AP21" s="461"/>
      <c r="AQ21" s="461"/>
      <c r="AR21" s="461"/>
      <c r="AS21" s="461"/>
    </row>
    <row r="22" spans="1:45" s="102" customFormat="1" ht="12" customHeight="1">
      <c r="A22" s="118">
        <v>21</v>
      </c>
      <c r="B22" s="102" t="s">
        <v>261</v>
      </c>
      <c r="C22" s="125">
        <v>45671</v>
      </c>
      <c r="D22" s="193">
        <v>3.1</v>
      </c>
      <c r="E22" s="193">
        <v>13.32</v>
      </c>
      <c r="F22" s="214">
        <f t="shared" si="0"/>
        <v>99</v>
      </c>
      <c r="G22" s="193">
        <v>8</v>
      </c>
      <c r="H22" s="193">
        <v>12</v>
      </c>
      <c r="I22" s="193">
        <v>49.7</v>
      </c>
      <c r="J22" s="193">
        <v>1.3</v>
      </c>
      <c r="K22" s="189">
        <v>42</v>
      </c>
      <c r="L22" s="189">
        <v>100</v>
      </c>
      <c r="M22" s="189">
        <v>8100</v>
      </c>
      <c r="N22" s="189">
        <v>76</v>
      </c>
      <c r="O22" s="189">
        <v>8200</v>
      </c>
      <c r="P22" s="189"/>
      <c r="Q22" s="193"/>
      <c r="R22" s="200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</row>
    <row r="23" spans="1:45" s="102" customFormat="1" ht="12" customHeight="1">
      <c r="A23" s="118">
        <v>22</v>
      </c>
      <c r="B23" s="102" t="s">
        <v>268</v>
      </c>
      <c r="C23" s="125">
        <v>45671</v>
      </c>
      <c r="D23" s="193">
        <v>2.8</v>
      </c>
      <c r="E23" s="193">
        <v>13.16</v>
      </c>
      <c r="F23" s="214">
        <f t="shared" si="0"/>
        <v>97</v>
      </c>
      <c r="G23" s="193">
        <v>7.9</v>
      </c>
      <c r="H23" s="193">
        <v>6.6</v>
      </c>
      <c r="I23" s="193">
        <v>40.9</v>
      </c>
      <c r="J23" s="193">
        <v>1.4</v>
      </c>
      <c r="K23" s="189">
        <v>36</v>
      </c>
      <c r="L23" s="189">
        <v>82</v>
      </c>
      <c r="M23" s="189">
        <v>6000</v>
      </c>
      <c r="N23" s="189">
        <v>82</v>
      </c>
      <c r="O23" s="189">
        <v>6500</v>
      </c>
      <c r="P23" s="189"/>
      <c r="Q23" s="193"/>
      <c r="R23" s="200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</row>
    <row r="24" spans="1:45" s="102" customFormat="1" ht="12" customHeight="1">
      <c r="A24" s="118">
        <v>23</v>
      </c>
      <c r="B24" s="122" t="s">
        <v>297</v>
      </c>
      <c r="C24" s="125">
        <v>45671</v>
      </c>
      <c r="D24" s="193">
        <v>3.7</v>
      </c>
      <c r="E24" s="193">
        <v>12.54</v>
      </c>
      <c r="F24" s="214">
        <f t="shared" si="0"/>
        <v>95</v>
      </c>
      <c r="G24" s="193">
        <v>7.9</v>
      </c>
      <c r="H24" s="193">
        <v>17</v>
      </c>
      <c r="I24" s="193">
        <v>66.599999999999994</v>
      </c>
      <c r="J24" s="193">
        <v>2</v>
      </c>
      <c r="K24" s="189">
        <v>18</v>
      </c>
      <c r="L24" s="189">
        <v>71</v>
      </c>
      <c r="M24" s="189">
        <v>6400</v>
      </c>
      <c r="N24" s="189">
        <v>220</v>
      </c>
      <c r="O24" s="189">
        <v>7100</v>
      </c>
      <c r="P24" s="189"/>
      <c r="Q24" s="193"/>
      <c r="R24" s="200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</row>
    <row r="25" spans="1:45" s="102" customFormat="1" ht="12" customHeight="1">
      <c r="A25" s="118">
        <v>24</v>
      </c>
      <c r="B25" s="102" t="s">
        <v>269</v>
      </c>
      <c r="C25" s="125">
        <v>45671</v>
      </c>
      <c r="D25" s="193">
        <v>3.7</v>
      </c>
      <c r="E25" s="193">
        <v>12.92</v>
      </c>
      <c r="F25" s="214">
        <f t="shared" si="0"/>
        <v>98</v>
      </c>
      <c r="G25" s="193">
        <v>8</v>
      </c>
      <c r="H25" s="193">
        <v>14</v>
      </c>
      <c r="I25" s="193">
        <v>60.1</v>
      </c>
      <c r="J25" s="193">
        <v>1.7</v>
      </c>
      <c r="K25" s="189">
        <v>20</v>
      </c>
      <c r="L25" s="189">
        <v>52</v>
      </c>
      <c r="M25" s="189">
        <v>5600</v>
      </c>
      <c r="N25" s="189">
        <v>200</v>
      </c>
      <c r="O25" s="189">
        <v>6200</v>
      </c>
      <c r="P25" s="189"/>
      <c r="Q25" s="193"/>
      <c r="R25" s="200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</row>
    <row r="26" spans="1:45" s="102" customFormat="1" ht="12" customHeight="1">
      <c r="A26" s="118">
        <v>25</v>
      </c>
      <c r="B26" s="102" t="s">
        <v>263</v>
      </c>
      <c r="C26" s="125">
        <v>45671</v>
      </c>
      <c r="D26" s="193">
        <v>1</v>
      </c>
      <c r="E26" s="193">
        <v>12.02</v>
      </c>
      <c r="F26" s="214">
        <f t="shared" si="0"/>
        <v>84</v>
      </c>
      <c r="G26" s="193">
        <v>7.7</v>
      </c>
      <c r="H26" s="193">
        <v>7.8</v>
      </c>
      <c r="I26" s="193">
        <v>42.3</v>
      </c>
      <c r="J26" s="193">
        <v>1.5</v>
      </c>
      <c r="K26" s="189">
        <v>27</v>
      </c>
      <c r="L26" s="189">
        <v>66</v>
      </c>
      <c r="M26" s="189">
        <v>1600</v>
      </c>
      <c r="N26" s="189">
        <v>170</v>
      </c>
      <c r="O26" s="189">
        <v>2300</v>
      </c>
      <c r="P26" s="189"/>
      <c r="Q26" s="193"/>
      <c r="R26" s="200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1"/>
      <c r="AP26" s="461"/>
      <c r="AQ26" s="461"/>
      <c r="AR26" s="461"/>
      <c r="AS26" s="461"/>
    </row>
    <row r="27" spans="1:45" s="102" customFormat="1" ht="12" customHeight="1">
      <c r="A27" s="118">
        <v>27</v>
      </c>
      <c r="B27" s="102" t="s">
        <v>264</v>
      </c>
      <c r="C27" s="125">
        <v>45671</v>
      </c>
      <c r="D27" s="193">
        <v>2.2000000000000002</v>
      </c>
      <c r="E27" s="193">
        <v>12.84</v>
      </c>
      <c r="F27" s="214">
        <f t="shared" si="0"/>
        <v>93</v>
      </c>
      <c r="G27" s="193">
        <v>8.1</v>
      </c>
      <c r="H27" s="193">
        <v>1.9</v>
      </c>
      <c r="I27" s="193">
        <v>34.9</v>
      </c>
      <c r="J27" s="193">
        <v>1.5</v>
      </c>
      <c r="K27" s="189">
        <v>31</v>
      </c>
      <c r="L27" s="189">
        <v>50</v>
      </c>
      <c r="M27" s="189">
        <v>1100</v>
      </c>
      <c r="N27" s="189">
        <v>140</v>
      </c>
      <c r="O27" s="189">
        <v>1800</v>
      </c>
      <c r="P27" s="189"/>
      <c r="Q27" s="193"/>
      <c r="R27" s="200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</row>
    <row r="28" spans="1:45" s="102" customFormat="1" ht="12" customHeight="1">
      <c r="A28" s="118">
        <v>29</v>
      </c>
      <c r="B28" s="102" t="s">
        <v>295</v>
      </c>
      <c r="C28" s="125">
        <v>45670</v>
      </c>
      <c r="D28" s="193">
        <v>1.5</v>
      </c>
      <c r="E28" s="193">
        <v>13.74</v>
      </c>
      <c r="F28" s="214">
        <f t="shared" si="0"/>
        <v>98</v>
      </c>
      <c r="G28" s="193">
        <v>8.1999999999999993</v>
      </c>
      <c r="H28" s="193">
        <v>6.4</v>
      </c>
      <c r="I28" s="193">
        <v>41</v>
      </c>
      <c r="J28" s="193"/>
      <c r="K28" s="189">
        <v>44</v>
      </c>
      <c r="L28" s="189">
        <v>82</v>
      </c>
      <c r="M28" s="189">
        <v>3700</v>
      </c>
      <c r="N28" s="189">
        <v>18</v>
      </c>
      <c r="O28" s="189">
        <v>4000</v>
      </c>
      <c r="P28" s="189"/>
      <c r="Q28" s="193">
        <v>1.5</v>
      </c>
      <c r="R28" s="200" t="s">
        <v>424</v>
      </c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1"/>
      <c r="AP28" s="461"/>
      <c r="AQ28" s="461"/>
      <c r="AR28" s="461"/>
      <c r="AS28" s="461"/>
    </row>
    <row r="29" spans="1:45" s="102" customFormat="1" ht="12" customHeight="1">
      <c r="A29" s="118">
        <v>30</v>
      </c>
      <c r="B29" s="102" t="s">
        <v>296</v>
      </c>
      <c r="C29" s="125">
        <v>45670</v>
      </c>
      <c r="D29" s="193">
        <v>2</v>
      </c>
      <c r="E29" s="193">
        <v>13.24</v>
      </c>
      <c r="F29" s="214">
        <f>IF(E29&lt;&gt;"",ROUND((E29/((9.266*EXP(-0.04555*D29)+5.374))*100),0),"")</f>
        <v>96</v>
      </c>
      <c r="G29" s="193"/>
      <c r="H29" s="193"/>
      <c r="I29" s="193"/>
      <c r="J29" s="193"/>
      <c r="K29" s="189">
        <v>34</v>
      </c>
      <c r="L29" s="189">
        <v>84</v>
      </c>
      <c r="M29" s="189">
        <v>3100</v>
      </c>
      <c r="N29" s="189">
        <v>17</v>
      </c>
      <c r="O29" s="189">
        <v>3500</v>
      </c>
      <c r="P29" s="189"/>
      <c r="Q29" s="193"/>
      <c r="R29" s="200" t="s">
        <v>425</v>
      </c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</row>
    <row r="30" spans="1:45">
      <c r="A30" s="1">
        <v>200</v>
      </c>
      <c r="B30" s="62" t="s">
        <v>97</v>
      </c>
      <c r="C30" s="125"/>
      <c r="D30" s="554"/>
      <c r="E30" s="554" t="s">
        <v>407</v>
      </c>
      <c r="F30" s="269"/>
      <c r="G30" s="187"/>
      <c r="H30" s="187"/>
      <c r="I30" s="187"/>
      <c r="J30" s="187"/>
      <c r="K30" s="188"/>
      <c r="L30" s="188"/>
      <c r="M30" s="188"/>
      <c r="N30" s="188"/>
      <c r="O30" s="188"/>
      <c r="P30" s="188"/>
      <c r="Q30" s="187"/>
      <c r="R30" s="200"/>
      <c r="S30" s="462"/>
      <c r="T30" s="463"/>
      <c r="U30" s="464"/>
      <c r="V30" s="464"/>
      <c r="W30" s="460"/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/>
      <c r="AJ30" s="460"/>
      <c r="AK30" s="460"/>
      <c r="AL30" s="460"/>
      <c r="AM30" s="460"/>
      <c r="AN30" s="460"/>
      <c r="AO30" s="460"/>
      <c r="AP30" s="460"/>
      <c r="AQ30" s="460"/>
      <c r="AR30" s="460"/>
      <c r="AS30" s="460"/>
    </row>
    <row r="31" spans="1:45" s="460" customFormat="1" ht="17.25" customHeight="1">
      <c r="A31" s="473">
        <v>250</v>
      </c>
      <c r="B31" s="474" t="s">
        <v>21</v>
      </c>
      <c r="C31" s="475"/>
      <c r="D31" s="476"/>
      <c r="E31" s="476"/>
      <c r="F31" s="555"/>
      <c r="G31" s="476"/>
      <c r="H31" s="476"/>
      <c r="I31" s="476"/>
      <c r="J31" s="476"/>
      <c r="K31" s="477"/>
      <c r="L31" s="477"/>
      <c r="M31" s="477"/>
      <c r="N31" s="477"/>
      <c r="O31" s="477"/>
      <c r="P31" s="477"/>
      <c r="Q31" s="476"/>
      <c r="R31" s="478"/>
      <c r="S31" s="465"/>
      <c r="T31" s="463"/>
      <c r="U31" s="464"/>
      <c r="V31" s="464"/>
    </row>
    <row r="32" spans="1:45" s="102" customFormat="1" ht="12" customHeight="1">
      <c r="A32" s="117">
        <v>3</v>
      </c>
      <c r="B32" s="102" t="s">
        <v>252</v>
      </c>
      <c r="C32" s="125">
        <v>45706</v>
      </c>
      <c r="D32" s="193">
        <v>1</v>
      </c>
      <c r="E32" s="193">
        <v>14.72</v>
      </c>
      <c r="F32" s="214">
        <f t="shared" ref="F32:F41" si="1">IF(E32&lt;&gt;"",ROUND((E32/((9.266*EXP(-0.04555*D32)+5.374))*100),0),"")</f>
        <v>103</v>
      </c>
      <c r="G32" s="193">
        <v>8</v>
      </c>
      <c r="H32" s="193">
        <v>4.9000000000000004</v>
      </c>
      <c r="I32" s="193">
        <v>47.1</v>
      </c>
      <c r="J32" s="193">
        <v>1.1000000000000001</v>
      </c>
      <c r="K32" s="189">
        <v>37</v>
      </c>
      <c r="L32" s="189">
        <v>62</v>
      </c>
      <c r="M32" s="189">
        <v>3500</v>
      </c>
      <c r="N32" s="189">
        <v>60</v>
      </c>
      <c r="O32" s="189">
        <v>4100</v>
      </c>
      <c r="P32" s="189"/>
      <c r="Q32" s="193"/>
      <c r="R32" s="202"/>
      <c r="S32" s="466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61"/>
      <c r="AR32" s="461"/>
      <c r="AS32" s="461"/>
    </row>
    <row r="33" spans="1:45" s="102" customFormat="1" ht="12" customHeight="1">
      <c r="A33" s="117">
        <v>6</v>
      </c>
      <c r="B33" s="102" t="s">
        <v>265</v>
      </c>
      <c r="C33" s="125">
        <v>45706</v>
      </c>
      <c r="D33" s="193">
        <v>1.7</v>
      </c>
      <c r="E33" s="193">
        <v>13.91</v>
      </c>
      <c r="F33" s="214">
        <f t="shared" si="1"/>
        <v>100</v>
      </c>
      <c r="G33" s="193">
        <v>8</v>
      </c>
      <c r="H33" s="193">
        <v>4.4000000000000004</v>
      </c>
      <c r="I33" s="193">
        <v>43.9</v>
      </c>
      <c r="J33" s="193">
        <v>1.2</v>
      </c>
      <c r="K33" s="189">
        <v>38</v>
      </c>
      <c r="L33" s="189">
        <v>64</v>
      </c>
      <c r="M33" s="189">
        <v>3000</v>
      </c>
      <c r="N33" s="189">
        <v>65</v>
      </c>
      <c r="O33" s="189">
        <v>3600</v>
      </c>
      <c r="P33" s="189"/>
      <c r="Q33" s="193"/>
      <c r="R33" s="202"/>
      <c r="S33" s="466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461"/>
      <c r="AJ33" s="461"/>
      <c r="AK33" s="461"/>
      <c r="AL33" s="461"/>
      <c r="AM33" s="461"/>
      <c r="AN33" s="461"/>
      <c r="AO33" s="461"/>
      <c r="AP33" s="461"/>
      <c r="AQ33" s="461"/>
      <c r="AR33" s="461"/>
      <c r="AS33" s="461"/>
    </row>
    <row r="34" spans="1:45" s="102" customFormat="1" ht="12" customHeight="1">
      <c r="A34" s="117">
        <v>7</v>
      </c>
      <c r="B34" s="122" t="s">
        <v>254</v>
      </c>
      <c r="C34" s="125">
        <v>45706</v>
      </c>
      <c r="D34" s="193">
        <v>2.1</v>
      </c>
      <c r="E34" s="193">
        <v>14.37</v>
      </c>
      <c r="F34" s="214">
        <f t="shared" si="1"/>
        <v>104</v>
      </c>
      <c r="G34" s="193">
        <v>8.1999999999999993</v>
      </c>
      <c r="H34" s="193">
        <v>2.8</v>
      </c>
      <c r="I34" s="193">
        <v>42.1</v>
      </c>
      <c r="J34" s="193">
        <v>0.9</v>
      </c>
      <c r="K34" s="189">
        <v>43</v>
      </c>
      <c r="L34" s="189">
        <v>61</v>
      </c>
      <c r="M34" s="189">
        <v>3400</v>
      </c>
      <c r="N34" s="189">
        <v>28</v>
      </c>
      <c r="O34" s="189">
        <v>3700</v>
      </c>
      <c r="P34" s="189"/>
      <c r="Q34" s="193"/>
      <c r="R34" s="202"/>
      <c r="S34" s="466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</row>
    <row r="35" spans="1:45" s="102" customFormat="1" ht="12" customHeight="1">
      <c r="A35" s="117">
        <v>11</v>
      </c>
      <c r="B35" s="102" t="s">
        <v>256</v>
      </c>
      <c r="C35" s="125">
        <v>45706</v>
      </c>
      <c r="D35" s="193">
        <v>1.4</v>
      </c>
      <c r="E35" s="193">
        <v>14.3</v>
      </c>
      <c r="F35" s="214">
        <f t="shared" si="1"/>
        <v>102</v>
      </c>
      <c r="G35" s="193">
        <v>8</v>
      </c>
      <c r="H35" s="193">
        <v>3.5</v>
      </c>
      <c r="I35" s="193">
        <v>56.9</v>
      </c>
      <c r="J35" s="193">
        <v>1.5</v>
      </c>
      <c r="K35" s="189">
        <v>28</v>
      </c>
      <c r="L35" s="189">
        <v>41</v>
      </c>
      <c r="M35" s="189">
        <v>5000</v>
      </c>
      <c r="N35" s="189">
        <v>80</v>
      </c>
      <c r="O35" s="189">
        <v>5500</v>
      </c>
      <c r="P35" s="189"/>
      <c r="Q35" s="193"/>
      <c r="R35" s="202"/>
      <c r="S35" s="466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1"/>
      <c r="AQ35" s="461"/>
      <c r="AR35" s="461"/>
      <c r="AS35" s="461"/>
    </row>
    <row r="36" spans="1:45" s="102" customFormat="1" ht="12" customHeight="1">
      <c r="A36" s="117">
        <v>19</v>
      </c>
      <c r="B36" s="102" t="s">
        <v>260</v>
      </c>
      <c r="C36" s="125">
        <v>45706</v>
      </c>
      <c r="D36" s="193">
        <v>0.5</v>
      </c>
      <c r="E36" s="193">
        <v>14.71</v>
      </c>
      <c r="F36" s="214">
        <f t="shared" si="1"/>
        <v>102</v>
      </c>
      <c r="G36" s="193">
        <v>8.1</v>
      </c>
      <c r="H36" s="193">
        <v>2.5</v>
      </c>
      <c r="I36" s="193">
        <v>61.4</v>
      </c>
      <c r="J36" s="193">
        <v>1.3</v>
      </c>
      <c r="K36" s="189">
        <v>39</v>
      </c>
      <c r="L36" s="189">
        <v>62</v>
      </c>
      <c r="M36" s="189">
        <v>6400</v>
      </c>
      <c r="N36" s="189">
        <v>120</v>
      </c>
      <c r="O36" s="189">
        <v>7000</v>
      </c>
      <c r="P36" s="189"/>
      <c r="Q36" s="193"/>
      <c r="R36" s="202"/>
      <c r="S36" s="466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</row>
    <row r="37" spans="1:45" s="102" customFormat="1" ht="12" customHeight="1">
      <c r="A37" s="117">
        <v>20</v>
      </c>
      <c r="B37" s="102" t="s">
        <v>267</v>
      </c>
      <c r="C37" s="125">
        <v>45706</v>
      </c>
      <c r="D37" s="193">
        <v>2.4</v>
      </c>
      <c r="E37" s="193">
        <v>14.46</v>
      </c>
      <c r="F37" s="214">
        <f>IF(E37&lt;&gt;"",ROUND((E37/((9.266*EXP(-0.04555*D37)+5.374))*100),0),"")</f>
        <v>106</v>
      </c>
      <c r="G37" s="193">
        <v>8</v>
      </c>
      <c r="H37" s="193">
        <v>2</v>
      </c>
      <c r="I37" s="193">
        <v>59.7</v>
      </c>
      <c r="J37" s="193">
        <v>1.3</v>
      </c>
      <c r="K37" s="189">
        <v>32</v>
      </c>
      <c r="L37" s="189">
        <v>52</v>
      </c>
      <c r="M37" s="189">
        <v>6300</v>
      </c>
      <c r="N37" s="189">
        <v>97</v>
      </c>
      <c r="O37" s="189">
        <v>7000</v>
      </c>
      <c r="P37" s="189"/>
      <c r="Q37" s="193"/>
      <c r="R37" s="202"/>
      <c r="S37" s="466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</row>
    <row r="38" spans="1:45" s="102" customFormat="1" ht="12" customHeight="1">
      <c r="A38" s="117">
        <v>21</v>
      </c>
      <c r="B38" s="102" t="s">
        <v>261</v>
      </c>
      <c r="C38" s="125">
        <v>45706</v>
      </c>
      <c r="D38" s="193">
        <v>0.4</v>
      </c>
      <c r="E38" s="193">
        <v>14.99</v>
      </c>
      <c r="F38" s="214">
        <f t="shared" si="1"/>
        <v>104</v>
      </c>
      <c r="G38" s="193">
        <v>8.1</v>
      </c>
      <c r="H38" s="193">
        <v>4.9000000000000004</v>
      </c>
      <c r="I38" s="193">
        <v>55.6</v>
      </c>
      <c r="J38" s="193">
        <v>1.1000000000000001</v>
      </c>
      <c r="K38" s="189">
        <v>35</v>
      </c>
      <c r="L38" s="189">
        <v>57</v>
      </c>
      <c r="M38" s="189">
        <v>7200</v>
      </c>
      <c r="N38" s="189">
        <v>71</v>
      </c>
      <c r="O38" s="189">
        <v>7600</v>
      </c>
      <c r="P38" s="189"/>
      <c r="Q38" s="193"/>
      <c r="R38" s="202"/>
      <c r="S38" s="466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  <c r="AS38" s="461"/>
    </row>
    <row r="39" spans="1:45" s="102" customFormat="1" ht="12" customHeight="1">
      <c r="A39" s="117">
        <v>25</v>
      </c>
      <c r="B39" s="122" t="s">
        <v>263</v>
      </c>
      <c r="C39" s="125">
        <v>45706</v>
      </c>
      <c r="D39" s="193">
        <v>0.9</v>
      </c>
      <c r="E39" s="193">
        <v>13.61</v>
      </c>
      <c r="F39" s="214">
        <f t="shared" si="1"/>
        <v>95</v>
      </c>
      <c r="G39" s="193">
        <v>7.9</v>
      </c>
      <c r="H39" s="193">
        <v>5.5</v>
      </c>
      <c r="I39" s="193">
        <v>41.2</v>
      </c>
      <c r="J39" s="193">
        <v>1.5</v>
      </c>
      <c r="K39" s="189">
        <v>25</v>
      </c>
      <c r="L39" s="189">
        <v>63</v>
      </c>
      <c r="M39" s="189">
        <v>1100</v>
      </c>
      <c r="N39" s="189">
        <v>110</v>
      </c>
      <c r="O39" s="189">
        <v>1900</v>
      </c>
      <c r="P39" s="189"/>
      <c r="Q39" s="193"/>
      <c r="R39" s="202"/>
      <c r="S39" s="466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  <c r="AI39" s="461"/>
      <c r="AJ39" s="461"/>
      <c r="AK39" s="461"/>
      <c r="AL39" s="461"/>
      <c r="AM39" s="461"/>
      <c r="AN39" s="461"/>
      <c r="AO39" s="461"/>
      <c r="AP39" s="461"/>
      <c r="AQ39" s="461"/>
      <c r="AR39" s="461"/>
      <c r="AS39" s="461"/>
    </row>
    <row r="40" spans="1:45" s="102" customFormat="1" ht="12" customHeight="1">
      <c r="A40" s="118">
        <v>29</v>
      </c>
      <c r="B40" s="102" t="s">
        <v>295</v>
      </c>
      <c r="C40" s="125"/>
      <c r="D40" s="193"/>
      <c r="E40" s="193"/>
      <c r="F40" s="214" t="str">
        <f>IF(E40&lt;&gt;"",ROUND((E40/((9.266*EXP(-0.04555*D40)+5.374))*100),0),"")</f>
        <v/>
      </c>
      <c r="G40" s="193"/>
      <c r="H40" s="193"/>
      <c r="I40" s="193"/>
      <c r="J40" s="193"/>
      <c r="K40" s="189"/>
      <c r="L40" s="189"/>
      <c r="M40" s="189"/>
      <c r="N40" s="189"/>
      <c r="O40" s="189"/>
      <c r="P40" s="189"/>
      <c r="Q40" s="193"/>
      <c r="R40" s="202" t="s">
        <v>432</v>
      </c>
      <c r="S40" s="466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  <c r="AS40" s="461"/>
    </row>
    <row r="41" spans="1:45" s="102" customFormat="1" ht="12" customHeight="1">
      <c r="A41" s="118">
        <v>30</v>
      </c>
      <c r="B41" s="102" t="s">
        <v>296</v>
      </c>
      <c r="C41" s="125"/>
      <c r="D41" s="193"/>
      <c r="E41" s="193"/>
      <c r="F41" s="214" t="str">
        <f t="shared" si="1"/>
        <v/>
      </c>
      <c r="G41" s="193"/>
      <c r="H41" s="193"/>
      <c r="I41" s="193"/>
      <c r="J41" s="193"/>
      <c r="K41" s="189"/>
      <c r="L41" s="189"/>
      <c r="M41" s="189"/>
      <c r="N41" s="189"/>
      <c r="O41" s="189"/>
      <c r="P41" s="189"/>
      <c r="Q41" s="193"/>
      <c r="R41" s="202" t="s">
        <v>432</v>
      </c>
      <c r="S41" s="466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  <c r="AS41" s="461"/>
    </row>
    <row r="42" spans="1:45">
      <c r="A42" s="1">
        <v>200</v>
      </c>
      <c r="B42" s="62" t="s">
        <v>97</v>
      </c>
      <c r="C42" s="84"/>
      <c r="D42" s="554"/>
      <c r="E42" s="554" t="s">
        <v>431</v>
      </c>
      <c r="F42" s="214"/>
      <c r="G42" s="187"/>
      <c r="H42" s="187"/>
      <c r="I42" s="187"/>
      <c r="J42" s="187"/>
      <c r="K42" s="188"/>
      <c r="L42" s="188"/>
      <c r="M42" s="188"/>
      <c r="N42" s="188"/>
      <c r="O42" s="188"/>
      <c r="P42" s="188"/>
      <c r="Q42" s="187"/>
      <c r="R42" s="200"/>
      <c r="S42" s="462"/>
      <c r="T42" s="463"/>
      <c r="U42" s="464"/>
      <c r="V42" s="464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460"/>
      <c r="AM42" s="460"/>
      <c r="AN42" s="460"/>
      <c r="AO42" s="460"/>
      <c r="AP42" s="460"/>
      <c r="AQ42" s="460"/>
      <c r="AR42" s="460"/>
      <c r="AS42" s="460"/>
    </row>
    <row r="43" spans="1:45" s="460" customFormat="1" ht="17.25" customHeight="1">
      <c r="A43" s="473">
        <v>250</v>
      </c>
      <c r="B43" s="474" t="s">
        <v>22</v>
      </c>
      <c r="C43" s="479"/>
      <c r="D43" s="476"/>
      <c r="E43" s="476"/>
      <c r="F43" s="556"/>
      <c r="G43" s="476"/>
      <c r="H43" s="476"/>
      <c r="I43" s="476"/>
      <c r="J43" s="476"/>
      <c r="K43" s="477"/>
      <c r="L43" s="477"/>
      <c r="M43" s="477"/>
      <c r="N43" s="477"/>
      <c r="O43" s="477"/>
      <c r="P43" s="477"/>
      <c r="Q43" s="476"/>
      <c r="R43" s="478"/>
      <c r="S43" s="465"/>
      <c r="T43" s="463"/>
      <c r="U43" s="464"/>
      <c r="V43" s="464"/>
    </row>
    <row r="44" spans="1:45" s="102" customFormat="1" ht="12" customHeight="1">
      <c r="A44" s="118">
        <v>3</v>
      </c>
      <c r="B44" s="102" t="s">
        <v>252</v>
      </c>
      <c r="C44" s="125">
        <v>45734</v>
      </c>
      <c r="D44" s="193">
        <v>5.0999999999999996</v>
      </c>
      <c r="E44" s="193">
        <v>13.33</v>
      </c>
      <c r="F44" s="214">
        <f t="shared" ref="F44:F48" si="2">IF(E44&lt;&gt;"",ROUND((E44/((9.266*EXP(-0.04555*D43)+5.374))*100),0),"")</f>
        <v>91</v>
      </c>
      <c r="G44" s="193">
        <v>8.1</v>
      </c>
      <c r="H44" s="193">
        <v>4.8</v>
      </c>
      <c r="I44" s="193">
        <v>50</v>
      </c>
      <c r="J44" s="193">
        <v>2.4</v>
      </c>
      <c r="K44" s="189">
        <v>6.1</v>
      </c>
      <c r="L44" s="189">
        <v>51</v>
      </c>
      <c r="M44" s="189">
        <v>2700</v>
      </c>
      <c r="N44" s="189" t="s">
        <v>148</v>
      </c>
      <c r="O44" s="189">
        <v>3100</v>
      </c>
      <c r="P44" s="189"/>
      <c r="Q44" s="193"/>
      <c r="R44" s="200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  <c r="AS44" s="461"/>
    </row>
    <row r="45" spans="1:45" s="102" customFormat="1" ht="12" customHeight="1">
      <c r="A45" s="118">
        <v>5</v>
      </c>
      <c r="B45" s="102" t="s">
        <v>253</v>
      </c>
      <c r="C45" s="125">
        <v>45734</v>
      </c>
      <c r="D45" s="193">
        <v>5.0999999999999996</v>
      </c>
      <c r="E45" s="193">
        <v>11.35</v>
      </c>
      <c r="F45" s="214">
        <f t="shared" si="2"/>
        <v>89</v>
      </c>
      <c r="G45" s="193">
        <v>7.8</v>
      </c>
      <c r="H45" s="193">
        <v>5.3</v>
      </c>
      <c r="I45" s="193">
        <v>48.8</v>
      </c>
      <c r="J45" s="193">
        <v>2.2999999999999998</v>
      </c>
      <c r="K45" s="189">
        <v>14</v>
      </c>
      <c r="L45" s="189">
        <v>58</v>
      </c>
      <c r="M45" s="189">
        <v>2100</v>
      </c>
      <c r="N45" s="189">
        <v>89</v>
      </c>
      <c r="O45" s="189">
        <v>2500</v>
      </c>
      <c r="P45" s="189"/>
      <c r="Q45" s="193"/>
      <c r="R45" s="200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</row>
    <row r="46" spans="1:45" s="102" customFormat="1" ht="12" customHeight="1">
      <c r="A46" s="118">
        <v>6</v>
      </c>
      <c r="B46" s="102" t="s">
        <v>265</v>
      </c>
      <c r="C46" s="125">
        <v>45734</v>
      </c>
      <c r="D46" s="193">
        <v>4.9000000000000004</v>
      </c>
      <c r="E46" s="193">
        <v>11.48</v>
      </c>
      <c r="F46" s="214">
        <f t="shared" si="2"/>
        <v>90</v>
      </c>
      <c r="G46" s="193">
        <v>7.8</v>
      </c>
      <c r="H46" s="193">
        <v>6.3</v>
      </c>
      <c r="I46" s="193">
        <v>46.5</v>
      </c>
      <c r="J46" s="193">
        <v>2.2999999999999998</v>
      </c>
      <c r="K46" s="189">
        <v>19</v>
      </c>
      <c r="L46" s="189">
        <v>62</v>
      </c>
      <c r="M46" s="189">
        <v>1400</v>
      </c>
      <c r="N46" s="189">
        <v>110</v>
      </c>
      <c r="O46" s="189">
        <v>2000</v>
      </c>
      <c r="P46" s="189"/>
      <c r="Q46" s="193"/>
      <c r="R46" s="200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  <c r="AS46" s="461"/>
    </row>
    <row r="47" spans="1:45" s="102" customFormat="1" ht="12" customHeight="1">
      <c r="A47" s="118">
        <v>7</v>
      </c>
      <c r="B47" s="102" t="s">
        <v>254</v>
      </c>
      <c r="C47" s="125">
        <v>45728</v>
      </c>
      <c r="D47" s="193">
        <v>4.5999999999999996</v>
      </c>
      <c r="E47" s="193">
        <v>15.03</v>
      </c>
      <c r="F47" s="214">
        <f t="shared" si="2"/>
        <v>118</v>
      </c>
      <c r="G47" s="193">
        <v>8.5</v>
      </c>
      <c r="H47" s="193">
        <v>4.5999999999999996</v>
      </c>
      <c r="I47" s="193">
        <v>42</v>
      </c>
      <c r="J47" s="193">
        <v>2.8</v>
      </c>
      <c r="K47" s="189">
        <v>3.6</v>
      </c>
      <c r="L47" s="189">
        <v>49</v>
      </c>
      <c r="M47" s="189">
        <v>3000</v>
      </c>
      <c r="N47" s="189" t="s">
        <v>148</v>
      </c>
      <c r="O47" s="189">
        <v>3700</v>
      </c>
      <c r="P47" s="189"/>
      <c r="Q47" s="193"/>
      <c r="R47" s="200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</row>
    <row r="48" spans="1:45" s="102" customFormat="1" ht="12" customHeight="1">
      <c r="A48" s="118">
        <v>9</v>
      </c>
      <c r="B48" s="102" t="s">
        <v>255</v>
      </c>
      <c r="C48" s="125">
        <v>45728</v>
      </c>
      <c r="D48" s="193">
        <v>5.4</v>
      </c>
      <c r="E48" s="193">
        <v>12.93</v>
      </c>
      <c r="F48" s="214">
        <f t="shared" si="2"/>
        <v>100</v>
      </c>
      <c r="G48" s="193">
        <v>8.4</v>
      </c>
      <c r="H48" s="193">
        <v>4.5999999999999996</v>
      </c>
      <c r="I48" s="193">
        <v>53.4</v>
      </c>
      <c r="J48" s="193">
        <v>3.9</v>
      </c>
      <c r="K48" s="189">
        <v>2.8</v>
      </c>
      <c r="L48" s="189">
        <v>37</v>
      </c>
      <c r="M48" s="189">
        <v>4300</v>
      </c>
      <c r="N48" s="189" t="s">
        <v>148</v>
      </c>
      <c r="O48" s="189">
        <v>5200</v>
      </c>
      <c r="P48" s="189"/>
      <c r="Q48" s="193"/>
      <c r="R48" s="200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  <c r="AS48" s="461"/>
    </row>
    <row r="49" spans="1:45" s="102" customFormat="1" ht="12" customHeight="1">
      <c r="A49" s="118">
        <v>11</v>
      </c>
      <c r="B49" s="102" t="s">
        <v>256</v>
      </c>
      <c r="C49" s="125">
        <v>45728</v>
      </c>
      <c r="D49" s="193">
        <v>5.2</v>
      </c>
      <c r="E49" s="193">
        <v>12.25</v>
      </c>
      <c r="F49" s="214">
        <f>IF(E49&lt;&gt;"",ROUND((E49/((9.266*EXP(-0.04555*D48)+5.374))*100),0),"")</f>
        <v>97</v>
      </c>
      <c r="G49" s="193">
        <v>8.1</v>
      </c>
      <c r="H49" s="193">
        <v>2.4</v>
      </c>
      <c r="I49" s="193">
        <v>54.1</v>
      </c>
      <c r="J49" s="193">
        <v>1.6</v>
      </c>
      <c r="K49" s="189">
        <v>11</v>
      </c>
      <c r="L49" s="189">
        <v>26</v>
      </c>
      <c r="M49" s="189">
        <v>3600</v>
      </c>
      <c r="N49" s="189">
        <v>24</v>
      </c>
      <c r="O49" s="189">
        <v>4200</v>
      </c>
      <c r="P49" s="189"/>
      <c r="Q49" s="193"/>
      <c r="R49" s="200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461"/>
    </row>
    <row r="50" spans="1:45" s="102" customFormat="1" ht="12" customHeight="1">
      <c r="A50" s="118">
        <v>13</v>
      </c>
      <c r="B50" s="102" t="s">
        <v>257</v>
      </c>
      <c r="C50" s="125">
        <v>45734</v>
      </c>
      <c r="D50" s="193">
        <v>2.9</v>
      </c>
      <c r="E50" s="193">
        <v>16.53</v>
      </c>
      <c r="F50" s="214">
        <f t="shared" ref="F50:F63" si="3">IF(E50&lt;&gt;"",ROUND((E50/((9.266*EXP(-0.04555*D50)+5.374))*100),0),"")</f>
        <v>123</v>
      </c>
      <c r="G50" s="193">
        <v>8.4</v>
      </c>
      <c r="H50" s="193">
        <v>1.6</v>
      </c>
      <c r="I50" s="193">
        <v>44.6</v>
      </c>
      <c r="J50" s="193">
        <v>2.2000000000000002</v>
      </c>
      <c r="K50" s="189">
        <v>3.4</v>
      </c>
      <c r="L50" s="189">
        <v>32</v>
      </c>
      <c r="M50" s="189">
        <v>3500</v>
      </c>
      <c r="N50" s="189" t="s">
        <v>148</v>
      </c>
      <c r="O50" s="189">
        <v>3800</v>
      </c>
      <c r="P50" s="189"/>
      <c r="Q50" s="193"/>
      <c r="R50" s="200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</row>
    <row r="51" spans="1:45" s="102" customFormat="1" ht="12" customHeight="1">
      <c r="A51" s="118">
        <v>15</v>
      </c>
      <c r="B51" s="102" t="s">
        <v>258</v>
      </c>
      <c r="C51" s="125">
        <v>45734</v>
      </c>
      <c r="D51" s="193">
        <v>3.2</v>
      </c>
      <c r="E51" s="193">
        <v>14.25</v>
      </c>
      <c r="F51" s="214">
        <f t="shared" si="3"/>
        <v>106</v>
      </c>
      <c r="G51" s="193">
        <v>8.1</v>
      </c>
      <c r="H51" s="193">
        <v>3</v>
      </c>
      <c r="I51" s="193">
        <v>56</v>
      </c>
      <c r="J51" s="193">
        <v>2.2000000000000002</v>
      </c>
      <c r="K51" s="189">
        <v>10</v>
      </c>
      <c r="L51" s="189">
        <v>27</v>
      </c>
      <c r="M51" s="189">
        <v>3400</v>
      </c>
      <c r="N51" s="189">
        <v>120</v>
      </c>
      <c r="O51" s="189">
        <v>3400</v>
      </c>
      <c r="P51" s="189"/>
      <c r="Q51" s="193"/>
      <c r="R51" s="200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  <c r="AS51" s="461"/>
    </row>
    <row r="52" spans="1:45" s="102" customFormat="1" ht="12" customHeight="1">
      <c r="A52" s="118">
        <v>17</v>
      </c>
      <c r="B52" s="102" t="s">
        <v>259</v>
      </c>
      <c r="C52" s="125">
        <v>45734</v>
      </c>
      <c r="D52" s="193">
        <v>2.8</v>
      </c>
      <c r="E52" s="193">
        <v>13.88</v>
      </c>
      <c r="F52" s="214">
        <f t="shared" si="3"/>
        <v>103</v>
      </c>
      <c r="G52" s="193">
        <v>8</v>
      </c>
      <c r="H52" s="193">
        <v>3.8</v>
      </c>
      <c r="I52" s="193">
        <v>36.9</v>
      </c>
      <c r="J52" s="193">
        <v>1.3</v>
      </c>
      <c r="K52" s="189">
        <v>14</v>
      </c>
      <c r="L52" s="189">
        <v>35</v>
      </c>
      <c r="M52" s="189">
        <v>1400</v>
      </c>
      <c r="N52" s="189" t="s">
        <v>148</v>
      </c>
      <c r="O52" s="189">
        <v>1800</v>
      </c>
      <c r="P52" s="189"/>
      <c r="Q52" s="193"/>
      <c r="R52" s="200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</row>
    <row r="53" spans="1:45" s="102" customFormat="1" ht="12" customHeight="1">
      <c r="A53" s="118">
        <v>18</v>
      </c>
      <c r="B53" s="102" t="s">
        <v>266</v>
      </c>
      <c r="C53" s="125">
        <v>45728</v>
      </c>
      <c r="D53" s="193">
        <v>4.5999999999999996</v>
      </c>
      <c r="E53" s="193">
        <v>13.39</v>
      </c>
      <c r="F53" s="214">
        <f t="shared" si="3"/>
        <v>104</v>
      </c>
      <c r="G53" s="193">
        <v>8.4</v>
      </c>
      <c r="H53" s="193">
        <v>1.5</v>
      </c>
      <c r="I53" s="193">
        <v>57.4</v>
      </c>
      <c r="J53" s="193">
        <v>1.5</v>
      </c>
      <c r="K53" s="189">
        <v>12</v>
      </c>
      <c r="L53" s="189">
        <v>20</v>
      </c>
      <c r="M53" s="189">
        <v>4300</v>
      </c>
      <c r="N53" s="189" t="s">
        <v>148</v>
      </c>
      <c r="O53" s="189">
        <v>5000</v>
      </c>
      <c r="P53" s="189"/>
      <c r="Q53" s="193"/>
      <c r="R53" s="200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</row>
    <row r="54" spans="1:45" s="102" customFormat="1" ht="12" customHeight="1">
      <c r="A54" s="118">
        <v>19</v>
      </c>
      <c r="B54" s="102" t="s">
        <v>260</v>
      </c>
      <c r="C54" s="125">
        <v>45734</v>
      </c>
      <c r="D54" s="193">
        <v>4.5999999999999996</v>
      </c>
      <c r="E54" s="193">
        <v>17.86</v>
      </c>
      <c r="F54" s="214">
        <f t="shared" si="3"/>
        <v>139</v>
      </c>
      <c r="G54" s="193">
        <v>8.5</v>
      </c>
      <c r="H54" s="193">
        <v>1.4</v>
      </c>
      <c r="I54" s="193">
        <v>55.1</v>
      </c>
      <c r="J54" s="193">
        <v>2.7</v>
      </c>
      <c r="K54" s="189">
        <v>5</v>
      </c>
      <c r="L54" s="189">
        <v>30</v>
      </c>
      <c r="M54" s="189">
        <v>4600</v>
      </c>
      <c r="N54" s="189" t="s">
        <v>148</v>
      </c>
      <c r="O54" s="189">
        <v>4800</v>
      </c>
      <c r="P54" s="189"/>
      <c r="Q54" s="193"/>
      <c r="R54" s="200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1"/>
      <c r="AP54" s="461"/>
      <c r="AQ54" s="461"/>
      <c r="AR54" s="461"/>
      <c r="AS54" s="461"/>
    </row>
    <row r="55" spans="1:45" s="102" customFormat="1" ht="12" customHeight="1">
      <c r="A55" s="118">
        <v>20</v>
      </c>
      <c r="B55" s="102" t="s">
        <v>267</v>
      </c>
      <c r="C55" s="125">
        <v>45734</v>
      </c>
      <c r="D55" s="193">
        <v>4.7</v>
      </c>
      <c r="E55" s="193">
        <v>16.8</v>
      </c>
      <c r="F55" s="214">
        <f>IF(E55&lt;&gt;"",ROUND((E55/((9.266*EXP(-0.04555*D55)+5.374))*100),0),"")</f>
        <v>131</v>
      </c>
      <c r="G55" s="193">
        <v>8.5</v>
      </c>
      <c r="H55" s="193">
        <v>1.8</v>
      </c>
      <c r="I55" s="193">
        <v>56.2</v>
      </c>
      <c r="J55" s="193">
        <v>2.6</v>
      </c>
      <c r="K55" s="189">
        <v>9.3000000000000007</v>
      </c>
      <c r="L55" s="189">
        <v>44</v>
      </c>
      <c r="M55" s="189">
        <v>4500</v>
      </c>
      <c r="N55" s="189">
        <v>110</v>
      </c>
      <c r="O55" s="189">
        <v>4800</v>
      </c>
      <c r="P55" s="189"/>
      <c r="Q55" s="193"/>
      <c r="R55" s="200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1"/>
      <c r="AP55" s="461"/>
      <c r="AQ55" s="461"/>
      <c r="AR55" s="461"/>
      <c r="AS55" s="461"/>
    </row>
    <row r="56" spans="1:45" s="102" customFormat="1" ht="12" customHeight="1">
      <c r="A56" s="118">
        <v>21</v>
      </c>
      <c r="B56" s="102" t="s">
        <v>261</v>
      </c>
      <c r="C56" s="125">
        <v>45734</v>
      </c>
      <c r="D56" s="193">
        <v>4.4000000000000004</v>
      </c>
      <c r="E56" s="193">
        <v>16.05</v>
      </c>
      <c r="F56" s="214">
        <f t="shared" si="3"/>
        <v>124</v>
      </c>
      <c r="G56" s="193">
        <v>8.5</v>
      </c>
      <c r="H56" s="193">
        <v>1.5</v>
      </c>
      <c r="I56" s="193">
        <v>47.3</v>
      </c>
      <c r="J56" s="193">
        <v>2.2000000000000002</v>
      </c>
      <c r="K56" s="189">
        <v>7</v>
      </c>
      <c r="L56" s="189">
        <v>27</v>
      </c>
      <c r="M56" s="189">
        <v>4900</v>
      </c>
      <c r="N56" s="189" t="s">
        <v>148</v>
      </c>
      <c r="O56" s="189">
        <v>4900</v>
      </c>
      <c r="P56" s="189"/>
      <c r="Q56" s="193"/>
      <c r="R56" s="200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461"/>
      <c r="AS56" s="461"/>
    </row>
    <row r="57" spans="1:45" s="102" customFormat="1" ht="12" customHeight="1">
      <c r="A57" s="118">
        <v>22</v>
      </c>
      <c r="B57" s="102" t="s">
        <v>268</v>
      </c>
      <c r="C57" s="125">
        <v>45734</v>
      </c>
      <c r="D57" s="193">
        <v>3</v>
      </c>
      <c r="E57" s="193">
        <v>14.05</v>
      </c>
      <c r="F57" s="214">
        <f t="shared" si="3"/>
        <v>104</v>
      </c>
      <c r="G57" s="193">
        <v>8.1</v>
      </c>
      <c r="H57" s="193">
        <v>1.9</v>
      </c>
      <c r="I57" s="193">
        <v>39.200000000000003</v>
      </c>
      <c r="J57" s="193">
        <v>1.6</v>
      </c>
      <c r="K57" s="189">
        <v>21</v>
      </c>
      <c r="L57" s="189">
        <v>40</v>
      </c>
      <c r="M57" s="189">
        <v>3600</v>
      </c>
      <c r="N57" s="189" t="s">
        <v>148</v>
      </c>
      <c r="O57" s="189">
        <v>3600</v>
      </c>
      <c r="P57" s="189"/>
      <c r="Q57" s="193"/>
      <c r="R57" s="200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  <c r="AS57" s="461"/>
    </row>
    <row r="58" spans="1:45" s="102" customFormat="1" ht="12" customHeight="1">
      <c r="A58" s="118">
        <v>23</v>
      </c>
      <c r="B58" s="122" t="s">
        <v>297</v>
      </c>
      <c r="C58" s="125">
        <v>45734</v>
      </c>
      <c r="D58" s="193">
        <v>5.7</v>
      </c>
      <c r="E58" s="193">
        <v>15.4</v>
      </c>
      <c r="F58" s="214">
        <f t="shared" si="3"/>
        <v>123</v>
      </c>
      <c r="G58" s="193">
        <v>8.1999999999999993</v>
      </c>
      <c r="H58" s="193">
        <v>2.4</v>
      </c>
      <c r="I58" s="193">
        <v>62.5</v>
      </c>
      <c r="J58" s="193">
        <v>2</v>
      </c>
      <c r="K58" s="189">
        <v>14</v>
      </c>
      <c r="L58" s="189">
        <v>37</v>
      </c>
      <c r="M58" s="189">
        <v>4400</v>
      </c>
      <c r="N58" s="189">
        <v>49</v>
      </c>
      <c r="O58" s="189">
        <v>4700</v>
      </c>
      <c r="P58" s="189"/>
      <c r="Q58" s="193"/>
      <c r="R58" s="200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</row>
    <row r="59" spans="1:45" s="102" customFormat="1" ht="12" customHeight="1">
      <c r="A59" s="118">
        <v>24</v>
      </c>
      <c r="B59" s="102" t="s">
        <v>269</v>
      </c>
      <c r="C59" s="125">
        <v>45734</v>
      </c>
      <c r="D59" s="193">
        <v>4.3</v>
      </c>
      <c r="E59" s="193">
        <v>16.57</v>
      </c>
      <c r="F59" s="214">
        <f t="shared" si="3"/>
        <v>128</v>
      </c>
      <c r="G59" s="193">
        <v>8.4</v>
      </c>
      <c r="H59" s="193">
        <v>1.8</v>
      </c>
      <c r="I59" s="193">
        <v>60.7</v>
      </c>
      <c r="J59" s="193">
        <v>1.8</v>
      </c>
      <c r="K59" s="189">
        <v>8.1</v>
      </c>
      <c r="L59" s="189">
        <v>26</v>
      </c>
      <c r="M59" s="189">
        <v>2800</v>
      </c>
      <c r="N59" s="189" t="s">
        <v>148</v>
      </c>
      <c r="O59" s="189">
        <v>3000</v>
      </c>
      <c r="P59" s="189"/>
      <c r="Q59" s="193"/>
      <c r="R59" s="200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</row>
    <row r="60" spans="1:45" s="102" customFormat="1" ht="12" customHeight="1">
      <c r="A60" s="118">
        <v>25</v>
      </c>
      <c r="B60" s="102" t="s">
        <v>263</v>
      </c>
      <c r="C60" s="125">
        <v>45728</v>
      </c>
      <c r="D60" s="193">
        <v>5.7</v>
      </c>
      <c r="E60" s="193">
        <v>12.3</v>
      </c>
      <c r="F60" s="214">
        <f t="shared" si="3"/>
        <v>98</v>
      </c>
      <c r="G60" s="193">
        <v>8</v>
      </c>
      <c r="H60" s="193">
        <v>5.6</v>
      </c>
      <c r="I60" s="193">
        <v>42.7</v>
      </c>
      <c r="J60" s="193">
        <v>2.7</v>
      </c>
      <c r="K60" s="189">
        <v>9.6999999999999993</v>
      </c>
      <c r="L60" s="189">
        <v>48</v>
      </c>
      <c r="M60" s="189">
        <v>850</v>
      </c>
      <c r="N60" s="189">
        <v>27</v>
      </c>
      <c r="O60" s="189">
        <v>1400</v>
      </c>
      <c r="P60" s="189"/>
      <c r="Q60" s="193"/>
      <c r="R60" s="200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1"/>
      <c r="AJ60" s="461"/>
      <c r="AK60" s="461"/>
      <c r="AL60" s="461"/>
      <c r="AM60" s="461"/>
      <c r="AN60" s="461"/>
      <c r="AO60" s="461"/>
      <c r="AP60" s="461"/>
      <c r="AQ60" s="461"/>
      <c r="AR60" s="461"/>
      <c r="AS60" s="461"/>
    </row>
    <row r="61" spans="1:45" s="102" customFormat="1" ht="12" customHeight="1">
      <c r="A61" s="118">
        <v>27</v>
      </c>
      <c r="B61" s="102" t="s">
        <v>264</v>
      </c>
      <c r="C61" s="125">
        <v>45734</v>
      </c>
      <c r="D61" s="193">
        <v>4.7</v>
      </c>
      <c r="E61" s="193">
        <v>14.25</v>
      </c>
      <c r="F61" s="214">
        <f t="shared" si="3"/>
        <v>111</v>
      </c>
      <c r="G61" s="193">
        <v>8.5</v>
      </c>
      <c r="H61" s="193">
        <v>1.9</v>
      </c>
      <c r="I61" s="193">
        <v>33.799999999999997</v>
      </c>
      <c r="J61" s="193">
        <v>3</v>
      </c>
      <c r="K61" s="189" t="s">
        <v>149</v>
      </c>
      <c r="L61" s="189">
        <v>28</v>
      </c>
      <c r="M61" s="189">
        <v>780</v>
      </c>
      <c r="N61" s="189">
        <v>16</v>
      </c>
      <c r="O61" s="189">
        <v>1300</v>
      </c>
      <c r="P61" s="189"/>
      <c r="Q61" s="193"/>
      <c r="R61" s="200"/>
      <c r="S61" s="461"/>
      <c r="T61" s="461"/>
      <c r="U61" s="461"/>
      <c r="V61" s="461"/>
      <c r="W61" s="461"/>
      <c r="X61" s="461"/>
      <c r="Y61" s="461"/>
      <c r="Z61" s="461"/>
      <c r="AA61" s="461"/>
      <c r="AB61" s="461"/>
      <c r="AC61" s="461"/>
      <c r="AD61" s="461"/>
      <c r="AE61" s="461"/>
      <c r="AF61" s="461"/>
      <c r="AG61" s="461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</row>
    <row r="62" spans="1:45" s="102" customFormat="1" ht="12" customHeight="1">
      <c r="A62" s="118">
        <v>29</v>
      </c>
      <c r="B62" s="102" t="s">
        <v>295</v>
      </c>
      <c r="C62" s="125">
        <v>45728</v>
      </c>
      <c r="D62" s="193">
        <v>4.3</v>
      </c>
      <c r="E62" s="193">
        <v>14.6</v>
      </c>
      <c r="F62" s="214">
        <f>IF(E62&lt;&gt;"",ROUND((E62/((9.266*EXP(-0.04555*D62)+5.374))*100),0),"")</f>
        <v>112</v>
      </c>
      <c r="G62" s="193">
        <v>8.4</v>
      </c>
      <c r="H62" s="193">
        <v>2.7</v>
      </c>
      <c r="I62" s="193">
        <v>42.2</v>
      </c>
      <c r="J62" s="193"/>
      <c r="K62" s="189">
        <v>4.8</v>
      </c>
      <c r="L62" s="189">
        <v>48</v>
      </c>
      <c r="M62" s="189">
        <v>3100</v>
      </c>
      <c r="N62" s="189" t="s">
        <v>148</v>
      </c>
      <c r="O62" s="189">
        <v>3700</v>
      </c>
      <c r="P62" s="189"/>
      <c r="Q62" s="193">
        <v>1.6</v>
      </c>
      <c r="R62" s="200"/>
      <c r="S62" s="461"/>
      <c r="T62" s="461"/>
      <c r="U62" s="461"/>
      <c r="V62" s="461"/>
      <c r="W62" s="461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  <c r="AJ62" s="461"/>
      <c r="AK62" s="461"/>
      <c r="AL62" s="461"/>
      <c r="AM62" s="461"/>
      <c r="AN62" s="461"/>
      <c r="AO62" s="461"/>
      <c r="AP62" s="461"/>
      <c r="AQ62" s="461"/>
      <c r="AR62" s="461"/>
      <c r="AS62" s="461"/>
    </row>
    <row r="63" spans="1:45" s="102" customFormat="1" ht="12" customHeight="1">
      <c r="A63" s="118">
        <v>30</v>
      </c>
      <c r="B63" s="102" t="s">
        <v>296</v>
      </c>
      <c r="C63" s="125">
        <v>45728</v>
      </c>
      <c r="D63" s="193">
        <v>4.7</v>
      </c>
      <c r="E63" s="193">
        <v>14.55</v>
      </c>
      <c r="F63" s="214">
        <f t="shared" si="3"/>
        <v>113</v>
      </c>
      <c r="G63" s="193"/>
      <c r="H63" s="193"/>
      <c r="I63" s="193"/>
      <c r="J63" s="193"/>
      <c r="K63" s="189">
        <v>9.6999999999999993</v>
      </c>
      <c r="L63" s="189">
        <v>51</v>
      </c>
      <c r="M63" s="189">
        <v>3100</v>
      </c>
      <c r="N63" s="189" t="s">
        <v>148</v>
      </c>
      <c r="O63" s="189">
        <v>3800</v>
      </c>
      <c r="P63" s="189"/>
      <c r="Q63" s="193"/>
      <c r="R63" s="200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</row>
    <row r="64" spans="1:45">
      <c r="A64" s="1">
        <v>200</v>
      </c>
      <c r="B64" s="62" t="s">
        <v>97</v>
      </c>
      <c r="C64" s="125"/>
      <c r="D64" s="554"/>
      <c r="E64" s="554" t="s">
        <v>407</v>
      </c>
      <c r="F64" s="269"/>
      <c r="G64" s="187"/>
      <c r="H64" s="187"/>
      <c r="I64" s="187"/>
      <c r="J64" s="187"/>
      <c r="K64" s="188"/>
      <c r="L64" s="188"/>
      <c r="M64" s="188"/>
      <c r="N64" s="188"/>
      <c r="O64" s="188"/>
      <c r="P64" s="188"/>
      <c r="Q64" s="187"/>
      <c r="R64" s="200"/>
      <c r="S64" s="462"/>
      <c r="T64" s="463"/>
      <c r="U64" s="464"/>
      <c r="V64" s="464"/>
      <c r="W64" s="460"/>
      <c r="X64" s="460"/>
      <c r="Y64" s="460"/>
      <c r="Z64" s="460"/>
      <c r="AA64" s="460"/>
      <c r="AB64" s="460"/>
      <c r="AC64" s="460"/>
      <c r="AD64" s="460"/>
      <c r="AE64" s="460"/>
      <c r="AF64" s="460"/>
      <c r="AG64" s="460"/>
      <c r="AH64" s="460"/>
      <c r="AI64" s="460"/>
      <c r="AJ64" s="460"/>
      <c r="AK64" s="460"/>
      <c r="AL64" s="460"/>
      <c r="AM64" s="460"/>
      <c r="AN64" s="460"/>
      <c r="AO64" s="460"/>
      <c r="AP64" s="460"/>
      <c r="AQ64" s="460"/>
      <c r="AR64" s="460"/>
      <c r="AS64" s="460"/>
    </row>
    <row r="65" spans="1:45" s="460" customFormat="1" ht="17.25" customHeight="1">
      <c r="A65" s="473">
        <v>250</v>
      </c>
      <c r="B65" s="474" t="s">
        <v>23</v>
      </c>
      <c r="C65" s="480"/>
      <c r="D65" s="476"/>
      <c r="E65" s="476"/>
      <c r="F65" s="556"/>
      <c r="G65" s="476"/>
      <c r="H65" s="476"/>
      <c r="I65" s="476"/>
      <c r="J65" s="476"/>
      <c r="K65" s="477"/>
      <c r="L65" s="477"/>
      <c r="M65" s="477"/>
      <c r="N65" s="477"/>
      <c r="O65" s="477"/>
      <c r="P65" s="477"/>
      <c r="Q65" s="476"/>
      <c r="R65" s="478"/>
      <c r="S65" s="465"/>
      <c r="T65" s="463"/>
      <c r="U65" s="464"/>
      <c r="V65" s="464"/>
    </row>
    <row r="66" spans="1:45" s="102" customFormat="1" ht="12" customHeight="1">
      <c r="A66" s="117">
        <v>3</v>
      </c>
      <c r="B66" s="102" t="s">
        <v>252</v>
      </c>
      <c r="C66" s="125">
        <v>45761</v>
      </c>
      <c r="D66" s="193">
        <v>11.5</v>
      </c>
      <c r="E66" s="193">
        <v>9.98</v>
      </c>
      <c r="F66" s="214">
        <v>92</v>
      </c>
      <c r="G66" s="193">
        <v>8</v>
      </c>
      <c r="H66" s="193">
        <v>2.6</v>
      </c>
      <c r="I66" s="193">
        <v>57.6</v>
      </c>
      <c r="J66" s="193">
        <v>1.7</v>
      </c>
      <c r="K66" s="189">
        <v>14</v>
      </c>
      <c r="L66" s="189">
        <v>45</v>
      </c>
      <c r="M66" s="189">
        <v>1800</v>
      </c>
      <c r="N66" s="189">
        <v>30</v>
      </c>
      <c r="O66" s="189">
        <v>2500</v>
      </c>
      <c r="P66" s="189"/>
      <c r="Q66" s="193"/>
      <c r="R66" s="202"/>
      <c r="S66" s="466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  <c r="AL66" s="461"/>
      <c r="AM66" s="461"/>
      <c r="AN66" s="461"/>
      <c r="AO66" s="461"/>
      <c r="AP66" s="461"/>
      <c r="AQ66" s="461"/>
      <c r="AR66" s="461"/>
      <c r="AS66" s="461"/>
    </row>
    <row r="67" spans="1:45" s="102" customFormat="1" ht="12" customHeight="1">
      <c r="A67" s="117">
        <v>6</v>
      </c>
      <c r="B67" s="102" t="s">
        <v>265</v>
      </c>
      <c r="C67" s="125">
        <v>45761</v>
      </c>
      <c r="D67" s="193">
        <v>11.8</v>
      </c>
      <c r="E67" s="193">
        <v>8.5399999999999991</v>
      </c>
      <c r="F67" s="214">
        <v>79</v>
      </c>
      <c r="G67" s="193">
        <v>7.8</v>
      </c>
      <c r="H67" s="193">
        <v>3.5</v>
      </c>
      <c r="I67" s="193">
        <v>49.7</v>
      </c>
      <c r="J67" s="193">
        <v>1.9</v>
      </c>
      <c r="K67" s="189">
        <v>21</v>
      </c>
      <c r="L67" s="189">
        <v>59</v>
      </c>
      <c r="M67" s="189">
        <v>1200</v>
      </c>
      <c r="N67" s="189">
        <v>130</v>
      </c>
      <c r="O67" s="189">
        <v>1800</v>
      </c>
      <c r="P67" s="189"/>
      <c r="Q67" s="193"/>
      <c r="R67" s="202"/>
      <c r="S67" s="466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  <c r="AL67" s="461"/>
      <c r="AM67" s="461"/>
      <c r="AN67" s="461"/>
      <c r="AO67" s="461"/>
      <c r="AP67" s="461"/>
      <c r="AQ67" s="461"/>
      <c r="AR67" s="461"/>
      <c r="AS67" s="461"/>
    </row>
    <row r="68" spans="1:45" s="102" customFormat="1" ht="12" customHeight="1">
      <c r="A68" s="117">
        <v>7</v>
      </c>
      <c r="B68" s="122" t="s">
        <v>254</v>
      </c>
      <c r="C68" s="125">
        <v>45761</v>
      </c>
      <c r="D68" s="193">
        <v>10.199999999999999</v>
      </c>
      <c r="E68" s="193">
        <v>11.89</v>
      </c>
      <c r="F68" s="214">
        <v>106</v>
      </c>
      <c r="G68" s="193">
        <v>8.6999999999999993</v>
      </c>
      <c r="H68" s="193">
        <v>1.1000000000000001</v>
      </c>
      <c r="I68" s="193">
        <v>41.5</v>
      </c>
      <c r="J68" s="193">
        <v>2</v>
      </c>
      <c r="K68" s="189" t="s">
        <v>149</v>
      </c>
      <c r="L68" s="189">
        <v>25</v>
      </c>
      <c r="M68" s="189">
        <v>2400</v>
      </c>
      <c r="N68" s="189">
        <v>33</v>
      </c>
      <c r="O68" s="189">
        <v>3000</v>
      </c>
      <c r="P68" s="189"/>
      <c r="Q68" s="193"/>
      <c r="R68" s="202"/>
      <c r="S68" s="466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1"/>
      <c r="AL68" s="461"/>
      <c r="AM68" s="461"/>
      <c r="AN68" s="461"/>
      <c r="AO68" s="461"/>
      <c r="AP68" s="461"/>
      <c r="AQ68" s="461"/>
      <c r="AR68" s="461"/>
      <c r="AS68" s="461"/>
    </row>
    <row r="69" spans="1:45" s="102" customFormat="1" ht="12" customHeight="1">
      <c r="A69" s="117">
        <v>11</v>
      </c>
      <c r="B69" s="102" t="s">
        <v>256</v>
      </c>
      <c r="C69" s="125">
        <v>45761</v>
      </c>
      <c r="D69" s="193">
        <v>10.7</v>
      </c>
      <c r="E69" s="193">
        <v>10.88</v>
      </c>
      <c r="F69" s="214">
        <v>98</v>
      </c>
      <c r="G69" s="193">
        <v>8.1</v>
      </c>
      <c r="H69" s="193">
        <v>1.5</v>
      </c>
      <c r="I69" s="193">
        <v>53.4</v>
      </c>
      <c r="J69" s="193">
        <v>2</v>
      </c>
      <c r="K69" s="189">
        <v>2.5</v>
      </c>
      <c r="L69" s="189">
        <v>25</v>
      </c>
      <c r="M69" s="189">
        <v>2200</v>
      </c>
      <c r="N69" s="189">
        <v>28</v>
      </c>
      <c r="O69" s="189">
        <v>2700</v>
      </c>
      <c r="P69" s="189"/>
      <c r="Q69" s="193"/>
      <c r="R69" s="202"/>
      <c r="S69" s="466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  <c r="AS69" s="461"/>
    </row>
    <row r="70" spans="1:45" s="102" customFormat="1" ht="12" customHeight="1">
      <c r="A70" s="117">
        <v>19</v>
      </c>
      <c r="B70" s="102" t="s">
        <v>260</v>
      </c>
      <c r="C70" s="125">
        <v>45761</v>
      </c>
      <c r="D70" s="193">
        <v>11.3</v>
      </c>
      <c r="E70" s="193">
        <v>10.5</v>
      </c>
      <c r="F70" s="214">
        <v>96</v>
      </c>
      <c r="G70" s="193">
        <v>8.1</v>
      </c>
      <c r="H70" s="193">
        <v>1.4</v>
      </c>
      <c r="I70" s="193">
        <v>70.099999999999994</v>
      </c>
      <c r="J70" s="193">
        <v>2.6</v>
      </c>
      <c r="K70" s="189">
        <v>13</v>
      </c>
      <c r="L70" s="189">
        <v>50</v>
      </c>
      <c r="M70" s="189">
        <v>2300</v>
      </c>
      <c r="N70" s="189">
        <v>26</v>
      </c>
      <c r="O70" s="189">
        <v>3000</v>
      </c>
      <c r="P70" s="189"/>
      <c r="Q70" s="193"/>
      <c r="R70" s="202"/>
      <c r="S70" s="466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  <c r="AS70" s="461"/>
    </row>
    <row r="71" spans="1:45" s="102" customFormat="1" ht="12" customHeight="1">
      <c r="A71" s="117">
        <v>20</v>
      </c>
      <c r="B71" s="102" t="s">
        <v>267</v>
      </c>
      <c r="C71" s="125">
        <v>45761</v>
      </c>
      <c r="D71" s="193">
        <v>12</v>
      </c>
      <c r="E71" s="193">
        <v>12.59</v>
      </c>
      <c r="F71" s="214">
        <v>117</v>
      </c>
      <c r="G71" s="193">
        <v>8.1999999999999993</v>
      </c>
      <c r="H71" s="193">
        <v>1.5</v>
      </c>
      <c r="I71" s="193">
        <v>70</v>
      </c>
      <c r="J71" s="193">
        <v>2.5</v>
      </c>
      <c r="K71" s="189">
        <v>16</v>
      </c>
      <c r="L71" s="189">
        <v>54</v>
      </c>
      <c r="M71" s="189">
        <v>2500</v>
      </c>
      <c r="N71" s="189">
        <v>34</v>
      </c>
      <c r="O71" s="189">
        <v>3200</v>
      </c>
      <c r="P71" s="189"/>
      <c r="Q71" s="193"/>
      <c r="R71" s="202"/>
      <c r="S71" s="466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</row>
    <row r="72" spans="1:45" s="102" customFormat="1" ht="12" customHeight="1">
      <c r="A72" s="117">
        <v>21</v>
      </c>
      <c r="B72" s="102" t="s">
        <v>261</v>
      </c>
      <c r="C72" s="125">
        <v>45761</v>
      </c>
      <c r="D72" s="193">
        <v>10.8</v>
      </c>
      <c r="E72" s="193">
        <v>12.15</v>
      </c>
      <c r="F72" s="214">
        <v>110</v>
      </c>
      <c r="G72" s="193">
        <v>8.3000000000000007</v>
      </c>
      <c r="H72" s="193">
        <v>1.6</v>
      </c>
      <c r="I72" s="193">
        <v>51.7</v>
      </c>
      <c r="J72" s="193">
        <v>2.2000000000000002</v>
      </c>
      <c r="K72" s="189">
        <v>8.1999999999999993</v>
      </c>
      <c r="L72" s="189">
        <v>28</v>
      </c>
      <c r="M72" s="189">
        <v>2600</v>
      </c>
      <c r="N72" s="189">
        <v>15</v>
      </c>
      <c r="O72" s="189">
        <v>3200</v>
      </c>
      <c r="P72" s="189"/>
      <c r="Q72" s="193"/>
      <c r="R72" s="202"/>
      <c r="S72" s="466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61"/>
      <c r="AN72" s="461"/>
      <c r="AO72" s="461"/>
      <c r="AP72" s="461"/>
      <c r="AQ72" s="461"/>
      <c r="AR72" s="461"/>
      <c r="AS72" s="461"/>
    </row>
    <row r="73" spans="1:45" s="102" customFormat="1" ht="12" customHeight="1">
      <c r="A73" s="117">
        <v>25</v>
      </c>
      <c r="B73" s="122" t="s">
        <v>263</v>
      </c>
      <c r="C73" s="125">
        <v>45761</v>
      </c>
      <c r="D73" s="193">
        <v>11.2</v>
      </c>
      <c r="E73" s="193">
        <v>11.58</v>
      </c>
      <c r="F73" s="214">
        <v>106</v>
      </c>
      <c r="G73" s="193">
        <v>8</v>
      </c>
      <c r="H73" s="193">
        <v>4.3</v>
      </c>
      <c r="I73" s="193">
        <v>43.1</v>
      </c>
      <c r="J73" s="193">
        <v>1.8</v>
      </c>
      <c r="K73" s="189">
        <v>16</v>
      </c>
      <c r="L73" s="189">
        <v>52</v>
      </c>
      <c r="M73" s="189">
        <v>490</v>
      </c>
      <c r="N73" s="189">
        <v>31</v>
      </c>
      <c r="O73" s="189">
        <v>1100</v>
      </c>
      <c r="P73" s="189"/>
      <c r="Q73" s="193"/>
      <c r="R73" s="202"/>
      <c r="S73" s="466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1"/>
      <c r="AP73" s="461"/>
      <c r="AQ73" s="461"/>
      <c r="AR73" s="461"/>
      <c r="AS73" s="461"/>
    </row>
    <row r="74" spans="1:45" s="102" customFormat="1" ht="12" customHeight="1">
      <c r="A74" s="118">
        <v>29</v>
      </c>
      <c r="B74" s="102" t="s">
        <v>295</v>
      </c>
      <c r="C74" s="125">
        <v>45761</v>
      </c>
      <c r="D74" s="193">
        <v>9.4</v>
      </c>
      <c r="E74" s="193">
        <v>11.78</v>
      </c>
      <c r="F74" s="214">
        <v>103</v>
      </c>
      <c r="G74" s="193">
        <v>8.6999999999999993</v>
      </c>
      <c r="H74" s="193">
        <v>1.6</v>
      </c>
      <c r="I74" s="193">
        <v>41.2</v>
      </c>
      <c r="J74" s="193"/>
      <c r="K74" s="189" t="s">
        <v>149</v>
      </c>
      <c r="L74" s="189">
        <v>23</v>
      </c>
      <c r="M74" s="189">
        <v>2400</v>
      </c>
      <c r="N74" s="189">
        <v>52</v>
      </c>
      <c r="O74" s="189">
        <v>2900</v>
      </c>
      <c r="P74" s="189">
        <v>2.2999999999999998</v>
      </c>
      <c r="Q74" s="193">
        <v>3.4</v>
      </c>
      <c r="R74" s="202"/>
      <c r="S74" s="466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  <c r="AS74" s="461"/>
    </row>
    <row r="75" spans="1:45" s="102" customFormat="1" ht="12" customHeight="1">
      <c r="A75" s="118">
        <v>30</v>
      </c>
      <c r="B75" s="102" t="s">
        <v>296</v>
      </c>
      <c r="C75" s="125">
        <v>45761</v>
      </c>
      <c r="D75" s="193">
        <v>9.5</v>
      </c>
      <c r="E75" s="193">
        <v>11.41</v>
      </c>
      <c r="F75" s="214">
        <v>100</v>
      </c>
      <c r="G75" s="193"/>
      <c r="H75" s="193"/>
      <c r="I75" s="193"/>
      <c r="J75" s="193"/>
      <c r="K75" s="189" t="s">
        <v>149</v>
      </c>
      <c r="L75" s="189">
        <v>26</v>
      </c>
      <c r="M75" s="189">
        <v>2300</v>
      </c>
      <c r="N75" s="189">
        <v>72</v>
      </c>
      <c r="O75" s="189">
        <v>3000</v>
      </c>
      <c r="P75" s="189"/>
      <c r="Q75" s="193"/>
      <c r="R75" s="202"/>
      <c r="S75" s="466"/>
      <c r="T75" s="461"/>
      <c r="U75" s="461"/>
      <c r="V75" s="461"/>
      <c r="W75" s="461"/>
      <c r="X75" s="461"/>
      <c r="Y75" s="461"/>
      <c r="Z75" s="461"/>
      <c r="AA75" s="461"/>
      <c r="AB75" s="461"/>
      <c r="AC75" s="461"/>
      <c r="AD75" s="461"/>
      <c r="AE75" s="461"/>
      <c r="AF75" s="461"/>
      <c r="AG75" s="461"/>
      <c r="AH75" s="461"/>
      <c r="AI75" s="461"/>
      <c r="AJ75" s="461"/>
      <c r="AK75" s="461"/>
      <c r="AL75" s="461"/>
      <c r="AM75" s="461"/>
      <c r="AN75" s="461"/>
      <c r="AO75" s="461"/>
      <c r="AP75" s="461"/>
      <c r="AQ75" s="461"/>
      <c r="AR75" s="461"/>
      <c r="AS75" s="461"/>
    </row>
    <row r="76" spans="1:45">
      <c r="A76" s="1">
        <v>200</v>
      </c>
      <c r="B76" s="62" t="s">
        <v>97</v>
      </c>
      <c r="C76" s="84"/>
      <c r="D76" s="554"/>
      <c r="E76" s="554" t="s">
        <v>431</v>
      </c>
      <c r="F76" s="214"/>
      <c r="G76" s="187"/>
      <c r="H76" s="187"/>
      <c r="I76" s="187"/>
      <c r="J76" s="187"/>
      <c r="K76" s="188"/>
      <c r="L76" s="188"/>
      <c r="M76" s="188"/>
      <c r="N76" s="188"/>
      <c r="O76" s="188"/>
      <c r="P76" s="188"/>
      <c r="Q76" s="187"/>
      <c r="R76" s="200"/>
      <c r="S76" s="462"/>
      <c r="T76" s="463"/>
      <c r="U76" s="464"/>
      <c r="V76" s="464"/>
      <c r="W76" s="460"/>
      <c r="X76" s="460"/>
      <c r="Y76" s="460"/>
      <c r="Z76" s="460"/>
      <c r="AA76" s="460"/>
      <c r="AB76" s="460"/>
      <c r="AC76" s="460"/>
      <c r="AD76" s="460"/>
      <c r="AE76" s="460"/>
      <c r="AF76" s="460"/>
      <c r="AG76" s="460"/>
      <c r="AH76" s="460"/>
      <c r="AI76" s="460"/>
      <c r="AJ76" s="460"/>
      <c r="AK76" s="460"/>
      <c r="AL76" s="460"/>
      <c r="AM76" s="460"/>
      <c r="AN76" s="460"/>
      <c r="AO76" s="460"/>
      <c r="AP76" s="460"/>
      <c r="AQ76" s="460"/>
      <c r="AR76" s="460"/>
      <c r="AS76" s="460"/>
    </row>
    <row r="77" spans="1:45" s="460" customFormat="1" ht="17.25" customHeight="1">
      <c r="A77" s="473">
        <v>250</v>
      </c>
      <c r="B77" s="474" t="s">
        <v>24</v>
      </c>
      <c r="C77" s="481"/>
      <c r="D77" s="476"/>
      <c r="E77" s="476"/>
      <c r="F77" s="556"/>
      <c r="G77" s="476"/>
      <c r="H77" s="476"/>
      <c r="I77" s="476"/>
      <c r="J77" s="476"/>
      <c r="K77" s="477"/>
      <c r="L77" s="477"/>
      <c r="M77" s="477"/>
      <c r="N77" s="477"/>
      <c r="O77" s="477"/>
      <c r="P77" s="477"/>
      <c r="Q77" s="476"/>
      <c r="R77" s="478"/>
      <c r="S77" s="465"/>
      <c r="T77" s="463"/>
      <c r="U77" s="464"/>
      <c r="V77" s="464"/>
    </row>
    <row r="78" spans="1:45" s="102" customFormat="1" ht="12" customHeight="1">
      <c r="A78" s="118">
        <v>3</v>
      </c>
      <c r="B78" s="102" t="s">
        <v>252</v>
      </c>
      <c r="C78" s="125" t="s">
        <v>435</v>
      </c>
      <c r="D78" s="193">
        <v>15.4</v>
      </c>
      <c r="E78" s="193">
        <v>9.42</v>
      </c>
      <c r="F78" s="214">
        <f t="shared" ref="F78:F97" si="4">IF(E78&lt;&gt;"",ROUND((E78/((9.266*EXP(-0.04555*D78)+5.374))*100),0),"")</f>
        <v>94</v>
      </c>
      <c r="G78" s="193">
        <v>7.9</v>
      </c>
      <c r="H78" s="193">
        <v>1.7</v>
      </c>
      <c r="I78" s="193">
        <v>55.1</v>
      </c>
      <c r="J78" s="193">
        <v>1</v>
      </c>
      <c r="K78" s="189">
        <v>20</v>
      </c>
      <c r="L78" s="189">
        <v>51</v>
      </c>
      <c r="M78" s="189">
        <v>1100</v>
      </c>
      <c r="N78" s="189">
        <v>28</v>
      </c>
      <c r="O78" s="189">
        <v>1800</v>
      </c>
      <c r="P78" s="189"/>
      <c r="Q78" s="193"/>
      <c r="R78" s="200"/>
      <c r="S78" s="461"/>
      <c r="T78" s="461"/>
      <c r="U78" s="461"/>
      <c r="V78" s="461"/>
      <c r="W78" s="461"/>
      <c r="X78" s="461"/>
      <c r="Y78" s="461"/>
      <c r="Z78" s="461"/>
      <c r="AA78" s="461"/>
      <c r="AB78" s="461"/>
      <c r="AC78" s="461"/>
      <c r="AD78" s="461"/>
      <c r="AE78" s="461"/>
      <c r="AF78" s="461"/>
      <c r="AG78" s="461"/>
      <c r="AH78" s="461"/>
      <c r="AI78" s="461"/>
      <c r="AJ78" s="461"/>
      <c r="AK78" s="461"/>
      <c r="AL78" s="461"/>
      <c r="AM78" s="461"/>
      <c r="AN78" s="461"/>
      <c r="AO78" s="461"/>
      <c r="AP78" s="461"/>
      <c r="AQ78" s="461"/>
      <c r="AR78" s="461"/>
      <c r="AS78" s="461"/>
    </row>
    <row r="79" spans="1:45" s="102" customFormat="1" ht="12" customHeight="1">
      <c r="A79" s="118">
        <v>5</v>
      </c>
      <c r="B79" s="102" t="s">
        <v>253</v>
      </c>
      <c r="C79" s="125" t="s">
        <v>435</v>
      </c>
      <c r="D79" s="193">
        <v>15.5</v>
      </c>
      <c r="E79" s="193">
        <v>9.59</v>
      </c>
      <c r="F79" s="214">
        <f t="shared" si="4"/>
        <v>96</v>
      </c>
      <c r="G79" s="193">
        <v>7.9</v>
      </c>
      <c r="H79" s="193">
        <v>2.4</v>
      </c>
      <c r="I79" s="193">
        <v>48.6</v>
      </c>
      <c r="J79" s="193">
        <v>1.3</v>
      </c>
      <c r="K79" s="189">
        <v>9.5</v>
      </c>
      <c r="L79" s="189">
        <v>43</v>
      </c>
      <c r="M79" s="189">
        <v>940</v>
      </c>
      <c r="N79" s="189">
        <v>36</v>
      </c>
      <c r="O79" s="189">
        <v>1500</v>
      </c>
      <c r="P79" s="189"/>
      <c r="Q79" s="193"/>
      <c r="R79" s="200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  <c r="AL79" s="461"/>
      <c r="AM79" s="461"/>
      <c r="AN79" s="461"/>
      <c r="AO79" s="461"/>
      <c r="AP79" s="461"/>
      <c r="AQ79" s="461"/>
      <c r="AR79" s="461"/>
      <c r="AS79" s="461"/>
    </row>
    <row r="80" spans="1:45" s="102" customFormat="1" ht="12" customHeight="1">
      <c r="A80" s="118">
        <v>6</v>
      </c>
      <c r="B80" s="102" t="s">
        <v>265</v>
      </c>
      <c r="C80" s="125" t="s">
        <v>435</v>
      </c>
      <c r="D80" s="193">
        <v>15.4</v>
      </c>
      <c r="E80" s="193">
        <v>10.39</v>
      </c>
      <c r="F80" s="214">
        <f t="shared" si="4"/>
        <v>104</v>
      </c>
      <c r="G80" s="193">
        <v>7.9</v>
      </c>
      <c r="H80" s="193">
        <v>2.7</v>
      </c>
      <c r="I80" s="193">
        <v>46.7</v>
      </c>
      <c r="J80" s="193">
        <v>1.5</v>
      </c>
      <c r="K80" s="189">
        <v>18</v>
      </c>
      <c r="L80" s="189">
        <v>52</v>
      </c>
      <c r="M80" s="189">
        <v>920</v>
      </c>
      <c r="N80" s="189">
        <v>70</v>
      </c>
      <c r="O80" s="189">
        <v>1500</v>
      </c>
      <c r="P80" s="189"/>
      <c r="Q80" s="193"/>
      <c r="R80" s="200"/>
      <c r="S80" s="461"/>
      <c r="T80" s="461"/>
      <c r="U80" s="461"/>
      <c r="V80" s="461"/>
      <c r="W80" s="461"/>
      <c r="X80" s="461"/>
      <c r="Y80" s="461"/>
      <c r="Z80" s="461"/>
      <c r="AA80" s="461"/>
      <c r="AB80" s="461"/>
      <c r="AC80" s="461"/>
      <c r="AD80" s="461"/>
      <c r="AE80" s="461"/>
      <c r="AF80" s="461"/>
      <c r="AG80" s="461"/>
      <c r="AH80" s="461"/>
      <c r="AI80" s="461"/>
      <c r="AJ80" s="461"/>
      <c r="AK80" s="461"/>
      <c r="AL80" s="461"/>
      <c r="AM80" s="461"/>
      <c r="AN80" s="461"/>
      <c r="AO80" s="461"/>
      <c r="AP80" s="461"/>
      <c r="AQ80" s="461"/>
      <c r="AR80" s="461"/>
      <c r="AS80" s="461"/>
    </row>
    <row r="81" spans="1:45" s="102" customFormat="1" ht="12" customHeight="1">
      <c r="A81" s="118">
        <v>7</v>
      </c>
      <c r="B81" s="102" t="s">
        <v>254</v>
      </c>
      <c r="C81" s="125" t="s">
        <v>435</v>
      </c>
      <c r="D81" s="193">
        <v>14</v>
      </c>
      <c r="E81" s="193">
        <v>13.05</v>
      </c>
      <c r="F81" s="214">
        <f t="shared" si="4"/>
        <v>127</v>
      </c>
      <c r="G81" s="193">
        <v>8.6</v>
      </c>
      <c r="H81" s="193">
        <v>2</v>
      </c>
      <c r="I81" s="193">
        <v>41.2</v>
      </c>
      <c r="J81" s="193">
        <v>2.8</v>
      </c>
      <c r="K81" s="189" t="s">
        <v>149</v>
      </c>
      <c r="L81" s="189">
        <v>32</v>
      </c>
      <c r="M81" s="189">
        <v>1800</v>
      </c>
      <c r="N81" s="189">
        <v>46</v>
      </c>
      <c r="O81" s="189">
        <v>2600</v>
      </c>
      <c r="P81" s="189"/>
      <c r="Q81" s="193"/>
      <c r="R81" s="200"/>
      <c r="S81" s="461"/>
      <c r="T81" s="461"/>
      <c r="U81" s="461"/>
      <c r="V81" s="461"/>
      <c r="W81" s="461"/>
      <c r="X81" s="461"/>
      <c r="Y81" s="461"/>
      <c r="Z81" s="461"/>
      <c r="AA81" s="461"/>
      <c r="AB81" s="461"/>
      <c r="AC81" s="461"/>
      <c r="AD81" s="461"/>
      <c r="AE81" s="461"/>
      <c r="AF81" s="461"/>
      <c r="AG81" s="461"/>
      <c r="AH81" s="461"/>
      <c r="AI81" s="461"/>
      <c r="AJ81" s="461"/>
      <c r="AK81" s="461"/>
      <c r="AL81" s="461"/>
      <c r="AM81" s="461"/>
      <c r="AN81" s="461"/>
      <c r="AO81" s="461"/>
      <c r="AP81" s="461"/>
      <c r="AQ81" s="461"/>
      <c r="AR81" s="461"/>
      <c r="AS81" s="461"/>
    </row>
    <row r="82" spans="1:45" s="102" customFormat="1" ht="12" customHeight="1">
      <c r="A82" s="118">
        <v>9</v>
      </c>
      <c r="B82" s="102" t="s">
        <v>255</v>
      </c>
      <c r="C82" s="125" t="s">
        <v>436</v>
      </c>
      <c r="D82" s="193">
        <v>11.4</v>
      </c>
      <c r="E82" s="193">
        <v>8.43</v>
      </c>
      <c r="F82" s="214">
        <f t="shared" si="4"/>
        <v>77</v>
      </c>
      <c r="G82" s="193">
        <v>7.7</v>
      </c>
      <c r="H82" s="193">
        <v>3.1</v>
      </c>
      <c r="I82" s="193">
        <v>46.9</v>
      </c>
      <c r="J82" s="193">
        <v>4.4000000000000004</v>
      </c>
      <c r="K82" s="189">
        <v>25</v>
      </c>
      <c r="L82" s="189">
        <v>100</v>
      </c>
      <c r="M82" s="189">
        <v>590</v>
      </c>
      <c r="N82" s="189">
        <v>130</v>
      </c>
      <c r="O82" s="189">
        <v>1500</v>
      </c>
      <c r="P82" s="189"/>
      <c r="Q82" s="193"/>
      <c r="R82" s="200"/>
      <c r="S82" s="461"/>
      <c r="T82" s="461"/>
      <c r="U82" s="461"/>
      <c r="V82" s="461"/>
      <c r="W82" s="461"/>
      <c r="X82" s="461"/>
      <c r="Y82" s="461"/>
      <c r="Z82" s="461"/>
      <c r="AA82" s="461"/>
      <c r="AB82" s="461"/>
      <c r="AC82" s="461"/>
      <c r="AD82" s="461"/>
      <c r="AE82" s="461"/>
      <c r="AF82" s="461"/>
      <c r="AG82" s="461"/>
      <c r="AH82" s="461"/>
      <c r="AI82" s="461"/>
      <c r="AJ82" s="461"/>
      <c r="AK82" s="461"/>
      <c r="AL82" s="461"/>
      <c r="AM82" s="461"/>
      <c r="AN82" s="461"/>
      <c r="AO82" s="461"/>
      <c r="AP82" s="461"/>
      <c r="AQ82" s="461"/>
      <c r="AR82" s="461"/>
      <c r="AS82" s="461"/>
    </row>
    <row r="83" spans="1:45" s="102" customFormat="1" ht="12" customHeight="1">
      <c r="A83" s="118">
        <v>11</v>
      </c>
      <c r="B83" s="102" t="s">
        <v>256</v>
      </c>
      <c r="C83" s="125" t="s">
        <v>435</v>
      </c>
      <c r="D83" s="193">
        <v>13</v>
      </c>
      <c r="E83" s="193">
        <v>10.52</v>
      </c>
      <c r="F83" s="214">
        <f t="shared" si="4"/>
        <v>100</v>
      </c>
      <c r="G83" s="193">
        <v>8.1</v>
      </c>
      <c r="H83" s="193">
        <v>1.2</v>
      </c>
      <c r="I83" s="193">
        <v>53.3</v>
      </c>
      <c r="J83" s="193">
        <v>1.2</v>
      </c>
      <c r="K83" s="189">
        <v>9.1999999999999993</v>
      </c>
      <c r="L83" s="189">
        <v>26</v>
      </c>
      <c r="M83" s="189">
        <v>1600</v>
      </c>
      <c r="N83" s="189">
        <v>22</v>
      </c>
      <c r="O83" s="189">
        <v>2200</v>
      </c>
      <c r="P83" s="189"/>
      <c r="Q83" s="193"/>
      <c r="R83" s="200"/>
      <c r="S83" s="461"/>
      <c r="T83" s="461"/>
      <c r="U83" s="461"/>
      <c r="V83" s="461"/>
      <c r="W83" s="461"/>
      <c r="X83" s="461"/>
      <c r="Y83" s="461"/>
      <c r="Z83" s="461"/>
      <c r="AA83" s="461"/>
      <c r="AB83" s="461"/>
      <c r="AC83" s="461"/>
      <c r="AD83" s="461"/>
      <c r="AE83" s="461"/>
      <c r="AF83" s="461"/>
      <c r="AG83" s="461"/>
      <c r="AH83" s="461"/>
      <c r="AI83" s="461"/>
      <c r="AJ83" s="461"/>
      <c r="AK83" s="461"/>
      <c r="AL83" s="461"/>
      <c r="AM83" s="461"/>
      <c r="AN83" s="461"/>
      <c r="AO83" s="461"/>
      <c r="AP83" s="461"/>
      <c r="AQ83" s="461"/>
      <c r="AR83" s="461"/>
      <c r="AS83" s="461"/>
    </row>
    <row r="84" spans="1:45" s="102" customFormat="1" ht="12" customHeight="1">
      <c r="A84" s="118">
        <v>13</v>
      </c>
      <c r="B84" s="102" t="s">
        <v>257</v>
      </c>
      <c r="C84" s="125" t="s">
        <v>435</v>
      </c>
      <c r="D84" s="193">
        <v>13.4</v>
      </c>
      <c r="E84" s="193">
        <v>10.88</v>
      </c>
      <c r="F84" s="214">
        <f t="shared" si="4"/>
        <v>105</v>
      </c>
      <c r="G84" s="193">
        <v>8.1</v>
      </c>
      <c r="H84" s="193">
        <v>1.8</v>
      </c>
      <c r="I84" s="193">
        <v>47.8</v>
      </c>
      <c r="J84" s="193">
        <v>1.8</v>
      </c>
      <c r="K84" s="189">
        <v>14</v>
      </c>
      <c r="L84" s="189">
        <v>39</v>
      </c>
      <c r="M84" s="189">
        <v>1500</v>
      </c>
      <c r="N84" s="189">
        <v>20</v>
      </c>
      <c r="O84" s="189">
        <v>2200</v>
      </c>
      <c r="P84" s="189"/>
      <c r="Q84" s="193"/>
      <c r="R84" s="200"/>
      <c r="S84" s="461"/>
      <c r="T84" s="461"/>
      <c r="U84" s="461"/>
      <c r="V84" s="461"/>
      <c r="W84" s="461"/>
      <c r="X84" s="461"/>
      <c r="Y84" s="461"/>
      <c r="Z84" s="461"/>
      <c r="AA84" s="461"/>
      <c r="AB84" s="461"/>
      <c r="AC84" s="461"/>
      <c r="AD84" s="461"/>
      <c r="AE84" s="461"/>
      <c r="AF84" s="461"/>
      <c r="AG84" s="461"/>
      <c r="AH84" s="461"/>
      <c r="AI84" s="461"/>
      <c r="AJ84" s="461"/>
      <c r="AK84" s="461"/>
      <c r="AL84" s="461"/>
      <c r="AM84" s="461"/>
      <c r="AN84" s="461"/>
      <c r="AO84" s="461"/>
      <c r="AP84" s="461"/>
      <c r="AQ84" s="461"/>
      <c r="AR84" s="461"/>
      <c r="AS84" s="461"/>
    </row>
    <row r="85" spans="1:45" s="102" customFormat="1" ht="12" customHeight="1">
      <c r="A85" s="118">
        <v>15</v>
      </c>
      <c r="B85" s="102" t="s">
        <v>258</v>
      </c>
      <c r="C85" s="125" t="s">
        <v>435</v>
      </c>
      <c r="D85" s="193">
        <v>13.8</v>
      </c>
      <c r="E85" s="193">
        <v>10.98</v>
      </c>
      <c r="F85" s="214">
        <f t="shared" si="4"/>
        <v>106</v>
      </c>
      <c r="G85" s="193">
        <v>8.1999999999999993</v>
      </c>
      <c r="H85" s="193">
        <v>3.5</v>
      </c>
      <c r="I85" s="193">
        <v>57.9</v>
      </c>
      <c r="J85" s="193">
        <v>1.7</v>
      </c>
      <c r="K85" s="189">
        <v>17</v>
      </c>
      <c r="L85" s="189">
        <v>47</v>
      </c>
      <c r="M85" s="189">
        <v>2000</v>
      </c>
      <c r="N85" s="189">
        <v>28</v>
      </c>
      <c r="O85" s="189">
        <v>2600</v>
      </c>
      <c r="P85" s="189"/>
      <c r="Q85" s="193"/>
      <c r="R85" s="200"/>
      <c r="S85" s="461"/>
      <c r="T85" s="461"/>
      <c r="U85" s="461"/>
      <c r="V85" s="461"/>
      <c r="W85" s="461"/>
      <c r="X85" s="461"/>
      <c r="Y85" s="461"/>
      <c r="Z85" s="461"/>
      <c r="AA85" s="461"/>
      <c r="AB85" s="461"/>
      <c r="AC85" s="461"/>
      <c r="AD85" s="461"/>
      <c r="AE85" s="461"/>
      <c r="AF85" s="461"/>
      <c r="AG85" s="461"/>
      <c r="AH85" s="461"/>
      <c r="AI85" s="461"/>
      <c r="AJ85" s="461"/>
      <c r="AK85" s="461"/>
      <c r="AL85" s="461"/>
      <c r="AM85" s="461"/>
      <c r="AN85" s="461"/>
      <c r="AO85" s="461"/>
      <c r="AP85" s="461"/>
      <c r="AQ85" s="461"/>
      <c r="AR85" s="461"/>
      <c r="AS85" s="461"/>
    </row>
    <row r="86" spans="1:45" s="102" customFormat="1" ht="12" customHeight="1">
      <c r="A86" s="118">
        <v>17</v>
      </c>
      <c r="B86" s="102" t="s">
        <v>259</v>
      </c>
      <c r="C86" s="125" t="s">
        <v>435</v>
      </c>
      <c r="D86" s="193">
        <v>13.9</v>
      </c>
      <c r="E86" s="193">
        <v>11.03</v>
      </c>
      <c r="F86" s="214">
        <f t="shared" si="4"/>
        <v>107</v>
      </c>
      <c r="G86" s="193">
        <v>8.1</v>
      </c>
      <c r="H86" s="193">
        <v>8.3000000000000007</v>
      </c>
      <c r="I86" s="193">
        <v>40.9</v>
      </c>
      <c r="J86" s="193">
        <v>1.45</v>
      </c>
      <c r="K86" s="189">
        <v>13</v>
      </c>
      <c r="L86" s="189">
        <v>110</v>
      </c>
      <c r="M86" s="189">
        <v>770</v>
      </c>
      <c r="N86" s="189" t="s">
        <v>148</v>
      </c>
      <c r="O86" s="189">
        <v>1400</v>
      </c>
      <c r="P86" s="189"/>
      <c r="Q86" s="193"/>
      <c r="R86" s="200"/>
      <c r="S86" s="461"/>
      <c r="T86" s="461"/>
      <c r="U86" s="461"/>
      <c r="V86" s="461"/>
      <c r="W86" s="461"/>
      <c r="X86" s="461"/>
      <c r="Y86" s="461"/>
      <c r="Z86" s="461"/>
      <c r="AA86" s="461"/>
      <c r="AB86" s="461"/>
      <c r="AC86" s="461"/>
      <c r="AD86" s="461"/>
      <c r="AE86" s="461"/>
      <c r="AF86" s="461"/>
      <c r="AG86" s="461"/>
      <c r="AH86" s="461"/>
      <c r="AI86" s="461"/>
      <c r="AJ86" s="461"/>
      <c r="AK86" s="461"/>
      <c r="AL86" s="461"/>
      <c r="AM86" s="461"/>
      <c r="AN86" s="461"/>
      <c r="AO86" s="461"/>
      <c r="AP86" s="461"/>
      <c r="AQ86" s="461"/>
      <c r="AR86" s="461"/>
      <c r="AS86" s="461"/>
    </row>
    <row r="87" spans="1:45" s="102" customFormat="1" ht="12" customHeight="1">
      <c r="A87" s="118">
        <v>18</v>
      </c>
      <c r="B87" s="102" t="s">
        <v>266</v>
      </c>
      <c r="C87" s="125" t="s">
        <v>436</v>
      </c>
      <c r="D87" s="193">
        <v>10.199999999999999</v>
      </c>
      <c r="E87" s="193">
        <v>11.53</v>
      </c>
      <c r="F87" s="214">
        <f t="shared" si="4"/>
        <v>103</v>
      </c>
      <c r="G87" s="193">
        <v>8.3000000000000007</v>
      </c>
      <c r="H87" s="193">
        <v>4.3</v>
      </c>
      <c r="I87" s="193">
        <v>55</v>
      </c>
      <c r="J87" s="193">
        <v>1.4</v>
      </c>
      <c r="K87" s="189">
        <v>26</v>
      </c>
      <c r="L87" s="189">
        <v>58</v>
      </c>
      <c r="M87" s="189">
        <v>1100</v>
      </c>
      <c r="N87" s="189" t="s">
        <v>148</v>
      </c>
      <c r="O87" s="189">
        <v>1800</v>
      </c>
      <c r="P87" s="189"/>
      <c r="Q87" s="193"/>
      <c r="R87" s="200"/>
      <c r="S87" s="461"/>
      <c r="T87" s="461"/>
      <c r="U87" s="461"/>
      <c r="V87" s="461"/>
      <c r="W87" s="461"/>
      <c r="X87" s="461"/>
      <c r="Y87" s="461"/>
      <c r="Z87" s="461"/>
      <c r="AA87" s="461"/>
      <c r="AB87" s="461"/>
      <c r="AC87" s="461"/>
      <c r="AD87" s="461"/>
      <c r="AE87" s="461"/>
      <c r="AF87" s="461"/>
      <c r="AG87" s="461"/>
      <c r="AH87" s="461"/>
      <c r="AI87" s="461"/>
      <c r="AJ87" s="461"/>
      <c r="AK87" s="461"/>
      <c r="AL87" s="461"/>
      <c r="AM87" s="461"/>
      <c r="AN87" s="461"/>
      <c r="AO87" s="461"/>
      <c r="AP87" s="461"/>
      <c r="AQ87" s="461"/>
      <c r="AR87" s="461"/>
      <c r="AS87" s="461"/>
    </row>
    <row r="88" spans="1:45" s="102" customFormat="1" ht="12" customHeight="1">
      <c r="A88" s="118">
        <v>19</v>
      </c>
      <c r="B88" s="102" t="s">
        <v>260</v>
      </c>
      <c r="C88" s="125" t="s">
        <v>435</v>
      </c>
      <c r="D88" s="193">
        <v>14.5</v>
      </c>
      <c r="E88" s="193">
        <v>10.050000000000001</v>
      </c>
      <c r="F88" s="214">
        <f t="shared" si="4"/>
        <v>99</v>
      </c>
      <c r="G88" s="193">
        <v>8</v>
      </c>
      <c r="H88" s="193">
        <v>1.6</v>
      </c>
      <c r="I88" s="193">
        <v>76.099999999999994</v>
      </c>
      <c r="J88" s="193">
        <v>1.6</v>
      </c>
      <c r="K88" s="189">
        <v>58</v>
      </c>
      <c r="L88" s="189">
        <v>99</v>
      </c>
      <c r="M88" s="189">
        <v>2400</v>
      </c>
      <c r="N88" s="189">
        <v>52</v>
      </c>
      <c r="O88" s="189">
        <v>3200</v>
      </c>
      <c r="P88" s="189"/>
      <c r="Q88" s="193"/>
      <c r="R88" s="200"/>
      <c r="S88" s="461"/>
      <c r="T88" s="461"/>
      <c r="U88" s="461"/>
      <c r="V88" s="461"/>
      <c r="W88" s="461"/>
      <c r="X88" s="461"/>
      <c r="Y88" s="461"/>
      <c r="Z88" s="461"/>
      <c r="AA88" s="461"/>
      <c r="AB88" s="461"/>
      <c r="AC88" s="461"/>
      <c r="AD88" s="461"/>
      <c r="AE88" s="461"/>
      <c r="AF88" s="461"/>
      <c r="AG88" s="461"/>
      <c r="AH88" s="461"/>
      <c r="AI88" s="461"/>
      <c r="AJ88" s="461"/>
      <c r="AK88" s="461"/>
      <c r="AL88" s="461"/>
      <c r="AM88" s="461"/>
      <c r="AN88" s="461"/>
      <c r="AO88" s="461"/>
      <c r="AP88" s="461"/>
      <c r="AQ88" s="461"/>
      <c r="AR88" s="461"/>
      <c r="AS88" s="461"/>
    </row>
    <row r="89" spans="1:45" s="102" customFormat="1" ht="12" customHeight="1">
      <c r="A89" s="118">
        <v>20</v>
      </c>
      <c r="B89" s="102" t="s">
        <v>267</v>
      </c>
      <c r="C89" s="125" t="s">
        <v>435</v>
      </c>
      <c r="D89" s="193">
        <v>15.5</v>
      </c>
      <c r="E89" s="193">
        <v>10.1</v>
      </c>
      <c r="F89" s="214">
        <f>IF(E89&lt;&gt;"",ROUND((E89/((9.266*EXP(-0.04555*D89)+5.374))*100),0),"")</f>
        <v>102</v>
      </c>
      <c r="G89" s="193">
        <v>7.9</v>
      </c>
      <c r="H89" s="193">
        <v>1.8</v>
      </c>
      <c r="I89" s="193">
        <v>76.400000000000006</v>
      </c>
      <c r="J89" s="193">
        <v>2.1</v>
      </c>
      <c r="K89" s="189">
        <v>44</v>
      </c>
      <c r="L89" s="189">
        <v>100</v>
      </c>
      <c r="M89" s="189">
        <v>2000</v>
      </c>
      <c r="N89" s="189">
        <v>54</v>
      </c>
      <c r="O89" s="189">
        <v>3000</v>
      </c>
      <c r="P89" s="189"/>
      <c r="Q89" s="193"/>
      <c r="R89" s="200"/>
      <c r="S89" s="461"/>
      <c r="T89" s="461"/>
      <c r="U89" s="461"/>
      <c r="V89" s="461"/>
      <c r="W89" s="461"/>
      <c r="X89" s="461"/>
      <c r="Y89" s="461"/>
      <c r="Z89" s="461"/>
      <c r="AA89" s="461"/>
      <c r="AB89" s="461"/>
      <c r="AC89" s="461"/>
      <c r="AD89" s="461"/>
      <c r="AE89" s="461"/>
      <c r="AF89" s="461"/>
      <c r="AG89" s="461"/>
      <c r="AH89" s="461"/>
      <c r="AI89" s="461"/>
      <c r="AJ89" s="461"/>
      <c r="AK89" s="461"/>
      <c r="AL89" s="461"/>
      <c r="AM89" s="461"/>
      <c r="AN89" s="461"/>
      <c r="AO89" s="461"/>
      <c r="AP89" s="461"/>
      <c r="AQ89" s="461"/>
      <c r="AR89" s="461"/>
      <c r="AS89" s="461"/>
    </row>
    <row r="90" spans="1:45" s="102" customFormat="1" ht="12" customHeight="1">
      <c r="A90" s="118">
        <v>21</v>
      </c>
      <c r="B90" s="102" t="s">
        <v>261</v>
      </c>
      <c r="C90" s="125" t="s">
        <v>435</v>
      </c>
      <c r="D90" s="193">
        <v>13.8</v>
      </c>
      <c r="E90" s="193">
        <v>11.59</v>
      </c>
      <c r="F90" s="214">
        <f t="shared" si="4"/>
        <v>112</v>
      </c>
      <c r="G90" s="193">
        <v>8.1999999999999993</v>
      </c>
      <c r="H90" s="193">
        <v>1.7</v>
      </c>
      <c r="I90" s="193">
        <v>52.1</v>
      </c>
      <c r="J90" s="193">
        <v>1.9</v>
      </c>
      <c r="K90" s="189">
        <v>37</v>
      </c>
      <c r="L90" s="189">
        <v>79</v>
      </c>
      <c r="M90" s="189">
        <v>1500</v>
      </c>
      <c r="N90" s="189">
        <v>32</v>
      </c>
      <c r="O90" s="189">
        <v>2200</v>
      </c>
      <c r="P90" s="189"/>
      <c r="Q90" s="193"/>
      <c r="R90" s="200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</row>
    <row r="91" spans="1:45" s="102" customFormat="1" ht="12" customHeight="1">
      <c r="A91" s="118">
        <v>22</v>
      </c>
      <c r="B91" s="102" t="s">
        <v>268</v>
      </c>
      <c r="C91" s="125" t="s">
        <v>435</v>
      </c>
      <c r="D91" s="193">
        <v>13.1</v>
      </c>
      <c r="E91" s="193">
        <v>10.73</v>
      </c>
      <c r="F91" s="214">
        <f t="shared" si="4"/>
        <v>102</v>
      </c>
      <c r="G91" s="193">
        <v>8.1</v>
      </c>
      <c r="H91" s="193">
        <v>1.3</v>
      </c>
      <c r="I91" s="193">
        <v>42.8</v>
      </c>
      <c r="J91" s="193">
        <v>1.7</v>
      </c>
      <c r="K91" s="189">
        <v>25</v>
      </c>
      <c r="L91" s="189">
        <v>59</v>
      </c>
      <c r="M91" s="189">
        <v>1100</v>
      </c>
      <c r="N91" s="189">
        <v>26</v>
      </c>
      <c r="O91" s="189">
        <v>1800</v>
      </c>
      <c r="P91" s="189"/>
      <c r="Q91" s="193"/>
      <c r="R91" s="200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  <c r="AL91" s="461"/>
      <c r="AM91" s="461"/>
      <c r="AN91" s="461"/>
      <c r="AO91" s="461"/>
      <c r="AP91" s="461"/>
      <c r="AQ91" s="461"/>
      <c r="AR91" s="461"/>
      <c r="AS91" s="461"/>
    </row>
    <row r="92" spans="1:45" s="102" customFormat="1" ht="12" customHeight="1">
      <c r="A92" s="118">
        <v>23</v>
      </c>
      <c r="B92" s="122" t="s">
        <v>297</v>
      </c>
      <c r="C92" s="125" t="s">
        <v>435</v>
      </c>
      <c r="D92" s="193">
        <v>15.5</v>
      </c>
      <c r="E92" s="193">
        <v>11.5</v>
      </c>
      <c r="F92" s="214">
        <f t="shared" si="4"/>
        <v>116</v>
      </c>
      <c r="G92" s="193">
        <v>8</v>
      </c>
      <c r="H92" s="193">
        <v>3.8</v>
      </c>
      <c r="I92" s="193">
        <v>68.099999999999994</v>
      </c>
      <c r="J92" s="193">
        <v>2.2999999999999998</v>
      </c>
      <c r="K92" s="189">
        <v>29</v>
      </c>
      <c r="L92" s="189">
        <v>130</v>
      </c>
      <c r="M92" s="189">
        <v>4000</v>
      </c>
      <c r="N92" s="189">
        <v>91</v>
      </c>
      <c r="O92" s="189">
        <v>4500</v>
      </c>
      <c r="P92" s="189"/>
      <c r="Q92" s="193"/>
      <c r="R92" s="200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  <c r="AL92" s="461"/>
      <c r="AM92" s="461"/>
      <c r="AN92" s="461"/>
      <c r="AO92" s="461"/>
      <c r="AP92" s="461"/>
      <c r="AQ92" s="461"/>
      <c r="AR92" s="461"/>
      <c r="AS92" s="461"/>
    </row>
    <row r="93" spans="1:45" s="102" customFormat="1" ht="12" customHeight="1">
      <c r="A93" s="118">
        <v>24</v>
      </c>
      <c r="B93" s="102" t="s">
        <v>269</v>
      </c>
      <c r="C93" s="125" t="s">
        <v>435</v>
      </c>
      <c r="D93" s="193">
        <v>14</v>
      </c>
      <c r="E93" s="193">
        <v>12.1</v>
      </c>
      <c r="F93" s="214">
        <f t="shared" si="4"/>
        <v>118</v>
      </c>
      <c r="G93" s="193">
        <v>8.1999999999999993</v>
      </c>
      <c r="H93" s="193">
        <v>3</v>
      </c>
      <c r="I93" s="193">
        <v>67.900000000000006</v>
      </c>
      <c r="J93" s="193">
        <v>1.6</v>
      </c>
      <c r="K93" s="189">
        <v>25</v>
      </c>
      <c r="L93" s="189">
        <v>66</v>
      </c>
      <c r="M93" s="189">
        <v>1700</v>
      </c>
      <c r="N93" s="189" t="s">
        <v>148</v>
      </c>
      <c r="O93" s="189">
        <v>2200</v>
      </c>
      <c r="P93" s="189"/>
      <c r="Q93" s="193"/>
      <c r="R93" s="200"/>
      <c r="S93" s="461"/>
      <c r="T93" s="461"/>
      <c r="U93" s="461"/>
      <c r="V93" s="461"/>
      <c r="W93" s="461"/>
      <c r="X93" s="461"/>
      <c r="Y93" s="461"/>
      <c r="Z93" s="461"/>
      <c r="AA93" s="461"/>
      <c r="AB93" s="461"/>
      <c r="AC93" s="461"/>
      <c r="AD93" s="461"/>
      <c r="AE93" s="461"/>
      <c r="AF93" s="461"/>
      <c r="AG93" s="461"/>
      <c r="AH93" s="461"/>
      <c r="AI93" s="461"/>
      <c r="AJ93" s="461"/>
      <c r="AK93" s="461"/>
      <c r="AL93" s="461"/>
      <c r="AM93" s="461"/>
      <c r="AN93" s="461"/>
      <c r="AO93" s="461"/>
      <c r="AP93" s="461"/>
      <c r="AQ93" s="461"/>
      <c r="AR93" s="461"/>
      <c r="AS93" s="461"/>
    </row>
    <row r="94" spans="1:45" s="102" customFormat="1" ht="12" customHeight="1">
      <c r="A94" s="118">
        <v>25</v>
      </c>
      <c r="B94" s="102" t="s">
        <v>263</v>
      </c>
      <c r="C94" s="125" t="s">
        <v>435</v>
      </c>
      <c r="D94" s="193">
        <v>13.1</v>
      </c>
      <c r="E94" s="193">
        <v>9.8800000000000008</v>
      </c>
      <c r="F94" s="214">
        <f t="shared" si="4"/>
        <v>94</v>
      </c>
      <c r="G94" s="193">
        <v>8</v>
      </c>
      <c r="H94" s="193">
        <v>3.8</v>
      </c>
      <c r="I94" s="193">
        <v>44.1</v>
      </c>
      <c r="J94" s="193">
        <v>0.98</v>
      </c>
      <c r="K94" s="189">
        <v>15</v>
      </c>
      <c r="L94" s="189">
        <v>43</v>
      </c>
      <c r="M94" s="189">
        <v>270</v>
      </c>
      <c r="N94" s="189">
        <v>28</v>
      </c>
      <c r="O94" s="189">
        <v>930</v>
      </c>
      <c r="P94" s="189"/>
      <c r="Q94" s="193"/>
      <c r="R94" s="200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  <c r="AS94" s="461"/>
    </row>
    <row r="95" spans="1:45" s="102" customFormat="1" ht="12" customHeight="1">
      <c r="A95" s="118">
        <v>27</v>
      </c>
      <c r="B95" s="102" t="s">
        <v>264</v>
      </c>
      <c r="C95" s="125" t="s">
        <v>435</v>
      </c>
      <c r="D95" s="193">
        <v>15.2</v>
      </c>
      <c r="E95" s="193">
        <v>10.3</v>
      </c>
      <c r="F95" s="214">
        <f t="shared" si="4"/>
        <v>103</v>
      </c>
      <c r="G95" s="193">
        <v>8.1999999999999993</v>
      </c>
      <c r="H95" s="193">
        <v>2.8</v>
      </c>
      <c r="I95" s="193">
        <v>36.200000000000003</v>
      </c>
      <c r="J95" s="193">
        <v>2</v>
      </c>
      <c r="K95" s="189">
        <v>6.5</v>
      </c>
      <c r="L95" s="189">
        <v>30</v>
      </c>
      <c r="M95" s="189">
        <v>57</v>
      </c>
      <c r="N95" s="189">
        <v>61</v>
      </c>
      <c r="O95" s="189">
        <v>970</v>
      </c>
      <c r="P95" s="189"/>
      <c r="Q95" s="193"/>
      <c r="R95" s="200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  <c r="AL95" s="461"/>
      <c r="AM95" s="461"/>
      <c r="AN95" s="461"/>
      <c r="AO95" s="461"/>
      <c r="AP95" s="461"/>
      <c r="AQ95" s="461"/>
      <c r="AR95" s="461"/>
      <c r="AS95" s="461"/>
    </row>
    <row r="96" spans="1:45" s="102" customFormat="1" ht="12" customHeight="1">
      <c r="A96" s="118">
        <v>29</v>
      </c>
      <c r="B96" s="102" t="s">
        <v>295</v>
      </c>
      <c r="C96" s="125" t="s">
        <v>436</v>
      </c>
      <c r="D96" s="193">
        <v>12</v>
      </c>
      <c r="E96" s="193">
        <v>10.79</v>
      </c>
      <c r="F96" s="214">
        <f>IF(E96&lt;&gt;"",ROUND((E96/((9.266*EXP(-0.04555*D96)+5.374))*100),0),"")</f>
        <v>100</v>
      </c>
      <c r="G96" s="193">
        <v>8.6</v>
      </c>
      <c r="H96" s="193">
        <v>1.9</v>
      </c>
      <c r="I96" s="193">
        <v>40.5</v>
      </c>
      <c r="J96" s="193"/>
      <c r="K96" s="189" t="s">
        <v>149</v>
      </c>
      <c r="L96" s="189">
        <v>22</v>
      </c>
      <c r="M96" s="189">
        <v>1800</v>
      </c>
      <c r="N96" s="189">
        <v>39</v>
      </c>
      <c r="O96" s="189">
        <v>2600</v>
      </c>
      <c r="P96" s="189">
        <v>13</v>
      </c>
      <c r="Q96" s="193">
        <v>1.8</v>
      </c>
      <c r="R96" s="200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461"/>
      <c r="AK96" s="461"/>
      <c r="AL96" s="461"/>
      <c r="AM96" s="461"/>
      <c r="AN96" s="461"/>
      <c r="AO96" s="461"/>
      <c r="AP96" s="461"/>
      <c r="AQ96" s="461"/>
      <c r="AR96" s="461"/>
      <c r="AS96" s="461"/>
    </row>
    <row r="97" spans="1:45" s="102" customFormat="1" ht="12" customHeight="1">
      <c r="A97" s="118">
        <v>30</v>
      </c>
      <c r="B97" s="102" t="s">
        <v>296</v>
      </c>
      <c r="C97" s="125" t="s">
        <v>436</v>
      </c>
      <c r="D97" s="193">
        <v>11.4</v>
      </c>
      <c r="E97" s="193">
        <v>10.52</v>
      </c>
      <c r="F97" s="214">
        <f t="shared" si="4"/>
        <v>97</v>
      </c>
      <c r="G97" s="193"/>
      <c r="H97" s="193"/>
      <c r="I97" s="193"/>
      <c r="J97" s="193"/>
      <c r="K97" s="189" t="s">
        <v>149</v>
      </c>
      <c r="L97" s="189">
        <v>25</v>
      </c>
      <c r="M97" s="189">
        <v>2000</v>
      </c>
      <c r="N97" s="189">
        <v>44</v>
      </c>
      <c r="O97" s="189">
        <v>2500</v>
      </c>
      <c r="P97" s="189"/>
      <c r="Q97" s="193"/>
      <c r="R97" s="200" t="s">
        <v>437</v>
      </c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  <c r="AE97" s="461"/>
      <c r="AF97" s="461"/>
      <c r="AG97" s="461"/>
      <c r="AH97" s="461"/>
      <c r="AI97" s="461"/>
      <c r="AJ97" s="461"/>
      <c r="AK97" s="461"/>
      <c r="AL97" s="461"/>
      <c r="AM97" s="461"/>
      <c r="AN97" s="461"/>
      <c r="AO97" s="461"/>
      <c r="AP97" s="461"/>
      <c r="AQ97" s="461"/>
      <c r="AR97" s="461"/>
      <c r="AS97" s="461"/>
    </row>
    <row r="98" spans="1:45">
      <c r="A98" s="1">
        <v>200</v>
      </c>
      <c r="B98" s="62" t="s">
        <v>97</v>
      </c>
      <c r="C98" s="125"/>
      <c r="D98" s="554"/>
      <c r="E98" s="554" t="s">
        <v>407</v>
      </c>
      <c r="F98" s="269"/>
      <c r="G98" s="187"/>
      <c r="H98" s="187"/>
      <c r="I98" s="187"/>
      <c r="J98" s="187"/>
      <c r="K98" s="188"/>
      <c r="L98" s="188"/>
      <c r="M98" s="188"/>
      <c r="N98" s="188"/>
      <c r="O98" s="188"/>
      <c r="P98" s="188"/>
      <c r="Q98" s="187"/>
      <c r="R98" s="200"/>
      <c r="S98" s="462"/>
      <c r="T98" s="463"/>
      <c r="U98" s="464"/>
      <c r="V98" s="464"/>
      <c r="W98" s="460"/>
      <c r="X98" s="460"/>
      <c r="Y98" s="460"/>
      <c r="Z98" s="460"/>
      <c r="AA98" s="460"/>
      <c r="AB98" s="460"/>
      <c r="AC98" s="460"/>
      <c r="AD98" s="460"/>
      <c r="AE98" s="460"/>
      <c r="AF98" s="460"/>
      <c r="AG98" s="460"/>
      <c r="AH98" s="460"/>
      <c r="AI98" s="460"/>
      <c r="AJ98" s="460"/>
      <c r="AK98" s="460"/>
      <c r="AL98" s="460"/>
      <c r="AM98" s="460"/>
      <c r="AN98" s="460"/>
      <c r="AO98" s="460"/>
      <c r="AP98" s="460"/>
      <c r="AQ98" s="460"/>
      <c r="AR98" s="460"/>
      <c r="AS98" s="460"/>
    </row>
    <row r="99" spans="1:45" s="460" customFormat="1" ht="17.25" customHeight="1">
      <c r="A99" s="473">
        <v>250</v>
      </c>
      <c r="B99" s="474" t="s">
        <v>25</v>
      </c>
      <c r="C99" s="480"/>
      <c r="D99" s="476"/>
      <c r="E99" s="476"/>
      <c r="F99" s="556"/>
      <c r="G99" s="476"/>
      <c r="H99" s="476"/>
      <c r="I99" s="476"/>
      <c r="J99" s="476"/>
      <c r="K99" s="477"/>
      <c r="L99" s="477"/>
      <c r="M99" s="477"/>
      <c r="N99" s="477"/>
      <c r="O99" s="477"/>
      <c r="P99" s="477"/>
      <c r="Q99" s="476"/>
      <c r="R99" s="478"/>
      <c r="S99" s="465"/>
      <c r="T99" s="463"/>
      <c r="U99" s="464"/>
      <c r="V99" s="464"/>
    </row>
    <row r="100" spans="1:45" s="102" customFormat="1" ht="12" customHeight="1">
      <c r="A100" s="117">
        <v>3</v>
      </c>
      <c r="B100" s="102" t="s">
        <v>252</v>
      </c>
      <c r="C100" s="125">
        <v>45826</v>
      </c>
      <c r="D100" s="193">
        <v>20.5</v>
      </c>
      <c r="E100" s="193">
        <v>8.3800000000000008</v>
      </c>
      <c r="F100" s="214">
        <f t="shared" ref="F100:F107" si="5">IF(E100&lt;&gt;"",ROUND((E100/((9.266*EXP(-0.04555*D100)+5.374))*100),0),"")</f>
        <v>93</v>
      </c>
      <c r="G100" s="193">
        <v>7.9</v>
      </c>
      <c r="H100" s="193">
        <v>1.2</v>
      </c>
      <c r="I100" s="193">
        <v>52.1</v>
      </c>
      <c r="J100" s="193">
        <v>0.89</v>
      </c>
      <c r="K100" s="189">
        <v>48</v>
      </c>
      <c r="L100" s="189">
        <v>68</v>
      </c>
      <c r="M100" s="189">
        <v>1000</v>
      </c>
      <c r="N100" s="189">
        <v>44</v>
      </c>
      <c r="O100" s="189">
        <v>1900</v>
      </c>
      <c r="P100" s="189"/>
      <c r="Q100" s="193"/>
      <c r="R100" s="202"/>
      <c r="S100" s="466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461"/>
      <c r="AR100" s="461"/>
      <c r="AS100" s="461"/>
    </row>
    <row r="101" spans="1:45" s="102" customFormat="1" ht="12" customHeight="1">
      <c r="A101" s="117">
        <v>6</v>
      </c>
      <c r="B101" s="102" t="s">
        <v>265</v>
      </c>
      <c r="C101" s="125">
        <v>45826</v>
      </c>
      <c r="D101" s="193">
        <v>19.8</v>
      </c>
      <c r="E101" s="193">
        <v>9.4700000000000006</v>
      </c>
      <c r="F101" s="214">
        <f t="shared" si="5"/>
        <v>104</v>
      </c>
      <c r="G101" s="193">
        <v>7.9</v>
      </c>
      <c r="H101" s="193">
        <v>1.2</v>
      </c>
      <c r="I101" s="193">
        <v>47.3</v>
      </c>
      <c r="J101" s="193">
        <v>1.2</v>
      </c>
      <c r="K101" s="189">
        <v>14</v>
      </c>
      <c r="L101" s="189">
        <v>37</v>
      </c>
      <c r="M101" s="189">
        <v>490</v>
      </c>
      <c r="N101" s="189">
        <v>36</v>
      </c>
      <c r="O101" s="189">
        <v>1200</v>
      </c>
      <c r="P101" s="189"/>
      <c r="Q101" s="193"/>
      <c r="R101" s="202"/>
      <c r="S101" s="466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461"/>
      <c r="AK101" s="461"/>
      <c r="AL101" s="461"/>
      <c r="AM101" s="461"/>
      <c r="AN101" s="461"/>
      <c r="AO101" s="461"/>
      <c r="AP101" s="461"/>
      <c r="AQ101" s="461"/>
      <c r="AR101" s="461"/>
      <c r="AS101" s="461"/>
    </row>
    <row r="102" spans="1:45" s="102" customFormat="1" ht="12" customHeight="1">
      <c r="A102" s="117">
        <v>7</v>
      </c>
      <c r="B102" s="122" t="s">
        <v>254</v>
      </c>
      <c r="C102" s="125">
        <v>45826</v>
      </c>
      <c r="D102" s="193">
        <v>17.8</v>
      </c>
      <c r="E102" s="193">
        <v>9.8699999999999992</v>
      </c>
      <c r="F102" s="214">
        <f t="shared" si="5"/>
        <v>104</v>
      </c>
      <c r="G102" s="193">
        <v>8.3000000000000007</v>
      </c>
      <c r="H102" s="193">
        <v>4.4000000000000004</v>
      </c>
      <c r="I102" s="193">
        <v>39.799999999999997</v>
      </c>
      <c r="J102" s="193">
        <v>1.7</v>
      </c>
      <c r="K102" s="189" t="s">
        <v>149</v>
      </c>
      <c r="L102" s="189">
        <v>31</v>
      </c>
      <c r="M102" s="189">
        <v>890</v>
      </c>
      <c r="N102" s="189">
        <v>47</v>
      </c>
      <c r="O102" s="189">
        <v>1600</v>
      </c>
      <c r="P102" s="189"/>
      <c r="Q102" s="193"/>
      <c r="R102" s="202"/>
      <c r="S102" s="466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461"/>
      <c r="AR102" s="461"/>
      <c r="AS102" s="461"/>
    </row>
    <row r="103" spans="1:45" s="102" customFormat="1" ht="12" customHeight="1">
      <c r="A103" s="117">
        <v>11</v>
      </c>
      <c r="B103" s="102" t="s">
        <v>256</v>
      </c>
      <c r="C103" s="125">
        <v>45826</v>
      </c>
      <c r="D103" s="193">
        <v>17.2</v>
      </c>
      <c r="E103" s="193">
        <v>9.0299999999999994</v>
      </c>
      <c r="F103" s="214">
        <f t="shared" si="5"/>
        <v>94</v>
      </c>
      <c r="G103" s="193">
        <v>8</v>
      </c>
      <c r="H103" s="193">
        <v>1.9</v>
      </c>
      <c r="I103" s="193">
        <v>55.6</v>
      </c>
      <c r="J103" s="193">
        <v>1</v>
      </c>
      <c r="K103" s="189">
        <v>35</v>
      </c>
      <c r="L103" s="189">
        <v>58</v>
      </c>
      <c r="M103" s="189">
        <v>1500</v>
      </c>
      <c r="N103" s="189">
        <v>37</v>
      </c>
      <c r="O103" s="189">
        <v>2300</v>
      </c>
      <c r="P103" s="189"/>
      <c r="Q103" s="193"/>
      <c r="R103" s="202"/>
      <c r="S103" s="466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  <c r="AS103" s="461"/>
    </row>
    <row r="104" spans="1:45" s="102" customFormat="1" ht="12" customHeight="1">
      <c r="A104" s="117">
        <v>19</v>
      </c>
      <c r="B104" s="102" t="s">
        <v>260</v>
      </c>
      <c r="C104" s="125">
        <v>45826</v>
      </c>
      <c r="D104" s="193">
        <v>18.7</v>
      </c>
      <c r="E104" s="193">
        <v>7.31</v>
      </c>
      <c r="F104" s="214">
        <f t="shared" si="5"/>
        <v>78</v>
      </c>
      <c r="G104" s="193">
        <v>7.8</v>
      </c>
      <c r="H104" s="193">
        <v>1.8</v>
      </c>
      <c r="I104" s="193">
        <v>65.7</v>
      </c>
      <c r="J104" s="193">
        <v>1.2</v>
      </c>
      <c r="K104" s="189">
        <v>74</v>
      </c>
      <c r="L104" s="189">
        <v>110</v>
      </c>
      <c r="M104" s="189">
        <v>3800</v>
      </c>
      <c r="N104" s="189">
        <v>55</v>
      </c>
      <c r="O104" s="189">
        <v>3800</v>
      </c>
      <c r="P104" s="189"/>
      <c r="Q104" s="193"/>
      <c r="R104" s="202"/>
      <c r="S104" s="466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  <c r="AS104" s="461"/>
    </row>
    <row r="105" spans="1:45" s="102" customFormat="1" ht="12" customHeight="1">
      <c r="A105" s="117">
        <v>20</v>
      </c>
      <c r="B105" s="102" t="s">
        <v>267</v>
      </c>
      <c r="C105" s="125">
        <v>45826</v>
      </c>
      <c r="D105" s="193">
        <v>18.600000000000001</v>
      </c>
      <c r="E105" s="193">
        <v>9.52</v>
      </c>
      <c r="F105" s="214">
        <f>IF(E105&lt;&gt;"",ROUND((E105/((9.266*EXP(-0.04555*D105)+5.374))*100),0),"")</f>
        <v>102</v>
      </c>
      <c r="G105" s="193">
        <v>8</v>
      </c>
      <c r="H105" s="193">
        <v>2.4</v>
      </c>
      <c r="I105" s="193">
        <v>65</v>
      </c>
      <c r="J105" s="193">
        <v>1.3</v>
      </c>
      <c r="K105" s="189">
        <v>75</v>
      </c>
      <c r="L105" s="189">
        <v>110</v>
      </c>
      <c r="M105" s="189">
        <v>3100</v>
      </c>
      <c r="N105" s="189">
        <v>60</v>
      </c>
      <c r="O105" s="189">
        <v>3600</v>
      </c>
      <c r="P105" s="189"/>
      <c r="Q105" s="193"/>
      <c r="R105" s="202"/>
      <c r="S105" s="466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</row>
    <row r="106" spans="1:45" s="102" customFormat="1" ht="12" customHeight="1">
      <c r="A106" s="117">
        <v>21</v>
      </c>
      <c r="B106" s="102" t="s">
        <v>261</v>
      </c>
      <c r="C106" s="125">
        <v>45826</v>
      </c>
      <c r="D106" s="193">
        <v>17.7</v>
      </c>
      <c r="E106" s="193">
        <v>9.89</v>
      </c>
      <c r="F106" s="214">
        <f t="shared" si="5"/>
        <v>104</v>
      </c>
      <c r="G106" s="193">
        <v>8.1</v>
      </c>
      <c r="H106" s="193">
        <v>1.3</v>
      </c>
      <c r="I106" s="193">
        <v>51.7</v>
      </c>
      <c r="J106" s="193">
        <v>1.3</v>
      </c>
      <c r="K106" s="189">
        <v>88</v>
      </c>
      <c r="L106" s="189">
        <v>120</v>
      </c>
      <c r="M106" s="189">
        <v>580</v>
      </c>
      <c r="N106" s="189">
        <v>40</v>
      </c>
      <c r="O106" s="189">
        <v>1200</v>
      </c>
      <c r="P106" s="189"/>
      <c r="Q106" s="193"/>
      <c r="R106" s="202"/>
      <c r="S106" s="466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</row>
    <row r="107" spans="1:45" s="102" customFormat="1" ht="12" customHeight="1">
      <c r="A107" s="117">
        <v>25</v>
      </c>
      <c r="B107" s="122" t="s">
        <v>263</v>
      </c>
      <c r="C107" s="125">
        <v>45826</v>
      </c>
      <c r="D107" s="193">
        <v>19.600000000000001</v>
      </c>
      <c r="E107" s="193">
        <v>9.08</v>
      </c>
      <c r="F107" s="214">
        <f t="shared" si="5"/>
        <v>99</v>
      </c>
      <c r="G107" s="193">
        <v>8</v>
      </c>
      <c r="H107" s="193">
        <v>5.5</v>
      </c>
      <c r="I107" s="193">
        <v>44.7</v>
      </c>
      <c r="J107" s="193">
        <v>1.3</v>
      </c>
      <c r="K107" s="189">
        <v>22</v>
      </c>
      <c r="L107" s="189">
        <v>55</v>
      </c>
      <c r="M107" s="189">
        <v>340</v>
      </c>
      <c r="N107" s="189">
        <v>67</v>
      </c>
      <c r="O107" s="189">
        <v>1100</v>
      </c>
      <c r="P107" s="189"/>
      <c r="Q107" s="193"/>
      <c r="R107" s="202"/>
      <c r="S107" s="466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  <c r="AS107" s="461"/>
    </row>
    <row r="108" spans="1:45" s="102" customFormat="1" ht="12" customHeight="1">
      <c r="A108" s="118">
        <v>29</v>
      </c>
      <c r="B108" s="102" t="s">
        <v>295</v>
      </c>
      <c r="C108" s="125"/>
      <c r="D108" s="193"/>
      <c r="E108" s="193"/>
      <c r="F108" s="214" t="str">
        <f>IF(E108&lt;&gt;"",ROUND((E108/((9.266*EXP(-0.04555*D108)+5.374))*100),0),"")</f>
        <v/>
      </c>
      <c r="G108" s="193"/>
      <c r="H108" s="193"/>
      <c r="I108" s="193"/>
      <c r="J108" s="193"/>
      <c r="K108" s="189"/>
      <c r="L108" s="189"/>
      <c r="M108" s="189"/>
      <c r="N108" s="189"/>
      <c r="O108" s="189"/>
      <c r="P108" s="189"/>
      <c r="Q108" s="193"/>
      <c r="R108" s="202" t="s">
        <v>439</v>
      </c>
      <c r="S108" s="466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  <c r="AS108" s="461"/>
    </row>
    <row r="109" spans="1:45" s="102" customFormat="1" ht="12" customHeight="1">
      <c r="A109" s="118">
        <v>30</v>
      </c>
      <c r="B109" s="102" t="s">
        <v>296</v>
      </c>
      <c r="C109" s="125"/>
      <c r="D109" s="193"/>
      <c r="E109" s="193"/>
      <c r="F109" s="214" t="str">
        <f>IF(E109&lt;&gt;"",ROUND((E109/((9.266*EXP(-0.04555*D109)+5.374))*100),0),"")</f>
        <v/>
      </c>
      <c r="G109" s="193"/>
      <c r="H109" s="193"/>
      <c r="I109" s="193"/>
      <c r="J109" s="193"/>
      <c r="K109" s="189"/>
      <c r="L109" s="189"/>
      <c r="M109" s="189"/>
      <c r="N109" s="189"/>
      <c r="O109" s="189"/>
      <c r="P109" s="189"/>
      <c r="Q109" s="193"/>
      <c r="R109" s="202" t="s">
        <v>439</v>
      </c>
      <c r="S109" s="466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</row>
    <row r="110" spans="1:45">
      <c r="A110" s="1">
        <v>200</v>
      </c>
      <c r="B110" s="62" t="s">
        <v>97</v>
      </c>
      <c r="C110" s="84"/>
      <c r="D110" s="554"/>
      <c r="E110" s="554" t="s">
        <v>438</v>
      </c>
      <c r="F110" s="269"/>
      <c r="G110" s="187"/>
      <c r="H110" s="187"/>
      <c r="I110" s="187"/>
      <c r="J110" s="187"/>
      <c r="K110" s="188"/>
      <c r="L110" s="188"/>
      <c r="M110" s="188"/>
      <c r="N110" s="188"/>
      <c r="O110" s="188"/>
      <c r="P110" s="188"/>
      <c r="Q110" s="187"/>
      <c r="R110" s="200"/>
      <c r="S110" s="462"/>
      <c r="T110" s="463"/>
      <c r="U110" s="464"/>
      <c r="V110" s="464"/>
      <c r="W110" s="460"/>
      <c r="X110" s="460"/>
      <c r="Y110" s="460"/>
      <c r="Z110" s="460"/>
      <c r="AA110" s="460"/>
      <c r="AB110" s="460"/>
      <c r="AC110" s="460"/>
      <c r="AD110" s="460"/>
      <c r="AE110" s="460"/>
      <c r="AF110" s="460"/>
      <c r="AG110" s="460"/>
      <c r="AH110" s="460"/>
      <c r="AI110" s="460"/>
      <c r="AJ110" s="460"/>
      <c r="AK110" s="460"/>
      <c r="AL110" s="460"/>
      <c r="AM110" s="460"/>
      <c r="AN110" s="460"/>
      <c r="AO110" s="460"/>
      <c r="AP110" s="460"/>
      <c r="AQ110" s="460"/>
      <c r="AR110" s="460"/>
      <c r="AS110" s="460"/>
    </row>
    <row r="111" spans="1:45" s="460" customFormat="1" ht="17.25" customHeight="1">
      <c r="A111" s="473">
        <v>250</v>
      </c>
      <c r="B111" s="474" t="s">
        <v>26</v>
      </c>
      <c r="C111" s="480"/>
      <c r="D111" s="476"/>
      <c r="E111" s="476"/>
      <c r="F111" s="556"/>
      <c r="G111" s="476"/>
      <c r="H111" s="476"/>
      <c r="I111" s="476"/>
      <c r="J111" s="476"/>
      <c r="K111" s="477"/>
      <c r="L111" s="477"/>
      <c r="M111" s="477"/>
      <c r="N111" s="477"/>
      <c r="O111" s="477"/>
      <c r="P111" s="477"/>
      <c r="Q111" s="476"/>
      <c r="R111" s="478"/>
      <c r="S111" s="465"/>
      <c r="T111" s="463"/>
      <c r="U111" s="464"/>
      <c r="V111" s="464"/>
    </row>
    <row r="112" spans="1:45" s="102" customFormat="1" ht="12" customHeight="1">
      <c r="A112" s="118">
        <v>3</v>
      </c>
      <c r="B112" s="102" t="s">
        <v>252</v>
      </c>
      <c r="C112" s="125">
        <v>45848</v>
      </c>
      <c r="D112" s="193">
        <v>20.5</v>
      </c>
      <c r="E112" s="193">
        <v>7.6</v>
      </c>
      <c r="F112" s="214">
        <f t="shared" ref="F112:F131" si="6">IF(E112&lt;&gt;"",ROUND((E112/((9.266*EXP(-0.04555*D112)+5.374))*100),0),"")</f>
        <v>84</v>
      </c>
      <c r="G112" s="193">
        <v>7.8</v>
      </c>
      <c r="H112" s="193">
        <v>0.78</v>
      </c>
      <c r="I112" s="193">
        <v>52.3</v>
      </c>
      <c r="J112" s="193">
        <v>0.62</v>
      </c>
      <c r="K112" s="189">
        <v>57</v>
      </c>
      <c r="L112" s="189">
        <v>78</v>
      </c>
      <c r="M112" s="189">
        <v>1100</v>
      </c>
      <c r="N112" s="189">
        <v>34</v>
      </c>
      <c r="O112" s="189">
        <v>1300</v>
      </c>
      <c r="P112" s="189"/>
      <c r="Q112" s="193"/>
      <c r="R112" s="200"/>
      <c r="S112" s="461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1"/>
      <c r="AE112" s="461"/>
      <c r="AF112" s="461"/>
      <c r="AG112" s="461"/>
      <c r="AH112" s="461"/>
      <c r="AI112" s="461"/>
      <c r="AJ112" s="461"/>
      <c r="AK112" s="461"/>
      <c r="AL112" s="461"/>
      <c r="AM112" s="461"/>
      <c r="AN112" s="461"/>
      <c r="AO112" s="461"/>
      <c r="AP112" s="461"/>
      <c r="AQ112" s="461"/>
      <c r="AR112" s="461"/>
      <c r="AS112" s="461"/>
    </row>
    <row r="113" spans="1:45" s="102" customFormat="1" ht="12" customHeight="1">
      <c r="A113" s="118">
        <v>5</v>
      </c>
      <c r="B113" s="102" t="s">
        <v>253</v>
      </c>
      <c r="C113" s="125">
        <v>45848</v>
      </c>
      <c r="D113" s="193">
        <v>22</v>
      </c>
      <c r="E113" s="193">
        <v>8.33</v>
      </c>
      <c r="F113" s="214">
        <f t="shared" si="6"/>
        <v>95</v>
      </c>
      <c r="G113" s="193">
        <v>7.8</v>
      </c>
      <c r="H113" s="193">
        <v>1.1000000000000001</v>
      </c>
      <c r="I113" s="193">
        <v>47.5</v>
      </c>
      <c r="J113" s="193">
        <v>1.2</v>
      </c>
      <c r="K113" s="189">
        <v>21</v>
      </c>
      <c r="L113" s="189">
        <v>47</v>
      </c>
      <c r="M113" s="189">
        <v>380</v>
      </c>
      <c r="N113" s="189">
        <v>36</v>
      </c>
      <c r="O113" s="189">
        <v>870</v>
      </c>
      <c r="P113" s="189"/>
      <c r="Q113" s="193"/>
      <c r="R113" s="200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  <c r="AK113" s="461"/>
      <c r="AL113" s="461"/>
      <c r="AM113" s="461"/>
      <c r="AN113" s="461"/>
      <c r="AO113" s="461"/>
      <c r="AP113" s="461"/>
      <c r="AQ113" s="461"/>
      <c r="AR113" s="461"/>
      <c r="AS113" s="461"/>
    </row>
    <row r="114" spans="1:45" s="102" customFormat="1" ht="12" customHeight="1">
      <c r="A114" s="118">
        <v>6</v>
      </c>
      <c r="B114" s="102" t="s">
        <v>265</v>
      </c>
      <c r="C114" s="125">
        <v>45848</v>
      </c>
      <c r="D114" s="193">
        <v>21.2</v>
      </c>
      <c r="E114" s="193">
        <v>7.99</v>
      </c>
      <c r="F114" s="214">
        <f t="shared" si="6"/>
        <v>90</v>
      </c>
      <c r="G114" s="193">
        <v>7.6</v>
      </c>
      <c r="H114" s="193">
        <v>2.8</v>
      </c>
      <c r="I114" s="193">
        <v>40.1</v>
      </c>
      <c r="J114" s="193">
        <v>1.9</v>
      </c>
      <c r="K114" s="189">
        <v>21</v>
      </c>
      <c r="L114" s="189">
        <v>58</v>
      </c>
      <c r="M114" s="189">
        <v>760</v>
      </c>
      <c r="N114" s="189">
        <v>100</v>
      </c>
      <c r="O114" s="189">
        <v>1300</v>
      </c>
      <c r="P114" s="189"/>
      <c r="Q114" s="193"/>
      <c r="R114" s="200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</row>
    <row r="115" spans="1:45" s="102" customFormat="1" ht="12" customHeight="1">
      <c r="A115" s="118">
        <v>7</v>
      </c>
      <c r="B115" s="102" t="s">
        <v>254</v>
      </c>
      <c r="C115" s="125">
        <v>45848</v>
      </c>
      <c r="D115" s="193">
        <v>20.2</v>
      </c>
      <c r="E115" s="193">
        <v>9.5399999999999991</v>
      </c>
      <c r="F115" s="214">
        <f t="shared" si="6"/>
        <v>105</v>
      </c>
      <c r="G115" s="193">
        <v>8.3000000000000007</v>
      </c>
      <c r="H115" s="193">
        <v>6.3</v>
      </c>
      <c r="I115" s="193">
        <v>36.200000000000003</v>
      </c>
      <c r="J115" s="193">
        <v>2.6</v>
      </c>
      <c r="K115" s="189" t="s">
        <v>149</v>
      </c>
      <c r="L115" s="189">
        <v>36</v>
      </c>
      <c r="M115" s="189">
        <v>110</v>
      </c>
      <c r="N115" s="189">
        <v>15</v>
      </c>
      <c r="O115" s="189">
        <v>710</v>
      </c>
      <c r="P115" s="189"/>
      <c r="Q115" s="193"/>
      <c r="R115" s="200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</row>
    <row r="116" spans="1:45" s="102" customFormat="1" ht="12" customHeight="1">
      <c r="A116" s="118">
        <v>9</v>
      </c>
      <c r="B116" s="102" t="s">
        <v>255</v>
      </c>
      <c r="C116" s="125">
        <v>45848</v>
      </c>
      <c r="D116" s="193">
        <v>16.399999999999999</v>
      </c>
      <c r="E116" s="193">
        <v>6.95</v>
      </c>
      <c r="F116" s="214">
        <f t="shared" si="6"/>
        <v>71</v>
      </c>
      <c r="G116" s="193">
        <v>7.6</v>
      </c>
      <c r="H116" s="193">
        <v>2.5</v>
      </c>
      <c r="I116" s="193">
        <v>41.1</v>
      </c>
      <c r="J116" s="193">
        <v>2.5</v>
      </c>
      <c r="K116" s="189">
        <v>310</v>
      </c>
      <c r="L116" s="189">
        <v>370</v>
      </c>
      <c r="M116" s="189">
        <v>560</v>
      </c>
      <c r="N116" s="189">
        <v>150</v>
      </c>
      <c r="O116" s="189">
        <v>1300</v>
      </c>
      <c r="P116" s="189"/>
      <c r="Q116" s="193"/>
      <c r="R116" s="200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</row>
    <row r="117" spans="1:45" s="102" customFormat="1" ht="12" customHeight="1">
      <c r="A117" s="118">
        <v>11</v>
      </c>
      <c r="B117" s="102" t="s">
        <v>256</v>
      </c>
      <c r="C117" s="125">
        <v>45848</v>
      </c>
      <c r="D117" s="193">
        <v>17.2</v>
      </c>
      <c r="E117" s="193">
        <v>8.89</v>
      </c>
      <c r="F117" s="214">
        <f t="shared" si="6"/>
        <v>93</v>
      </c>
      <c r="G117" s="193">
        <v>8</v>
      </c>
      <c r="H117" s="193">
        <v>2.4</v>
      </c>
      <c r="I117" s="193">
        <v>55</v>
      </c>
      <c r="J117" s="193">
        <v>1.2</v>
      </c>
      <c r="K117" s="189">
        <v>37</v>
      </c>
      <c r="L117" s="189">
        <v>57</v>
      </c>
      <c r="M117" s="189">
        <v>1900</v>
      </c>
      <c r="N117" s="189">
        <v>28</v>
      </c>
      <c r="O117" s="189">
        <v>2100</v>
      </c>
      <c r="P117" s="189"/>
      <c r="Q117" s="193"/>
      <c r="R117" s="200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  <c r="AS117" s="461"/>
    </row>
    <row r="118" spans="1:45" s="102" customFormat="1" ht="12" customHeight="1">
      <c r="A118" s="118">
        <v>13</v>
      </c>
      <c r="B118" s="102" t="s">
        <v>257</v>
      </c>
      <c r="C118" s="125">
        <v>45848</v>
      </c>
      <c r="D118" s="193">
        <v>19</v>
      </c>
      <c r="E118" s="193">
        <v>9.58</v>
      </c>
      <c r="F118" s="214">
        <f t="shared" si="6"/>
        <v>103</v>
      </c>
      <c r="G118" s="193">
        <v>8.1</v>
      </c>
      <c r="H118" s="193">
        <v>1.8</v>
      </c>
      <c r="I118" s="193">
        <v>45.6</v>
      </c>
      <c r="J118" s="193">
        <v>1.3</v>
      </c>
      <c r="K118" s="189">
        <v>110</v>
      </c>
      <c r="L118" s="189">
        <v>140</v>
      </c>
      <c r="M118" s="189">
        <v>900</v>
      </c>
      <c r="N118" s="189" t="s">
        <v>290</v>
      </c>
      <c r="O118" s="189">
        <v>1400</v>
      </c>
      <c r="P118" s="189"/>
      <c r="Q118" s="193"/>
      <c r="R118" s="741" t="s">
        <v>440</v>
      </c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  <c r="AS118" s="461"/>
    </row>
    <row r="119" spans="1:45" s="102" customFormat="1" ht="12" customHeight="1">
      <c r="A119" s="118">
        <v>15</v>
      </c>
      <c r="B119" s="102" t="s">
        <v>258</v>
      </c>
      <c r="C119" s="125">
        <v>45848</v>
      </c>
      <c r="D119" s="193">
        <v>16.8</v>
      </c>
      <c r="E119" s="193">
        <v>9.5399999999999991</v>
      </c>
      <c r="F119" s="214">
        <f t="shared" si="6"/>
        <v>99</v>
      </c>
      <c r="G119" s="193">
        <v>7.8</v>
      </c>
      <c r="H119" s="193">
        <v>2.8</v>
      </c>
      <c r="I119" s="193">
        <v>58.4</v>
      </c>
      <c r="J119" s="193">
        <v>0.89</v>
      </c>
      <c r="K119" s="189">
        <v>31</v>
      </c>
      <c r="L119" s="189">
        <v>52</v>
      </c>
      <c r="M119" s="189">
        <v>790</v>
      </c>
      <c r="N119" s="189">
        <v>23</v>
      </c>
      <c r="O119" s="189">
        <v>940</v>
      </c>
      <c r="P119" s="189"/>
      <c r="Q119" s="193"/>
      <c r="R119" s="200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  <c r="AS119" s="461"/>
    </row>
    <row r="120" spans="1:45" s="102" customFormat="1" ht="12" customHeight="1">
      <c r="A120" s="118">
        <v>17</v>
      </c>
      <c r="B120" s="102" t="s">
        <v>259</v>
      </c>
      <c r="C120" s="125">
        <v>45848</v>
      </c>
      <c r="D120" s="193">
        <v>18.8</v>
      </c>
      <c r="E120" s="193">
        <v>9.49</v>
      </c>
      <c r="F120" s="214">
        <f t="shared" si="6"/>
        <v>102</v>
      </c>
      <c r="G120" s="193">
        <v>8</v>
      </c>
      <c r="H120" s="193">
        <v>3.3</v>
      </c>
      <c r="I120" s="193">
        <v>38.799999999999997</v>
      </c>
      <c r="J120" s="193">
        <v>1.1000000000000001</v>
      </c>
      <c r="K120" s="189">
        <v>33</v>
      </c>
      <c r="L120" s="189">
        <v>59</v>
      </c>
      <c r="M120" s="189">
        <v>710</v>
      </c>
      <c r="N120" s="189">
        <v>30</v>
      </c>
      <c r="O120" s="189">
        <v>1100</v>
      </c>
      <c r="P120" s="189"/>
      <c r="Q120" s="193"/>
      <c r="R120" s="200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  <c r="AS120" s="461"/>
    </row>
    <row r="121" spans="1:45" s="102" customFormat="1" ht="12" customHeight="1">
      <c r="A121" s="118">
        <v>18</v>
      </c>
      <c r="B121" s="102" t="s">
        <v>266</v>
      </c>
      <c r="C121" s="125">
        <v>45848</v>
      </c>
      <c r="D121" s="193">
        <v>15.7</v>
      </c>
      <c r="E121" s="193">
        <v>9.7799999999999994</v>
      </c>
      <c r="F121" s="214">
        <f t="shared" si="6"/>
        <v>99</v>
      </c>
      <c r="G121" s="193">
        <v>8.1</v>
      </c>
      <c r="H121" s="193">
        <v>18</v>
      </c>
      <c r="I121" s="193">
        <v>36.9</v>
      </c>
      <c r="J121" s="193">
        <v>2.8</v>
      </c>
      <c r="K121" s="189">
        <v>120</v>
      </c>
      <c r="L121" s="189">
        <v>190</v>
      </c>
      <c r="M121" s="189">
        <v>4700</v>
      </c>
      <c r="N121" s="189">
        <v>16</v>
      </c>
      <c r="O121" s="189">
        <v>5000</v>
      </c>
      <c r="P121" s="189"/>
      <c r="Q121" s="193"/>
      <c r="R121" s="200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</row>
    <row r="122" spans="1:45" s="102" customFormat="1" ht="12" customHeight="1">
      <c r="A122" s="118">
        <v>19</v>
      </c>
      <c r="B122" s="102" t="s">
        <v>260</v>
      </c>
      <c r="C122" s="125">
        <v>45848</v>
      </c>
      <c r="D122" s="193">
        <v>19.5</v>
      </c>
      <c r="E122" s="193">
        <v>7.23</v>
      </c>
      <c r="F122" s="214">
        <f t="shared" si="6"/>
        <v>79</v>
      </c>
      <c r="G122" s="193">
        <v>7.7</v>
      </c>
      <c r="H122" s="193">
        <v>2.4</v>
      </c>
      <c r="I122" s="193">
        <v>60.1</v>
      </c>
      <c r="J122" s="193">
        <v>1.1000000000000001</v>
      </c>
      <c r="K122" s="189">
        <v>91</v>
      </c>
      <c r="L122" s="189">
        <v>120</v>
      </c>
      <c r="M122" s="189">
        <v>1100</v>
      </c>
      <c r="N122" s="189">
        <v>43</v>
      </c>
      <c r="O122" s="189">
        <v>1600</v>
      </c>
      <c r="P122" s="189"/>
      <c r="Q122" s="193"/>
      <c r="R122" s="200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</row>
    <row r="123" spans="1:45" s="102" customFormat="1" ht="12" customHeight="1">
      <c r="A123" s="118">
        <v>20</v>
      </c>
      <c r="B123" s="102" t="s">
        <v>267</v>
      </c>
      <c r="C123" s="125">
        <v>45848</v>
      </c>
      <c r="D123" s="193">
        <v>19.399999999999999</v>
      </c>
      <c r="E123" s="193">
        <v>9.32</v>
      </c>
      <c r="F123" s="214">
        <f t="shared" si="6"/>
        <v>101</v>
      </c>
      <c r="G123" s="193">
        <v>7.7</v>
      </c>
      <c r="H123" s="193">
        <v>4</v>
      </c>
      <c r="I123" s="193">
        <v>69.2</v>
      </c>
      <c r="J123" s="193">
        <v>3.1</v>
      </c>
      <c r="K123" s="189">
        <v>31</v>
      </c>
      <c r="L123" s="189">
        <v>110</v>
      </c>
      <c r="M123" s="189">
        <v>250</v>
      </c>
      <c r="N123" s="189">
        <v>21</v>
      </c>
      <c r="O123" s="189">
        <v>1100</v>
      </c>
      <c r="P123" s="189"/>
      <c r="Q123" s="193"/>
      <c r="R123" s="200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  <c r="AS123" s="461"/>
    </row>
    <row r="124" spans="1:45" s="102" customFormat="1" ht="12" customHeight="1">
      <c r="A124" s="118">
        <v>21</v>
      </c>
      <c r="B124" s="102" t="s">
        <v>261</v>
      </c>
      <c r="C124" s="125">
        <v>45848</v>
      </c>
      <c r="D124" s="193">
        <v>18</v>
      </c>
      <c r="E124" s="193">
        <v>9.34</v>
      </c>
      <c r="F124" s="214">
        <f t="shared" si="6"/>
        <v>99</v>
      </c>
      <c r="G124" s="193">
        <v>8.1</v>
      </c>
      <c r="H124" s="193">
        <v>1.9</v>
      </c>
      <c r="I124" s="193">
        <v>57.1</v>
      </c>
      <c r="J124" s="193">
        <v>1</v>
      </c>
      <c r="K124" s="189">
        <v>100</v>
      </c>
      <c r="L124" s="189">
        <v>130</v>
      </c>
      <c r="M124" s="189">
        <v>420</v>
      </c>
      <c r="N124" s="189">
        <v>27</v>
      </c>
      <c r="O124" s="189">
        <v>890</v>
      </c>
      <c r="P124" s="189"/>
      <c r="Q124" s="193"/>
      <c r="R124" s="200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</row>
    <row r="125" spans="1:45" s="102" customFormat="1" ht="12" customHeight="1">
      <c r="A125" s="118">
        <v>22</v>
      </c>
      <c r="B125" s="102" t="s">
        <v>268</v>
      </c>
      <c r="C125" s="125">
        <v>45848</v>
      </c>
      <c r="D125" s="193">
        <v>17.2</v>
      </c>
      <c r="E125" s="193">
        <v>7.69</v>
      </c>
      <c r="F125" s="214">
        <f t="shared" si="6"/>
        <v>80</v>
      </c>
      <c r="G125" s="193">
        <v>7.9</v>
      </c>
      <c r="H125" s="193">
        <v>1.5</v>
      </c>
      <c r="I125" s="193">
        <v>41.6</v>
      </c>
      <c r="J125" s="193">
        <v>1.2</v>
      </c>
      <c r="K125" s="189">
        <v>110</v>
      </c>
      <c r="L125" s="189">
        <v>150</v>
      </c>
      <c r="M125" s="189">
        <v>880</v>
      </c>
      <c r="N125" s="189">
        <v>32</v>
      </c>
      <c r="O125" s="189">
        <v>1400</v>
      </c>
      <c r="P125" s="189"/>
      <c r="Q125" s="193"/>
      <c r="R125" s="200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  <c r="AS125" s="461"/>
    </row>
    <row r="126" spans="1:45" s="102" customFormat="1" ht="12" customHeight="1">
      <c r="A126" s="118">
        <v>23</v>
      </c>
      <c r="B126" s="122" t="s">
        <v>297</v>
      </c>
      <c r="C126" s="125">
        <v>45848</v>
      </c>
      <c r="D126" s="193">
        <v>19.2</v>
      </c>
      <c r="E126" s="193">
        <v>8.02</v>
      </c>
      <c r="F126" s="214">
        <f t="shared" si="6"/>
        <v>87</v>
      </c>
      <c r="G126" s="193">
        <v>7.7</v>
      </c>
      <c r="H126" s="193">
        <v>9</v>
      </c>
      <c r="I126" s="193">
        <v>55</v>
      </c>
      <c r="J126" s="193">
        <v>1.9</v>
      </c>
      <c r="K126" s="189">
        <v>45</v>
      </c>
      <c r="L126" s="189">
        <v>86</v>
      </c>
      <c r="M126" s="189">
        <v>2500</v>
      </c>
      <c r="N126" s="189">
        <v>100</v>
      </c>
      <c r="O126" s="189">
        <v>3000</v>
      </c>
      <c r="P126" s="189"/>
      <c r="Q126" s="193"/>
      <c r="R126" s="200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/>
      <c r="AD126" s="461"/>
      <c r="AE126" s="461"/>
      <c r="AF126" s="461"/>
      <c r="AG126" s="461"/>
      <c r="AH126" s="461"/>
      <c r="AI126" s="461"/>
      <c r="AJ126" s="461"/>
      <c r="AK126" s="461"/>
      <c r="AL126" s="461"/>
      <c r="AM126" s="461"/>
      <c r="AN126" s="461"/>
      <c r="AO126" s="461"/>
      <c r="AP126" s="461"/>
      <c r="AQ126" s="461"/>
      <c r="AR126" s="461"/>
      <c r="AS126" s="461"/>
    </row>
    <row r="127" spans="1:45" s="102" customFormat="1" ht="12" customHeight="1">
      <c r="A127" s="118">
        <v>24</v>
      </c>
      <c r="B127" s="102" t="s">
        <v>269</v>
      </c>
      <c r="C127" s="125">
        <v>45848</v>
      </c>
      <c r="D127" s="193">
        <v>18.2</v>
      </c>
      <c r="E127" s="193">
        <v>8.02</v>
      </c>
      <c r="F127" s="214">
        <f t="shared" si="6"/>
        <v>85</v>
      </c>
      <c r="G127" s="193">
        <v>7.8</v>
      </c>
      <c r="H127" s="193">
        <v>12</v>
      </c>
      <c r="I127" s="193">
        <v>53.6</v>
      </c>
      <c r="J127" s="193">
        <v>1.5</v>
      </c>
      <c r="K127" s="189">
        <v>49</v>
      </c>
      <c r="L127" s="189">
        <v>110</v>
      </c>
      <c r="M127" s="189">
        <v>1100</v>
      </c>
      <c r="N127" s="189">
        <v>56</v>
      </c>
      <c r="O127" s="189">
        <v>1400</v>
      </c>
      <c r="P127" s="189"/>
      <c r="Q127" s="193"/>
      <c r="R127" s="200"/>
      <c r="S127" s="461"/>
      <c r="T127" s="461"/>
      <c r="U127" s="461"/>
      <c r="V127" s="461"/>
      <c r="W127" s="461"/>
      <c r="X127" s="461"/>
      <c r="Y127" s="461"/>
      <c r="Z127" s="461"/>
      <c r="AA127" s="461"/>
      <c r="AB127" s="461"/>
      <c r="AC127" s="461"/>
      <c r="AD127" s="461"/>
      <c r="AE127" s="461"/>
      <c r="AF127" s="461"/>
      <c r="AG127" s="461"/>
      <c r="AH127" s="461"/>
      <c r="AI127" s="461"/>
      <c r="AJ127" s="461"/>
      <c r="AK127" s="461"/>
      <c r="AL127" s="461"/>
      <c r="AM127" s="461"/>
      <c r="AN127" s="461"/>
      <c r="AO127" s="461"/>
      <c r="AP127" s="461"/>
      <c r="AQ127" s="461"/>
      <c r="AR127" s="461"/>
      <c r="AS127" s="461"/>
    </row>
    <row r="128" spans="1:45" s="102" customFormat="1" ht="12" customHeight="1">
      <c r="A128" s="118">
        <v>25</v>
      </c>
      <c r="B128" s="102" t="s">
        <v>263</v>
      </c>
      <c r="C128" s="125">
        <v>45848</v>
      </c>
      <c r="D128" s="193">
        <v>17.899999999999999</v>
      </c>
      <c r="E128" s="193">
        <v>8.4700000000000006</v>
      </c>
      <c r="F128" s="214">
        <f t="shared" si="6"/>
        <v>89</v>
      </c>
      <c r="G128" s="193">
        <v>7.8</v>
      </c>
      <c r="H128" s="193">
        <v>3.5</v>
      </c>
      <c r="I128" s="193">
        <v>43.1</v>
      </c>
      <c r="J128" s="193">
        <v>1.1000000000000001</v>
      </c>
      <c r="K128" s="189">
        <v>17</v>
      </c>
      <c r="L128" s="189">
        <v>38</v>
      </c>
      <c r="M128" s="189">
        <v>170</v>
      </c>
      <c r="N128" s="189">
        <v>24</v>
      </c>
      <c r="O128" s="189">
        <v>650</v>
      </c>
      <c r="P128" s="189"/>
      <c r="Q128" s="193"/>
      <c r="R128" s="200"/>
      <c r="S128" s="461"/>
      <c r="T128" s="461"/>
      <c r="U128" s="461"/>
      <c r="V128" s="461"/>
      <c r="W128" s="461"/>
      <c r="X128" s="461"/>
      <c r="Y128" s="461"/>
      <c r="Z128" s="461"/>
      <c r="AA128" s="461"/>
      <c r="AB128" s="461"/>
      <c r="AC128" s="461"/>
      <c r="AD128" s="461"/>
      <c r="AE128" s="461"/>
      <c r="AF128" s="461"/>
      <c r="AG128" s="461"/>
      <c r="AH128" s="461"/>
      <c r="AI128" s="461"/>
      <c r="AJ128" s="461"/>
      <c r="AK128" s="461"/>
      <c r="AL128" s="461"/>
      <c r="AM128" s="461"/>
      <c r="AN128" s="461"/>
      <c r="AO128" s="461"/>
      <c r="AP128" s="461"/>
      <c r="AQ128" s="461"/>
      <c r="AR128" s="461"/>
      <c r="AS128" s="461"/>
    </row>
    <row r="129" spans="1:45" s="102" customFormat="1" ht="12" customHeight="1">
      <c r="A129" s="118">
        <v>27</v>
      </c>
      <c r="B129" s="102" t="s">
        <v>264</v>
      </c>
      <c r="C129" s="125">
        <v>45848</v>
      </c>
      <c r="D129" s="193">
        <v>20</v>
      </c>
      <c r="E129" s="193">
        <v>7.88</v>
      </c>
      <c r="F129" s="214">
        <f t="shared" si="6"/>
        <v>87</v>
      </c>
      <c r="G129" s="193">
        <v>8.1999999999999993</v>
      </c>
      <c r="H129" s="193">
        <v>6.4</v>
      </c>
      <c r="I129" s="193">
        <v>35.5</v>
      </c>
      <c r="J129" s="193">
        <v>3.6</v>
      </c>
      <c r="K129" s="189">
        <v>3.9</v>
      </c>
      <c r="L129" s="189">
        <v>66</v>
      </c>
      <c r="M129" s="189">
        <v>31</v>
      </c>
      <c r="N129" s="189">
        <v>100</v>
      </c>
      <c r="O129" s="189">
        <v>970</v>
      </c>
      <c r="P129" s="189"/>
      <c r="Q129" s="193"/>
      <c r="R129" s="200"/>
      <c r="S129" s="461"/>
      <c r="T129" s="461"/>
      <c r="U129" s="461"/>
      <c r="V129" s="461"/>
      <c r="W129" s="461"/>
      <c r="X129" s="461"/>
      <c r="Y129" s="461"/>
      <c r="Z129" s="461"/>
      <c r="AA129" s="461"/>
      <c r="AB129" s="461"/>
      <c r="AC129" s="461"/>
      <c r="AD129" s="461"/>
      <c r="AE129" s="461"/>
      <c r="AF129" s="461"/>
      <c r="AG129" s="461"/>
      <c r="AH129" s="461"/>
      <c r="AI129" s="461"/>
      <c r="AJ129" s="461"/>
      <c r="AK129" s="461"/>
      <c r="AL129" s="461"/>
      <c r="AM129" s="461"/>
      <c r="AN129" s="461"/>
      <c r="AO129" s="461"/>
      <c r="AP129" s="461"/>
      <c r="AQ129" s="461"/>
      <c r="AR129" s="461"/>
      <c r="AS129" s="461"/>
    </row>
    <row r="130" spans="1:45" s="102" customFormat="1" ht="12" customHeight="1">
      <c r="A130" s="118">
        <v>29</v>
      </c>
      <c r="B130" s="102" t="s">
        <v>295</v>
      </c>
      <c r="C130" s="125"/>
      <c r="D130" s="112"/>
      <c r="E130" s="193"/>
      <c r="F130" s="214" t="str">
        <f t="shared" si="6"/>
        <v/>
      </c>
      <c r="G130" s="193"/>
      <c r="H130" s="193"/>
      <c r="I130" s="193"/>
      <c r="J130" s="193"/>
      <c r="K130" s="189"/>
      <c r="L130" s="189"/>
      <c r="M130" s="189"/>
      <c r="N130" s="189"/>
      <c r="O130" s="189"/>
      <c r="P130" s="189"/>
      <c r="Q130" s="193"/>
      <c r="R130" s="200" t="s">
        <v>439</v>
      </c>
      <c r="S130" s="461"/>
      <c r="T130" s="461"/>
      <c r="U130" s="461"/>
      <c r="V130" s="461"/>
      <c r="W130" s="461"/>
      <c r="X130" s="461"/>
      <c r="Y130" s="461"/>
      <c r="Z130" s="461"/>
      <c r="AA130" s="461"/>
      <c r="AB130" s="461"/>
      <c r="AC130" s="461"/>
      <c r="AD130" s="461"/>
      <c r="AE130" s="461"/>
      <c r="AF130" s="461"/>
      <c r="AG130" s="461"/>
      <c r="AH130" s="461"/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  <c r="AS130" s="461"/>
    </row>
    <row r="131" spans="1:45" s="102" customFormat="1" ht="12" customHeight="1">
      <c r="A131" s="118">
        <v>30</v>
      </c>
      <c r="B131" s="102" t="s">
        <v>296</v>
      </c>
      <c r="C131" s="125"/>
      <c r="D131" s="193"/>
      <c r="E131" s="193"/>
      <c r="F131" s="214" t="str">
        <f t="shared" si="6"/>
        <v/>
      </c>
      <c r="G131" s="193"/>
      <c r="H131" s="193"/>
      <c r="I131" s="193"/>
      <c r="J131" s="193"/>
      <c r="K131" s="189"/>
      <c r="L131" s="189"/>
      <c r="M131" s="189"/>
      <c r="N131" s="189"/>
      <c r="O131" s="189"/>
      <c r="P131" s="189"/>
      <c r="Q131" s="193"/>
      <c r="R131" s="200" t="s">
        <v>439</v>
      </c>
      <c r="S131" s="461"/>
      <c r="T131" s="461"/>
      <c r="U131" s="461"/>
      <c r="V131" s="461"/>
      <c r="W131" s="461"/>
      <c r="X131" s="461"/>
      <c r="Y131" s="461"/>
      <c r="Z131" s="461"/>
      <c r="AA131" s="461"/>
      <c r="AB131" s="461"/>
      <c r="AC131" s="461"/>
      <c r="AD131" s="461"/>
      <c r="AE131" s="461"/>
      <c r="AF131" s="461"/>
      <c r="AG131" s="461"/>
      <c r="AH131" s="461"/>
      <c r="AI131" s="461"/>
      <c r="AJ131" s="461"/>
      <c r="AK131" s="461"/>
      <c r="AL131" s="461"/>
      <c r="AM131" s="461"/>
      <c r="AN131" s="461"/>
      <c r="AO131" s="461"/>
      <c r="AP131" s="461"/>
      <c r="AQ131" s="461"/>
      <c r="AR131" s="461"/>
      <c r="AS131" s="461"/>
    </row>
    <row r="132" spans="1:45">
      <c r="A132" s="1">
        <v>200</v>
      </c>
      <c r="B132" s="62" t="s">
        <v>97</v>
      </c>
      <c r="C132" s="125"/>
      <c r="D132" s="554"/>
      <c r="E132" s="554" t="s">
        <v>407</v>
      </c>
      <c r="F132" s="269"/>
      <c r="G132" s="187"/>
      <c r="H132" s="187"/>
      <c r="I132" s="187"/>
      <c r="J132" s="187"/>
      <c r="K132" s="188"/>
      <c r="L132" s="188"/>
      <c r="M132" s="188"/>
      <c r="N132" s="188"/>
      <c r="O132" s="188"/>
      <c r="P132" s="188"/>
      <c r="Q132" s="187"/>
      <c r="R132" s="200"/>
      <c r="S132" s="462"/>
      <c r="T132" s="463"/>
      <c r="U132" s="464"/>
      <c r="V132" s="464"/>
      <c r="W132" s="460"/>
      <c r="X132" s="460"/>
      <c r="Y132" s="460"/>
      <c r="Z132" s="460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  <c r="AS132" s="460"/>
    </row>
    <row r="133" spans="1:45" s="460" customFormat="1" ht="17.25" customHeight="1">
      <c r="A133" s="473">
        <v>250</v>
      </c>
      <c r="B133" s="474" t="s">
        <v>27</v>
      </c>
      <c r="C133" s="482"/>
      <c r="D133" s="476"/>
      <c r="E133" s="476"/>
      <c r="F133" s="556"/>
      <c r="G133" s="476"/>
      <c r="H133" s="476"/>
      <c r="I133" s="476"/>
      <c r="J133" s="476"/>
      <c r="K133" s="477"/>
      <c r="L133" s="477"/>
      <c r="M133" s="477"/>
      <c r="N133" s="477"/>
      <c r="O133" s="477"/>
      <c r="P133" s="477"/>
      <c r="Q133" s="476"/>
      <c r="R133" s="478"/>
      <c r="S133" s="465"/>
      <c r="T133" s="463"/>
      <c r="U133" s="464"/>
      <c r="V133" s="464"/>
    </row>
    <row r="134" spans="1:45" s="102" customFormat="1" ht="12" customHeight="1">
      <c r="A134" s="117">
        <v>3</v>
      </c>
      <c r="B134" s="102" t="s">
        <v>252</v>
      </c>
      <c r="C134" s="125"/>
      <c r="D134" s="193"/>
      <c r="E134" s="193"/>
      <c r="F134" s="214" t="str">
        <f t="shared" ref="F134:F143" si="7">IF(E134&lt;&gt;"",ROUND((E134/((9.266*EXP(-0.04555*D134)+5.374))*100),0),"")</f>
        <v/>
      </c>
      <c r="G134" s="193"/>
      <c r="H134" s="193"/>
      <c r="I134" s="193"/>
      <c r="J134" s="193"/>
      <c r="K134" s="189"/>
      <c r="L134" s="189"/>
      <c r="M134" s="189"/>
      <c r="N134" s="189"/>
      <c r="O134" s="189"/>
      <c r="P134" s="189"/>
      <c r="Q134" s="193"/>
      <c r="R134" s="202"/>
      <c r="S134" s="466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  <c r="AS134" s="461"/>
    </row>
    <row r="135" spans="1:45" s="102" customFormat="1" ht="12" customHeight="1">
      <c r="A135" s="117">
        <v>6</v>
      </c>
      <c r="B135" s="102" t="s">
        <v>265</v>
      </c>
      <c r="C135" s="125"/>
      <c r="D135" s="193"/>
      <c r="E135" s="193"/>
      <c r="F135" s="214" t="str">
        <f t="shared" si="7"/>
        <v/>
      </c>
      <c r="G135" s="193"/>
      <c r="H135" s="193"/>
      <c r="I135" s="193"/>
      <c r="J135" s="193"/>
      <c r="K135" s="189"/>
      <c r="L135" s="189"/>
      <c r="M135" s="189"/>
      <c r="N135" s="189"/>
      <c r="O135" s="189"/>
      <c r="P135" s="189"/>
      <c r="Q135" s="193"/>
      <c r="R135" s="202"/>
      <c r="S135" s="466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  <c r="AL135" s="461"/>
      <c r="AM135" s="461"/>
      <c r="AN135" s="461"/>
      <c r="AO135" s="461"/>
      <c r="AP135" s="461"/>
      <c r="AQ135" s="461"/>
      <c r="AR135" s="461"/>
      <c r="AS135" s="461"/>
    </row>
    <row r="136" spans="1:45" s="102" customFormat="1" ht="12" customHeight="1">
      <c r="A136" s="117">
        <v>7</v>
      </c>
      <c r="B136" s="122" t="s">
        <v>254</v>
      </c>
      <c r="C136" s="125"/>
      <c r="D136" s="193"/>
      <c r="E136" s="193"/>
      <c r="F136" s="214" t="str">
        <f t="shared" si="7"/>
        <v/>
      </c>
      <c r="G136" s="193"/>
      <c r="H136" s="193"/>
      <c r="I136" s="193"/>
      <c r="J136" s="193"/>
      <c r="K136" s="189"/>
      <c r="L136" s="189"/>
      <c r="M136" s="189"/>
      <c r="N136" s="189"/>
      <c r="O136" s="189"/>
      <c r="P136" s="189"/>
      <c r="Q136" s="193"/>
      <c r="R136" s="202"/>
      <c r="S136" s="466"/>
      <c r="T136" s="461"/>
      <c r="U136" s="461"/>
      <c r="V136" s="461"/>
      <c r="W136" s="461"/>
      <c r="X136" s="461"/>
      <c r="Y136" s="461"/>
      <c r="Z136" s="461"/>
      <c r="AA136" s="461"/>
      <c r="AB136" s="461"/>
      <c r="AC136" s="461"/>
      <c r="AD136" s="461"/>
      <c r="AE136" s="461"/>
      <c r="AF136" s="461"/>
      <c r="AG136" s="461"/>
      <c r="AH136" s="461"/>
      <c r="AI136" s="461"/>
      <c r="AJ136" s="461"/>
      <c r="AK136" s="461"/>
      <c r="AL136" s="461"/>
      <c r="AM136" s="461"/>
      <c r="AN136" s="461"/>
      <c r="AO136" s="461"/>
      <c r="AP136" s="461"/>
      <c r="AQ136" s="461"/>
      <c r="AR136" s="461"/>
      <c r="AS136" s="461"/>
    </row>
    <row r="137" spans="1:45" s="102" customFormat="1" ht="12" customHeight="1">
      <c r="A137" s="117">
        <v>11</v>
      </c>
      <c r="B137" s="102" t="s">
        <v>256</v>
      </c>
      <c r="C137" s="125"/>
      <c r="D137" s="193"/>
      <c r="E137" s="193"/>
      <c r="F137" s="214" t="str">
        <f t="shared" si="7"/>
        <v/>
      </c>
      <c r="G137" s="193"/>
      <c r="H137" s="193"/>
      <c r="I137" s="193"/>
      <c r="J137" s="193"/>
      <c r="K137" s="189"/>
      <c r="L137" s="189"/>
      <c r="M137" s="189"/>
      <c r="N137" s="189"/>
      <c r="O137" s="189"/>
      <c r="P137" s="189"/>
      <c r="Q137" s="193"/>
      <c r="R137" s="202"/>
      <c r="S137" s="466"/>
      <c r="T137" s="461"/>
      <c r="U137" s="461"/>
      <c r="V137" s="461"/>
      <c r="W137" s="461"/>
      <c r="X137" s="461"/>
      <c r="Y137" s="461"/>
      <c r="Z137" s="461"/>
      <c r="AA137" s="461"/>
      <c r="AB137" s="461"/>
      <c r="AC137" s="461"/>
      <c r="AD137" s="461"/>
      <c r="AE137" s="461"/>
      <c r="AF137" s="461"/>
      <c r="AG137" s="461"/>
      <c r="AH137" s="461"/>
      <c r="AI137" s="461"/>
      <c r="AJ137" s="461"/>
      <c r="AK137" s="461"/>
      <c r="AL137" s="461"/>
      <c r="AM137" s="461"/>
      <c r="AN137" s="461"/>
      <c r="AO137" s="461"/>
      <c r="AP137" s="461"/>
      <c r="AQ137" s="461"/>
      <c r="AR137" s="461"/>
      <c r="AS137" s="461"/>
    </row>
    <row r="138" spans="1:45" s="102" customFormat="1" ht="12" customHeight="1">
      <c r="A138" s="117">
        <v>19</v>
      </c>
      <c r="B138" s="102" t="s">
        <v>260</v>
      </c>
      <c r="C138" s="125"/>
      <c r="D138" s="193"/>
      <c r="E138" s="193"/>
      <c r="F138" s="214" t="str">
        <f t="shared" si="7"/>
        <v/>
      </c>
      <c r="G138" s="193"/>
      <c r="H138" s="193"/>
      <c r="I138" s="193"/>
      <c r="J138" s="193"/>
      <c r="K138" s="189"/>
      <c r="L138" s="189"/>
      <c r="M138" s="189"/>
      <c r="N138" s="189"/>
      <c r="O138" s="189"/>
      <c r="P138" s="189"/>
      <c r="Q138" s="193"/>
      <c r="R138" s="202"/>
      <c r="S138" s="466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  <c r="AL138" s="461"/>
      <c r="AM138" s="461"/>
      <c r="AN138" s="461"/>
      <c r="AO138" s="461"/>
      <c r="AP138" s="461"/>
      <c r="AQ138" s="461"/>
      <c r="AR138" s="461"/>
      <c r="AS138" s="461"/>
    </row>
    <row r="139" spans="1:45" s="102" customFormat="1" ht="12" customHeight="1">
      <c r="A139" s="117">
        <v>20</v>
      </c>
      <c r="B139" s="102" t="s">
        <v>267</v>
      </c>
      <c r="C139" s="125"/>
      <c r="D139" s="193"/>
      <c r="E139" s="193"/>
      <c r="F139" s="214" t="str">
        <f>IF(E139&lt;&gt;"",ROUND((E139/((9.266*EXP(-0.04555*D139)+5.374))*100),0),"")</f>
        <v/>
      </c>
      <c r="G139" s="193"/>
      <c r="H139" s="193"/>
      <c r="I139" s="193"/>
      <c r="J139" s="193"/>
      <c r="K139" s="189"/>
      <c r="L139" s="189"/>
      <c r="M139" s="189"/>
      <c r="N139" s="189"/>
      <c r="O139" s="189"/>
      <c r="P139" s="189"/>
      <c r="Q139" s="193"/>
      <c r="R139" s="202"/>
      <c r="S139" s="466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  <c r="AL139" s="461"/>
      <c r="AM139" s="461"/>
      <c r="AN139" s="461"/>
      <c r="AO139" s="461"/>
      <c r="AP139" s="461"/>
      <c r="AQ139" s="461"/>
      <c r="AR139" s="461"/>
      <c r="AS139" s="461"/>
    </row>
    <row r="140" spans="1:45" s="102" customFormat="1" ht="12" customHeight="1">
      <c r="A140" s="117">
        <v>21</v>
      </c>
      <c r="B140" s="102" t="s">
        <v>261</v>
      </c>
      <c r="C140" s="125"/>
      <c r="D140" s="193"/>
      <c r="E140" s="193"/>
      <c r="F140" s="214" t="str">
        <f t="shared" si="7"/>
        <v/>
      </c>
      <c r="G140" s="193"/>
      <c r="H140" s="193"/>
      <c r="I140" s="193"/>
      <c r="J140" s="193"/>
      <c r="K140" s="189"/>
      <c r="L140" s="189"/>
      <c r="M140" s="189"/>
      <c r="N140" s="189"/>
      <c r="O140" s="189"/>
      <c r="P140" s="189"/>
      <c r="Q140" s="193"/>
      <c r="R140" s="202"/>
      <c r="S140" s="466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  <c r="AL140" s="461"/>
      <c r="AM140" s="461"/>
      <c r="AN140" s="461"/>
      <c r="AO140" s="461"/>
      <c r="AP140" s="461"/>
      <c r="AQ140" s="461"/>
      <c r="AR140" s="461"/>
      <c r="AS140" s="461"/>
    </row>
    <row r="141" spans="1:45" s="102" customFormat="1" ht="12" customHeight="1">
      <c r="A141" s="117">
        <v>25</v>
      </c>
      <c r="B141" s="122" t="s">
        <v>263</v>
      </c>
      <c r="C141" s="125"/>
      <c r="D141" s="193"/>
      <c r="E141" s="193"/>
      <c r="F141" s="214" t="str">
        <f t="shared" si="7"/>
        <v/>
      </c>
      <c r="G141" s="193"/>
      <c r="H141" s="193"/>
      <c r="I141" s="193"/>
      <c r="J141" s="193"/>
      <c r="K141" s="189"/>
      <c r="L141" s="189"/>
      <c r="M141" s="189"/>
      <c r="N141" s="189"/>
      <c r="O141" s="189"/>
      <c r="P141" s="189"/>
      <c r="Q141" s="193"/>
      <c r="R141" s="202"/>
      <c r="S141" s="466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1"/>
      <c r="AM141" s="461"/>
      <c r="AN141" s="461"/>
      <c r="AO141" s="461"/>
      <c r="AP141" s="461"/>
      <c r="AQ141" s="461"/>
      <c r="AR141" s="461"/>
      <c r="AS141" s="461"/>
    </row>
    <row r="142" spans="1:45" s="102" customFormat="1" ht="12" customHeight="1">
      <c r="A142" s="118">
        <v>29</v>
      </c>
      <c r="B142" s="102" t="s">
        <v>295</v>
      </c>
      <c r="C142" s="125"/>
      <c r="D142" s="193"/>
      <c r="E142" s="193"/>
      <c r="F142" s="214" t="str">
        <f>IF(E142&lt;&gt;"",ROUND((E142/((9.266*EXP(-0.04555*D142)+5.374))*100),0),"")</f>
        <v/>
      </c>
      <c r="G142" s="193"/>
      <c r="H142" s="193"/>
      <c r="I142" s="193"/>
      <c r="J142" s="193"/>
      <c r="K142" s="189"/>
      <c r="L142" s="189"/>
      <c r="M142" s="189"/>
      <c r="N142" s="189"/>
      <c r="O142" s="189"/>
      <c r="P142" s="189"/>
      <c r="Q142" s="193"/>
      <c r="R142" s="202"/>
      <c r="S142" s="466"/>
      <c r="T142" s="461"/>
      <c r="U142" s="461"/>
      <c r="V142" s="461"/>
      <c r="W142" s="461"/>
      <c r="X142" s="461"/>
      <c r="Y142" s="461"/>
      <c r="Z142" s="461"/>
      <c r="AA142" s="461"/>
      <c r="AB142" s="461"/>
      <c r="AC142" s="461"/>
      <c r="AD142" s="461"/>
      <c r="AE142" s="461"/>
      <c r="AF142" s="461"/>
      <c r="AG142" s="461"/>
      <c r="AH142" s="461"/>
      <c r="AI142" s="461"/>
      <c r="AJ142" s="461"/>
      <c r="AK142" s="461"/>
      <c r="AL142" s="461"/>
      <c r="AM142" s="461"/>
      <c r="AN142" s="461"/>
      <c r="AO142" s="461"/>
      <c r="AP142" s="461"/>
      <c r="AQ142" s="461"/>
      <c r="AR142" s="461"/>
      <c r="AS142" s="461"/>
    </row>
    <row r="143" spans="1:45" s="102" customFormat="1" ht="12" customHeight="1">
      <c r="A143" s="118">
        <v>30</v>
      </c>
      <c r="B143" s="102" t="s">
        <v>296</v>
      </c>
      <c r="C143" s="125"/>
      <c r="D143" s="193"/>
      <c r="E143" s="193"/>
      <c r="F143" s="214" t="str">
        <f t="shared" si="7"/>
        <v/>
      </c>
      <c r="G143" s="193"/>
      <c r="H143" s="193"/>
      <c r="I143" s="193"/>
      <c r="J143" s="193"/>
      <c r="K143" s="189"/>
      <c r="L143" s="189"/>
      <c r="M143" s="189"/>
      <c r="N143" s="189"/>
      <c r="O143" s="189"/>
      <c r="P143" s="189"/>
      <c r="Q143" s="193"/>
      <c r="R143" s="202"/>
      <c r="S143" s="466"/>
      <c r="T143" s="461"/>
      <c r="U143" s="461"/>
      <c r="V143" s="461"/>
      <c r="W143" s="461"/>
      <c r="X143" s="461"/>
      <c r="Y143" s="461"/>
      <c r="Z143" s="461"/>
      <c r="AA143" s="461"/>
      <c r="AB143" s="461"/>
      <c r="AC143" s="461"/>
      <c r="AD143" s="461"/>
      <c r="AE143" s="461"/>
      <c r="AF143" s="461"/>
      <c r="AG143" s="461"/>
      <c r="AH143" s="461"/>
      <c r="AI143" s="461"/>
      <c r="AJ143" s="461"/>
      <c r="AK143" s="461"/>
      <c r="AL143" s="461"/>
      <c r="AM143" s="461"/>
      <c r="AN143" s="461"/>
      <c r="AO143" s="461"/>
      <c r="AP143" s="461"/>
      <c r="AQ143" s="461"/>
      <c r="AR143" s="461"/>
      <c r="AS143" s="461"/>
    </row>
    <row r="144" spans="1:45">
      <c r="A144" s="1">
        <v>200</v>
      </c>
      <c r="B144" s="62" t="s">
        <v>97</v>
      </c>
      <c r="C144" s="84"/>
      <c r="D144" s="554"/>
      <c r="E144" s="554" t="s">
        <v>407</v>
      </c>
      <c r="F144" s="269"/>
      <c r="G144" s="187"/>
      <c r="H144" s="187"/>
      <c r="I144" s="187"/>
      <c r="J144" s="187"/>
      <c r="K144" s="188"/>
      <c r="L144" s="188"/>
      <c r="M144" s="188"/>
      <c r="N144" s="188"/>
      <c r="O144" s="188"/>
      <c r="P144" s="188"/>
      <c r="Q144" s="187"/>
      <c r="R144" s="200"/>
      <c r="S144" s="462"/>
      <c r="T144" s="463"/>
      <c r="U144" s="464"/>
      <c r="V144" s="464"/>
      <c r="W144" s="460"/>
      <c r="X144" s="460"/>
      <c r="Y144" s="460"/>
      <c r="Z144" s="460"/>
      <c r="AA144" s="460"/>
      <c r="AB144" s="460"/>
      <c r="AC144" s="460"/>
      <c r="AD144" s="460"/>
      <c r="AE144" s="460"/>
      <c r="AF144" s="460"/>
      <c r="AG144" s="460"/>
      <c r="AH144" s="460"/>
      <c r="AI144" s="460"/>
      <c r="AJ144" s="460"/>
      <c r="AK144" s="460"/>
      <c r="AL144" s="460"/>
      <c r="AM144" s="460"/>
      <c r="AN144" s="460"/>
      <c r="AO144" s="460"/>
      <c r="AP144" s="460"/>
      <c r="AQ144" s="460"/>
      <c r="AR144" s="460"/>
      <c r="AS144" s="460"/>
    </row>
    <row r="145" spans="1:45" s="460" customFormat="1" ht="17.25" customHeight="1">
      <c r="A145" s="473">
        <v>250</v>
      </c>
      <c r="B145" s="474" t="s">
        <v>28</v>
      </c>
      <c r="C145" s="480"/>
      <c r="D145" s="476"/>
      <c r="E145" s="476"/>
      <c r="F145" s="556"/>
      <c r="G145" s="476"/>
      <c r="H145" s="476"/>
      <c r="I145" s="476"/>
      <c r="J145" s="476"/>
      <c r="K145" s="477"/>
      <c r="L145" s="477"/>
      <c r="M145" s="477"/>
      <c r="N145" s="477"/>
      <c r="O145" s="477"/>
      <c r="P145" s="477"/>
      <c r="Q145" s="476"/>
      <c r="R145" s="478"/>
      <c r="S145" s="465"/>
      <c r="T145" s="463"/>
      <c r="U145" s="464"/>
      <c r="V145" s="464"/>
    </row>
    <row r="146" spans="1:45" s="102" customFormat="1" ht="12" customHeight="1">
      <c r="A146" s="118">
        <v>3</v>
      </c>
      <c r="B146" s="102" t="s">
        <v>252</v>
      </c>
      <c r="C146" s="125"/>
      <c r="D146" s="193"/>
      <c r="E146" s="193"/>
      <c r="F146" s="214" t="str">
        <f t="shared" ref="F146:F153" si="8">IF(E146&lt;&gt;"",ROUND((E146/((9.266*EXP(-0.04555*D146)+5.374))*100),0),"")</f>
        <v/>
      </c>
      <c r="G146" s="193"/>
      <c r="H146" s="193"/>
      <c r="I146" s="193"/>
      <c r="J146" s="193"/>
      <c r="K146" s="189"/>
      <c r="L146" s="189"/>
      <c r="M146" s="189"/>
      <c r="N146" s="189"/>
      <c r="O146" s="189"/>
      <c r="P146" s="189"/>
      <c r="Q146" s="193"/>
      <c r="R146" s="200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  <c r="AL146" s="461"/>
      <c r="AM146" s="461"/>
      <c r="AN146" s="461"/>
      <c r="AO146" s="461"/>
      <c r="AP146" s="461"/>
      <c r="AQ146" s="461"/>
      <c r="AR146" s="461"/>
      <c r="AS146" s="461"/>
    </row>
    <row r="147" spans="1:45" s="102" customFormat="1" ht="12" customHeight="1">
      <c r="A147" s="118">
        <v>5</v>
      </c>
      <c r="B147" s="102" t="s">
        <v>253</v>
      </c>
      <c r="C147" s="125"/>
      <c r="D147" s="193"/>
      <c r="E147" s="193"/>
      <c r="F147" s="214" t="str">
        <f t="shared" si="8"/>
        <v/>
      </c>
      <c r="G147" s="193"/>
      <c r="H147" s="193"/>
      <c r="I147" s="193"/>
      <c r="J147" s="193"/>
      <c r="K147" s="189"/>
      <c r="L147" s="189"/>
      <c r="M147" s="189"/>
      <c r="N147" s="189"/>
      <c r="O147" s="189"/>
      <c r="P147" s="189"/>
      <c r="Q147" s="193"/>
      <c r="R147" s="200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  <c r="AL147" s="461"/>
      <c r="AM147" s="461"/>
      <c r="AN147" s="461"/>
      <c r="AO147" s="461"/>
      <c r="AP147" s="461"/>
      <c r="AQ147" s="461"/>
      <c r="AR147" s="461"/>
      <c r="AS147" s="461"/>
    </row>
    <row r="148" spans="1:45" s="102" customFormat="1" ht="12" customHeight="1">
      <c r="A148" s="118">
        <v>6</v>
      </c>
      <c r="B148" s="102" t="s">
        <v>265</v>
      </c>
      <c r="C148" s="125"/>
      <c r="D148" s="193"/>
      <c r="E148" s="193"/>
      <c r="F148" s="214" t="str">
        <f t="shared" si="8"/>
        <v/>
      </c>
      <c r="G148" s="193"/>
      <c r="H148" s="193"/>
      <c r="I148" s="193"/>
      <c r="J148" s="193"/>
      <c r="K148" s="189"/>
      <c r="L148" s="189"/>
      <c r="M148" s="189"/>
      <c r="N148" s="189"/>
      <c r="O148" s="189"/>
      <c r="P148" s="189"/>
      <c r="Q148" s="193"/>
      <c r="R148" s="200"/>
      <c r="S148" s="461"/>
      <c r="T148" s="461"/>
      <c r="U148" s="461"/>
      <c r="V148" s="461"/>
      <c r="W148" s="461"/>
      <c r="X148" s="461"/>
      <c r="Y148" s="461"/>
      <c r="Z148" s="461"/>
      <c r="AA148" s="461"/>
      <c r="AB148" s="461"/>
      <c r="AC148" s="461"/>
      <c r="AD148" s="461"/>
      <c r="AE148" s="461"/>
      <c r="AF148" s="461"/>
      <c r="AG148" s="461"/>
      <c r="AH148" s="461"/>
      <c r="AI148" s="461"/>
      <c r="AJ148" s="461"/>
      <c r="AK148" s="461"/>
      <c r="AL148" s="461"/>
      <c r="AM148" s="461"/>
      <c r="AN148" s="461"/>
      <c r="AO148" s="461"/>
      <c r="AP148" s="461"/>
      <c r="AQ148" s="461"/>
      <c r="AR148" s="461"/>
      <c r="AS148" s="461"/>
    </row>
    <row r="149" spans="1:45" s="102" customFormat="1" ht="12" customHeight="1">
      <c r="A149" s="118">
        <v>7</v>
      </c>
      <c r="B149" s="102" t="s">
        <v>254</v>
      </c>
      <c r="C149" s="125"/>
      <c r="D149" s="193"/>
      <c r="E149" s="193"/>
      <c r="F149" s="214" t="str">
        <f t="shared" si="8"/>
        <v/>
      </c>
      <c r="G149" s="193"/>
      <c r="H149" s="193"/>
      <c r="I149" s="193"/>
      <c r="J149" s="193"/>
      <c r="K149" s="189"/>
      <c r="L149" s="189"/>
      <c r="M149" s="189"/>
      <c r="N149" s="189"/>
      <c r="O149" s="189"/>
      <c r="P149" s="189"/>
      <c r="Q149" s="193"/>
      <c r="R149" s="200"/>
      <c r="S149" s="461"/>
      <c r="T149" s="461"/>
      <c r="U149" s="461"/>
      <c r="V149" s="461"/>
      <c r="W149" s="461"/>
      <c r="X149" s="461"/>
      <c r="Y149" s="461"/>
      <c r="Z149" s="461"/>
      <c r="AA149" s="461"/>
      <c r="AB149" s="461"/>
      <c r="AC149" s="461"/>
      <c r="AD149" s="461"/>
      <c r="AE149" s="461"/>
      <c r="AF149" s="461"/>
      <c r="AG149" s="461"/>
      <c r="AH149" s="461"/>
      <c r="AI149" s="461"/>
      <c r="AJ149" s="461"/>
      <c r="AK149" s="461"/>
      <c r="AL149" s="461"/>
      <c r="AM149" s="461"/>
      <c r="AN149" s="461"/>
      <c r="AO149" s="461"/>
      <c r="AP149" s="461"/>
      <c r="AQ149" s="461"/>
      <c r="AR149" s="461"/>
      <c r="AS149" s="461"/>
    </row>
    <row r="150" spans="1:45" s="102" customFormat="1" ht="12" customHeight="1">
      <c r="A150" s="118">
        <v>9</v>
      </c>
      <c r="B150" s="102" t="s">
        <v>255</v>
      </c>
      <c r="C150" s="125"/>
      <c r="D150" s="193"/>
      <c r="E150" s="193"/>
      <c r="F150" s="214" t="str">
        <f t="shared" si="8"/>
        <v/>
      </c>
      <c r="G150" s="193"/>
      <c r="H150" s="193"/>
      <c r="I150" s="193"/>
      <c r="J150" s="193"/>
      <c r="K150" s="189"/>
      <c r="L150" s="189"/>
      <c r="M150" s="189"/>
      <c r="N150" s="189"/>
      <c r="O150" s="189"/>
      <c r="P150" s="189"/>
      <c r="Q150" s="193"/>
      <c r="R150" s="200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  <c r="AL150" s="461"/>
      <c r="AM150" s="461"/>
      <c r="AN150" s="461"/>
      <c r="AO150" s="461"/>
      <c r="AP150" s="461"/>
      <c r="AQ150" s="461"/>
      <c r="AR150" s="461"/>
      <c r="AS150" s="461"/>
    </row>
    <row r="151" spans="1:45" s="102" customFormat="1" ht="12" customHeight="1">
      <c r="A151" s="118">
        <v>11</v>
      </c>
      <c r="B151" s="102" t="s">
        <v>256</v>
      </c>
      <c r="C151" s="125"/>
      <c r="D151" s="193"/>
      <c r="E151" s="193"/>
      <c r="F151" s="214" t="str">
        <f t="shared" si="8"/>
        <v/>
      </c>
      <c r="G151" s="193"/>
      <c r="H151" s="193"/>
      <c r="I151" s="193"/>
      <c r="J151" s="193"/>
      <c r="K151" s="189"/>
      <c r="L151" s="189"/>
      <c r="M151" s="189"/>
      <c r="N151" s="189"/>
      <c r="O151" s="189"/>
      <c r="P151" s="189"/>
      <c r="Q151" s="193"/>
      <c r="R151" s="200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1"/>
      <c r="AO151" s="461"/>
      <c r="AP151" s="461"/>
      <c r="AQ151" s="461"/>
      <c r="AR151" s="461"/>
      <c r="AS151" s="461"/>
    </row>
    <row r="152" spans="1:45" s="102" customFormat="1" ht="12" customHeight="1">
      <c r="A152" s="118">
        <v>13</v>
      </c>
      <c r="B152" s="102" t="s">
        <v>257</v>
      </c>
      <c r="C152" s="125"/>
      <c r="D152" s="193"/>
      <c r="E152" s="193"/>
      <c r="F152" s="214" t="str">
        <f t="shared" si="8"/>
        <v/>
      </c>
      <c r="G152" s="193"/>
      <c r="H152" s="193"/>
      <c r="I152" s="193"/>
      <c r="J152" s="193"/>
      <c r="K152" s="189"/>
      <c r="L152" s="189"/>
      <c r="M152" s="189"/>
      <c r="N152" s="189"/>
      <c r="O152" s="189"/>
      <c r="P152" s="189"/>
      <c r="Q152" s="193"/>
      <c r="R152" s="200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  <c r="AL152" s="461"/>
      <c r="AM152" s="461"/>
      <c r="AN152" s="461"/>
      <c r="AO152" s="461"/>
      <c r="AP152" s="461"/>
      <c r="AQ152" s="461"/>
      <c r="AR152" s="461"/>
      <c r="AS152" s="461"/>
    </row>
    <row r="153" spans="1:45" s="102" customFormat="1" ht="12" customHeight="1">
      <c r="A153" s="118">
        <v>15</v>
      </c>
      <c r="B153" s="102" t="s">
        <v>258</v>
      </c>
      <c r="C153" s="125"/>
      <c r="D153" s="193"/>
      <c r="E153" s="193"/>
      <c r="F153" s="214" t="str">
        <f t="shared" si="8"/>
        <v/>
      </c>
      <c r="G153" s="193"/>
      <c r="H153" s="193"/>
      <c r="I153" s="193"/>
      <c r="J153" s="193"/>
      <c r="K153" s="189"/>
      <c r="L153" s="189"/>
      <c r="M153" s="189"/>
      <c r="N153" s="189"/>
      <c r="O153" s="189"/>
      <c r="P153" s="189"/>
      <c r="Q153" s="193"/>
      <c r="R153" s="200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  <c r="AS153" s="461"/>
    </row>
    <row r="154" spans="1:45" s="102" customFormat="1" ht="12" customHeight="1">
      <c r="A154" s="118">
        <v>17</v>
      </c>
      <c r="B154" s="102" t="s">
        <v>259</v>
      </c>
      <c r="C154" s="125"/>
      <c r="D154" s="193"/>
      <c r="E154" s="193"/>
      <c r="F154" s="214" t="str">
        <f t="shared" ref="F154:F163" si="9">IF(E154&lt;&gt;"",ROUND((E154/((9.266*EXP(-0.04555*D154)+5.374))*100),0),"")</f>
        <v/>
      </c>
      <c r="G154" s="193"/>
      <c r="H154" s="193"/>
      <c r="I154" s="193"/>
      <c r="J154" s="193"/>
      <c r="K154" s="189"/>
      <c r="L154" s="189"/>
      <c r="M154" s="189"/>
      <c r="N154" s="189"/>
      <c r="O154" s="189"/>
      <c r="P154" s="189"/>
      <c r="Q154" s="193"/>
      <c r="R154" s="200"/>
      <c r="S154" s="461"/>
      <c r="T154" s="461"/>
      <c r="U154" s="461"/>
      <c r="V154" s="461"/>
      <c r="W154" s="461"/>
      <c r="X154" s="461"/>
      <c r="Y154" s="461"/>
      <c r="Z154" s="461"/>
      <c r="AA154" s="461"/>
      <c r="AB154" s="461"/>
      <c r="AC154" s="461"/>
      <c r="AD154" s="461"/>
      <c r="AE154" s="461"/>
      <c r="AF154" s="461"/>
      <c r="AG154" s="461"/>
      <c r="AH154" s="461"/>
      <c r="AI154" s="461"/>
      <c r="AJ154" s="461"/>
      <c r="AK154" s="461"/>
      <c r="AL154" s="461"/>
      <c r="AM154" s="461"/>
      <c r="AN154" s="461"/>
      <c r="AO154" s="461"/>
      <c r="AP154" s="461"/>
      <c r="AQ154" s="461"/>
      <c r="AR154" s="461"/>
      <c r="AS154" s="461"/>
    </row>
    <row r="155" spans="1:45" s="102" customFormat="1" ht="12" customHeight="1">
      <c r="A155" s="118">
        <v>18</v>
      </c>
      <c r="B155" s="102" t="s">
        <v>266</v>
      </c>
      <c r="C155" s="125"/>
      <c r="D155" s="193"/>
      <c r="E155" s="193"/>
      <c r="F155" s="214" t="str">
        <f t="shared" si="9"/>
        <v/>
      </c>
      <c r="G155" s="193"/>
      <c r="H155" s="193"/>
      <c r="I155" s="193"/>
      <c r="J155" s="193"/>
      <c r="K155" s="189"/>
      <c r="L155" s="189"/>
      <c r="M155" s="189"/>
      <c r="N155" s="189"/>
      <c r="O155" s="189"/>
      <c r="P155" s="189"/>
      <c r="Q155" s="193"/>
      <c r="R155" s="200"/>
      <c r="S155" s="461"/>
      <c r="T155" s="461"/>
      <c r="U155" s="461"/>
      <c r="V155" s="461"/>
      <c r="W155" s="461"/>
      <c r="X155" s="461"/>
      <c r="Y155" s="461"/>
      <c r="Z155" s="461"/>
      <c r="AA155" s="461"/>
      <c r="AB155" s="461"/>
      <c r="AC155" s="461"/>
      <c r="AD155" s="461"/>
      <c r="AE155" s="461"/>
      <c r="AF155" s="461"/>
      <c r="AG155" s="461"/>
      <c r="AH155" s="461"/>
      <c r="AI155" s="461"/>
      <c r="AJ155" s="461"/>
      <c r="AK155" s="461"/>
      <c r="AL155" s="461"/>
      <c r="AM155" s="461"/>
      <c r="AN155" s="461"/>
      <c r="AO155" s="461"/>
      <c r="AP155" s="461"/>
      <c r="AQ155" s="461"/>
      <c r="AR155" s="461"/>
      <c r="AS155" s="461"/>
    </row>
    <row r="156" spans="1:45" s="102" customFormat="1" ht="12" customHeight="1">
      <c r="A156" s="118">
        <v>19</v>
      </c>
      <c r="B156" s="102" t="s">
        <v>260</v>
      </c>
      <c r="C156" s="125"/>
      <c r="D156" s="193"/>
      <c r="E156" s="193"/>
      <c r="F156" s="214" t="str">
        <f t="shared" si="9"/>
        <v/>
      </c>
      <c r="G156" s="193"/>
      <c r="H156" s="193"/>
      <c r="I156" s="193"/>
      <c r="J156" s="193"/>
      <c r="K156" s="189"/>
      <c r="L156" s="189"/>
      <c r="M156" s="189"/>
      <c r="N156" s="189"/>
      <c r="O156" s="189"/>
      <c r="P156" s="189"/>
      <c r="Q156" s="193"/>
      <c r="R156" s="200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1"/>
      <c r="AO156" s="461"/>
      <c r="AP156" s="461"/>
      <c r="AQ156" s="461"/>
      <c r="AR156" s="461"/>
      <c r="AS156" s="461"/>
    </row>
    <row r="157" spans="1:45" s="102" customFormat="1" ht="12" customHeight="1">
      <c r="A157" s="118">
        <v>20</v>
      </c>
      <c r="B157" s="102" t="s">
        <v>267</v>
      </c>
      <c r="C157" s="125"/>
      <c r="D157" s="193"/>
      <c r="E157" s="193"/>
      <c r="F157" s="214" t="str">
        <f t="shared" si="9"/>
        <v/>
      </c>
      <c r="G157" s="193"/>
      <c r="H157" s="193"/>
      <c r="I157" s="193"/>
      <c r="J157" s="193"/>
      <c r="K157" s="189"/>
      <c r="L157" s="189"/>
      <c r="M157" s="189"/>
      <c r="N157" s="189"/>
      <c r="O157" s="189"/>
      <c r="P157" s="189"/>
      <c r="Q157" s="193"/>
      <c r="R157" s="200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1"/>
      <c r="AO157" s="461"/>
      <c r="AP157" s="461"/>
      <c r="AQ157" s="461"/>
      <c r="AR157" s="461"/>
      <c r="AS157" s="461"/>
    </row>
    <row r="158" spans="1:45" s="102" customFormat="1" ht="12" customHeight="1">
      <c r="A158" s="118">
        <v>21</v>
      </c>
      <c r="B158" s="102" t="s">
        <v>261</v>
      </c>
      <c r="C158" s="125"/>
      <c r="D158" s="193"/>
      <c r="E158" s="193"/>
      <c r="F158" s="214" t="str">
        <f t="shared" si="9"/>
        <v/>
      </c>
      <c r="G158" s="193"/>
      <c r="H158" s="193"/>
      <c r="I158" s="193"/>
      <c r="J158" s="193"/>
      <c r="K158" s="189"/>
      <c r="L158" s="189"/>
      <c r="M158" s="189"/>
      <c r="N158" s="189"/>
      <c r="O158" s="189"/>
      <c r="P158" s="189"/>
      <c r="Q158" s="193"/>
      <c r="R158" s="200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  <c r="AL158" s="461"/>
      <c r="AM158" s="461"/>
      <c r="AN158" s="461"/>
      <c r="AO158" s="461"/>
      <c r="AP158" s="461"/>
      <c r="AQ158" s="461"/>
      <c r="AR158" s="461"/>
      <c r="AS158" s="461"/>
    </row>
    <row r="159" spans="1:45" s="102" customFormat="1" ht="12" customHeight="1">
      <c r="A159" s="118">
        <v>22</v>
      </c>
      <c r="B159" s="102" t="s">
        <v>268</v>
      </c>
      <c r="C159" s="125"/>
      <c r="D159" s="193"/>
      <c r="E159" s="193"/>
      <c r="F159" s="214" t="str">
        <f t="shared" si="9"/>
        <v/>
      </c>
      <c r="G159" s="193"/>
      <c r="H159" s="193"/>
      <c r="I159" s="193"/>
      <c r="J159" s="193"/>
      <c r="K159" s="189"/>
      <c r="L159" s="189"/>
      <c r="M159" s="189"/>
      <c r="N159" s="189"/>
      <c r="O159" s="189"/>
      <c r="P159" s="189"/>
      <c r="Q159" s="193"/>
      <c r="R159" s="200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  <c r="AL159" s="461"/>
      <c r="AM159" s="461"/>
      <c r="AN159" s="461"/>
      <c r="AO159" s="461"/>
      <c r="AP159" s="461"/>
      <c r="AQ159" s="461"/>
      <c r="AR159" s="461"/>
      <c r="AS159" s="461"/>
    </row>
    <row r="160" spans="1:45" s="102" customFormat="1" ht="12" customHeight="1">
      <c r="A160" s="118">
        <v>23</v>
      </c>
      <c r="B160" s="122" t="s">
        <v>297</v>
      </c>
      <c r="C160" s="125"/>
      <c r="D160" s="193"/>
      <c r="E160" s="193"/>
      <c r="F160" s="214" t="str">
        <f t="shared" si="9"/>
        <v/>
      </c>
      <c r="G160" s="193"/>
      <c r="H160" s="193"/>
      <c r="I160" s="193"/>
      <c r="J160" s="193"/>
      <c r="K160" s="189"/>
      <c r="L160" s="189"/>
      <c r="M160" s="189"/>
      <c r="N160" s="189"/>
      <c r="O160" s="189"/>
      <c r="P160" s="189"/>
      <c r="Q160" s="193"/>
      <c r="R160" s="200"/>
      <c r="S160" s="461"/>
      <c r="T160" s="461"/>
      <c r="U160" s="461"/>
      <c r="V160" s="461"/>
      <c r="W160" s="461"/>
      <c r="X160" s="461"/>
      <c r="Y160" s="461"/>
      <c r="Z160" s="461"/>
      <c r="AA160" s="461"/>
      <c r="AB160" s="461"/>
      <c r="AC160" s="461"/>
      <c r="AD160" s="461"/>
      <c r="AE160" s="461"/>
      <c r="AF160" s="461"/>
      <c r="AG160" s="461"/>
      <c r="AH160" s="461"/>
      <c r="AI160" s="461"/>
      <c r="AJ160" s="461"/>
      <c r="AK160" s="461"/>
      <c r="AL160" s="461"/>
      <c r="AM160" s="461"/>
      <c r="AN160" s="461"/>
      <c r="AO160" s="461"/>
      <c r="AP160" s="461"/>
      <c r="AQ160" s="461"/>
      <c r="AR160" s="461"/>
      <c r="AS160" s="461"/>
    </row>
    <row r="161" spans="1:45" s="102" customFormat="1" ht="12" customHeight="1">
      <c r="A161" s="118">
        <v>24</v>
      </c>
      <c r="B161" s="102" t="s">
        <v>269</v>
      </c>
      <c r="C161" s="125"/>
      <c r="D161" s="193"/>
      <c r="E161" s="193"/>
      <c r="F161" s="214" t="str">
        <f t="shared" si="9"/>
        <v/>
      </c>
      <c r="G161" s="193"/>
      <c r="H161" s="193"/>
      <c r="I161" s="193"/>
      <c r="J161" s="193"/>
      <c r="K161" s="189"/>
      <c r="L161" s="189"/>
      <c r="M161" s="189"/>
      <c r="N161" s="189"/>
      <c r="O161" s="189"/>
      <c r="P161" s="189"/>
      <c r="Q161" s="193"/>
      <c r="R161" s="200"/>
      <c r="S161" s="461"/>
      <c r="T161" s="461"/>
      <c r="U161" s="461"/>
      <c r="V161" s="461"/>
      <c r="W161" s="461"/>
      <c r="X161" s="461"/>
      <c r="Y161" s="461"/>
      <c r="Z161" s="461"/>
      <c r="AA161" s="461"/>
      <c r="AB161" s="461"/>
      <c r="AC161" s="461"/>
      <c r="AD161" s="461"/>
      <c r="AE161" s="461"/>
      <c r="AF161" s="461"/>
      <c r="AG161" s="461"/>
      <c r="AH161" s="461"/>
      <c r="AI161" s="461"/>
      <c r="AJ161" s="461"/>
      <c r="AK161" s="461"/>
      <c r="AL161" s="461"/>
      <c r="AM161" s="461"/>
      <c r="AN161" s="461"/>
      <c r="AO161" s="461"/>
      <c r="AP161" s="461"/>
      <c r="AQ161" s="461"/>
      <c r="AR161" s="461"/>
      <c r="AS161" s="461"/>
    </row>
    <row r="162" spans="1:45" s="102" customFormat="1" ht="12" customHeight="1">
      <c r="A162" s="118">
        <v>25</v>
      </c>
      <c r="B162" s="102" t="s">
        <v>263</v>
      </c>
      <c r="C162" s="125"/>
      <c r="D162" s="193"/>
      <c r="E162" s="193"/>
      <c r="F162" s="214" t="str">
        <f t="shared" si="9"/>
        <v/>
      </c>
      <c r="G162" s="193"/>
      <c r="H162" s="193"/>
      <c r="I162" s="193"/>
      <c r="J162" s="193"/>
      <c r="K162" s="189"/>
      <c r="L162" s="189"/>
      <c r="M162" s="189"/>
      <c r="N162" s="189"/>
      <c r="O162" s="189"/>
      <c r="P162" s="189"/>
      <c r="Q162" s="193"/>
      <c r="R162" s="200"/>
      <c r="S162" s="461"/>
      <c r="T162" s="461"/>
      <c r="U162" s="461"/>
      <c r="V162" s="461"/>
      <c r="W162" s="461"/>
      <c r="X162" s="461"/>
      <c r="Y162" s="461"/>
      <c r="Z162" s="461"/>
      <c r="AA162" s="461"/>
      <c r="AB162" s="461"/>
      <c r="AC162" s="461"/>
      <c r="AD162" s="461"/>
      <c r="AE162" s="461"/>
      <c r="AF162" s="461"/>
      <c r="AG162" s="461"/>
      <c r="AH162" s="461"/>
      <c r="AI162" s="461"/>
      <c r="AJ162" s="461"/>
      <c r="AK162" s="461"/>
      <c r="AL162" s="461"/>
      <c r="AM162" s="461"/>
      <c r="AN162" s="461"/>
      <c r="AO162" s="461"/>
      <c r="AP162" s="461"/>
      <c r="AQ162" s="461"/>
      <c r="AR162" s="461"/>
      <c r="AS162" s="461"/>
    </row>
    <row r="163" spans="1:45" s="102" customFormat="1" ht="12" customHeight="1">
      <c r="A163" s="118">
        <v>27</v>
      </c>
      <c r="B163" s="102" t="s">
        <v>264</v>
      </c>
      <c r="C163" s="125"/>
      <c r="D163" s="193"/>
      <c r="E163" s="193"/>
      <c r="F163" s="214" t="str">
        <f t="shared" si="9"/>
        <v/>
      </c>
      <c r="G163" s="193"/>
      <c r="H163" s="193"/>
      <c r="I163" s="193"/>
      <c r="J163" s="193"/>
      <c r="K163" s="189"/>
      <c r="L163" s="189"/>
      <c r="M163" s="189"/>
      <c r="N163" s="189"/>
      <c r="O163" s="189"/>
      <c r="P163" s="189"/>
      <c r="Q163" s="193"/>
      <c r="R163" s="200"/>
      <c r="S163" s="461"/>
      <c r="T163" s="461"/>
      <c r="U163" s="461"/>
      <c r="V163" s="461"/>
      <c r="W163" s="461"/>
      <c r="X163" s="461"/>
      <c r="Y163" s="461"/>
      <c r="Z163" s="461"/>
      <c r="AA163" s="461"/>
      <c r="AB163" s="461"/>
      <c r="AC163" s="461"/>
      <c r="AD163" s="461"/>
      <c r="AE163" s="461"/>
      <c r="AF163" s="461"/>
      <c r="AG163" s="461"/>
      <c r="AH163" s="461"/>
      <c r="AI163" s="461"/>
      <c r="AJ163" s="461"/>
      <c r="AK163" s="461"/>
      <c r="AL163" s="461"/>
      <c r="AM163" s="461"/>
      <c r="AN163" s="461"/>
      <c r="AO163" s="461"/>
      <c r="AP163" s="461"/>
      <c r="AQ163" s="461"/>
      <c r="AR163" s="461"/>
      <c r="AS163" s="461"/>
    </row>
    <row r="164" spans="1:45" s="102" customFormat="1" ht="12" customHeight="1">
      <c r="A164" s="118">
        <v>29</v>
      </c>
      <c r="B164" s="102" t="s">
        <v>295</v>
      </c>
      <c r="C164" s="125"/>
      <c r="D164" s="193"/>
      <c r="E164" s="193"/>
      <c r="F164" s="214" t="str">
        <f>IF(E164&lt;&gt;"",ROUND((E164/((9.266*EXP(-0.04555*D164)+5.374))*100),0),"")</f>
        <v/>
      </c>
      <c r="G164" s="193"/>
      <c r="H164" s="193"/>
      <c r="I164" s="193"/>
      <c r="J164" s="193"/>
      <c r="K164" s="189"/>
      <c r="L164" s="189"/>
      <c r="M164" s="189"/>
      <c r="N164" s="189"/>
      <c r="O164" s="189"/>
      <c r="P164" s="189"/>
      <c r="Q164" s="193"/>
      <c r="R164" s="200"/>
      <c r="S164" s="461"/>
      <c r="T164" s="461"/>
      <c r="U164" s="461"/>
      <c r="V164" s="461"/>
      <c r="W164" s="461"/>
      <c r="X164" s="461"/>
      <c r="Y164" s="461"/>
      <c r="Z164" s="461"/>
      <c r="AA164" s="461"/>
      <c r="AB164" s="461"/>
      <c r="AC164" s="461"/>
      <c r="AD164" s="461"/>
      <c r="AE164" s="461"/>
      <c r="AF164" s="461"/>
      <c r="AG164" s="461"/>
      <c r="AH164" s="461"/>
      <c r="AI164" s="461"/>
      <c r="AJ164" s="461"/>
      <c r="AK164" s="461"/>
      <c r="AL164" s="461"/>
      <c r="AM164" s="461"/>
      <c r="AN164" s="461"/>
      <c r="AO164" s="461"/>
      <c r="AP164" s="461"/>
      <c r="AQ164" s="461"/>
      <c r="AR164" s="461"/>
      <c r="AS164" s="461"/>
    </row>
    <row r="165" spans="1:45" s="102" customFormat="1" ht="12" customHeight="1">
      <c r="A165" s="118">
        <v>30</v>
      </c>
      <c r="B165" s="102" t="s">
        <v>296</v>
      </c>
      <c r="C165" s="125"/>
      <c r="D165" s="193"/>
      <c r="E165" s="193"/>
      <c r="F165" s="214" t="str">
        <f>IF(E165&lt;&gt;"",ROUND((E165/((9.266*EXP(-0.04555*D165)+5.374))*100),0),"")</f>
        <v/>
      </c>
      <c r="G165" s="193"/>
      <c r="H165" s="193"/>
      <c r="I165" s="193"/>
      <c r="J165" s="193"/>
      <c r="K165" s="189"/>
      <c r="L165" s="189"/>
      <c r="M165" s="189"/>
      <c r="N165" s="189"/>
      <c r="O165" s="189"/>
      <c r="P165" s="189"/>
      <c r="Q165" s="193"/>
      <c r="R165" s="200"/>
      <c r="S165" s="461"/>
      <c r="T165" s="461"/>
      <c r="U165" s="461"/>
      <c r="V165" s="461"/>
      <c r="W165" s="461"/>
      <c r="X165" s="461"/>
      <c r="Y165" s="461"/>
      <c r="Z165" s="461"/>
      <c r="AA165" s="461"/>
      <c r="AB165" s="461"/>
      <c r="AC165" s="461"/>
      <c r="AD165" s="461"/>
      <c r="AE165" s="461"/>
      <c r="AF165" s="461"/>
      <c r="AG165" s="461"/>
      <c r="AH165" s="461"/>
      <c r="AI165" s="461"/>
      <c r="AJ165" s="461"/>
      <c r="AK165" s="461"/>
      <c r="AL165" s="461"/>
      <c r="AM165" s="461"/>
      <c r="AN165" s="461"/>
      <c r="AO165" s="461"/>
      <c r="AP165" s="461"/>
      <c r="AQ165" s="461"/>
      <c r="AR165" s="461"/>
      <c r="AS165" s="461"/>
    </row>
    <row r="166" spans="1:45">
      <c r="A166" s="1">
        <v>200</v>
      </c>
      <c r="B166" s="62" t="s">
        <v>97</v>
      </c>
      <c r="C166" s="125"/>
      <c r="D166" s="554"/>
      <c r="E166" s="554" t="s">
        <v>407</v>
      </c>
      <c r="F166" s="269"/>
      <c r="G166" s="187"/>
      <c r="H166" s="187"/>
      <c r="I166" s="187"/>
      <c r="J166" s="187"/>
      <c r="K166" s="188"/>
      <c r="L166" s="188"/>
      <c r="M166" s="188"/>
      <c r="N166" s="188"/>
      <c r="O166" s="188"/>
      <c r="P166" s="188"/>
      <c r="Q166" s="187"/>
      <c r="R166" s="200"/>
      <c r="S166" s="462"/>
      <c r="T166" s="463"/>
      <c r="U166" s="464"/>
      <c r="V166" s="464"/>
      <c r="W166" s="460"/>
      <c r="X166" s="460"/>
      <c r="Y166" s="460"/>
      <c r="Z166" s="460"/>
      <c r="AA166" s="460"/>
      <c r="AB166" s="460"/>
      <c r="AC166" s="460"/>
      <c r="AD166" s="460"/>
      <c r="AE166" s="460"/>
      <c r="AF166" s="460"/>
      <c r="AG166" s="460"/>
      <c r="AH166" s="460"/>
      <c r="AI166" s="460"/>
      <c r="AJ166" s="460"/>
      <c r="AK166" s="460"/>
      <c r="AL166" s="460"/>
      <c r="AM166" s="460"/>
      <c r="AN166" s="460"/>
      <c r="AO166" s="460"/>
      <c r="AP166" s="460"/>
      <c r="AQ166" s="460"/>
      <c r="AR166" s="460"/>
      <c r="AS166" s="460"/>
    </row>
    <row r="167" spans="1:45" s="460" customFormat="1" ht="17.25" customHeight="1">
      <c r="A167" s="473">
        <v>250</v>
      </c>
      <c r="B167" s="474" t="s">
        <v>29</v>
      </c>
      <c r="C167" s="480"/>
      <c r="D167" s="483"/>
      <c r="E167" s="476"/>
      <c r="F167" s="556"/>
      <c r="G167" s="476"/>
      <c r="H167" s="476"/>
      <c r="I167" s="476"/>
      <c r="J167" s="476"/>
      <c r="K167" s="477"/>
      <c r="L167" s="477"/>
      <c r="M167" s="477"/>
      <c r="N167" s="477"/>
      <c r="O167" s="477"/>
      <c r="P167" s="477"/>
      <c r="Q167" s="476"/>
      <c r="R167" s="478"/>
      <c r="S167" s="465"/>
      <c r="T167" s="463"/>
      <c r="U167" s="464"/>
      <c r="V167" s="464"/>
    </row>
    <row r="168" spans="1:45" s="102" customFormat="1" ht="12" customHeight="1">
      <c r="A168" s="117">
        <v>3</v>
      </c>
      <c r="B168" s="102" t="s">
        <v>252</v>
      </c>
      <c r="C168" s="125"/>
      <c r="D168" s="193"/>
      <c r="E168" s="193"/>
      <c r="F168" s="214" t="str">
        <f t="shared" ref="F168:F177" si="10">IF(E168&lt;&gt;"",ROUND((E168/((9.266*EXP(-0.04555*D168)+5.374))*100),0),"")</f>
        <v/>
      </c>
      <c r="G168" s="193"/>
      <c r="H168" s="193"/>
      <c r="I168" s="193"/>
      <c r="J168" s="193"/>
      <c r="K168" s="189"/>
      <c r="L168" s="189"/>
      <c r="M168" s="189"/>
      <c r="N168" s="189"/>
      <c r="O168" s="189"/>
      <c r="P168" s="189"/>
      <c r="Q168" s="193"/>
      <c r="R168" s="202"/>
      <c r="S168" s="466"/>
      <c r="T168" s="461"/>
      <c r="U168" s="461"/>
      <c r="V168" s="461"/>
      <c r="W168" s="461"/>
      <c r="X168" s="461"/>
      <c r="Y168" s="461"/>
      <c r="Z168" s="461"/>
      <c r="AA168" s="461"/>
      <c r="AB168" s="461"/>
      <c r="AC168" s="461"/>
      <c r="AD168" s="461"/>
      <c r="AE168" s="461"/>
      <c r="AF168" s="461"/>
      <c r="AG168" s="461"/>
      <c r="AH168" s="461"/>
      <c r="AI168" s="461"/>
      <c r="AJ168" s="461"/>
      <c r="AK168" s="461"/>
      <c r="AL168" s="461"/>
      <c r="AM168" s="461"/>
      <c r="AN168" s="461"/>
      <c r="AO168" s="461"/>
      <c r="AP168" s="461"/>
      <c r="AQ168" s="461"/>
      <c r="AR168" s="461"/>
      <c r="AS168" s="461"/>
    </row>
    <row r="169" spans="1:45" s="102" customFormat="1" ht="12" customHeight="1">
      <c r="A169" s="117">
        <v>6</v>
      </c>
      <c r="B169" s="102" t="s">
        <v>265</v>
      </c>
      <c r="C169" s="125"/>
      <c r="D169" s="193"/>
      <c r="E169" s="193"/>
      <c r="F169" s="214" t="str">
        <f t="shared" si="10"/>
        <v/>
      </c>
      <c r="G169" s="193"/>
      <c r="H169" s="193"/>
      <c r="I169" s="193"/>
      <c r="J169" s="193"/>
      <c r="K169" s="189"/>
      <c r="L169" s="189"/>
      <c r="M169" s="189"/>
      <c r="N169" s="189"/>
      <c r="O169" s="189"/>
      <c r="P169" s="189"/>
      <c r="Q169" s="193"/>
      <c r="R169" s="202"/>
      <c r="S169" s="466"/>
      <c r="T169" s="461"/>
      <c r="U169" s="461"/>
      <c r="V169" s="461"/>
      <c r="W169" s="461"/>
      <c r="X169" s="461"/>
      <c r="Y169" s="461"/>
      <c r="Z169" s="461"/>
      <c r="AA169" s="461"/>
      <c r="AB169" s="461"/>
      <c r="AC169" s="461"/>
      <c r="AD169" s="461"/>
      <c r="AE169" s="461"/>
      <c r="AF169" s="461"/>
      <c r="AG169" s="461"/>
      <c r="AH169" s="461"/>
      <c r="AI169" s="461"/>
      <c r="AJ169" s="461"/>
      <c r="AK169" s="461"/>
      <c r="AL169" s="461"/>
      <c r="AM169" s="461"/>
      <c r="AN169" s="461"/>
      <c r="AO169" s="461"/>
      <c r="AP169" s="461"/>
      <c r="AQ169" s="461"/>
      <c r="AR169" s="461"/>
      <c r="AS169" s="461"/>
    </row>
    <row r="170" spans="1:45" s="102" customFormat="1" ht="12" customHeight="1">
      <c r="A170" s="117">
        <v>7</v>
      </c>
      <c r="B170" s="122" t="s">
        <v>254</v>
      </c>
      <c r="C170" s="125"/>
      <c r="D170" s="193"/>
      <c r="E170" s="193"/>
      <c r="F170" s="214" t="str">
        <f t="shared" si="10"/>
        <v/>
      </c>
      <c r="G170" s="193"/>
      <c r="H170" s="193"/>
      <c r="I170" s="193"/>
      <c r="J170" s="193"/>
      <c r="K170" s="189"/>
      <c r="L170" s="189"/>
      <c r="M170" s="189"/>
      <c r="N170" s="189"/>
      <c r="O170" s="189"/>
      <c r="P170" s="189"/>
      <c r="Q170" s="193"/>
      <c r="R170" s="202"/>
      <c r="S170" s="466"/>
      <c r="T170" s="461"/>
      <c r="U170" s="461"/>
      <c r="V170" s="461"/>
      <c r="W170" s="461"/>
      <c r="X170" s="461"/>
      <c r="Y170" s="461"/>
      <c r="Z170" s="461"/>
      <c r="AA170" s="461"/>
      <c r="AB170" s="461"/>
      <c r="AC170" s="461"/>
      <c r="AD170" s="461"/>
      <c r="AE170" s="461"/>
      <c r="AF170" s="461"/>
      <c r="AG170" s="461"/>
      <c r="AH170" s="461"/>
      <c r="AI170" s="461"/>
      <c r="AJ170" s="461"/>
      <c r="AK170" s="461"/>
      <c r="AL170" s="461"/>
      <c r="AM170" s="461"/>
      <c r="AN170" s="461"/>
      <c r="AO170" s="461"/>
      <c r="AP170" s="461"/>
      <c r="AQ170" s="461"/>
      <c r="AR170" s="461"/>
      <c r="AS170" s="461"/>
    </row>
    <row r="171" spans="1:45" s="102" customFormat="1" ht="12" customHeight="1">
      <c r="A171" s="117">
        <v>11</v>
      </c>
      <c r="B171" s="102" t="s">
        <v>256</v>
      </c>
      <c r="C171" s="125"/>
      <c r="D171" s="193"/>
      <c r="E171" s="193"/>
      <c r="F171" s="214" t="str">
        <f t="shared" si="10"/>
        <v/>
      </c>
      <c r="G171" s="193"/>
      <c r="H171" s="193"/>
      <c r="I171" s="193"/>
      <c r="J171" s="193"/>
      <c r="K171" s="189"/>
      <c r="L171" s="189"/>
      <c r="M171" s="189"/>
      <c r="N171" s="189"/>
      <c r="O171" s="189"/>
      <c r="P171" s="189"/>
      <c r="Q171" s="193"/>
      <c r="R171" s="202"/>
      <c r="S171" s="466"/>
      <c r="T171" s="461"/>
      <c r="U171" s="461"/>
      <c r="V171" s="461"/>
      <c r="W171" s="461"/>
      <c r="X171" s="461"/>
      <c r="Y171" s="461"/>
      <c r="Z171" s="461"/>
      <c r="AA171" s="461"/>
      <c r="AB171" s="461"/>
      <c r="AC171" s="461"/>
      <c r="AD171" s="461"/>
      <c r="AE171" s="461"/>
      <c r="AF171" s="461"/>
      <c r="AG171" s="461"/>
      <c r="AH171" s="461"/>
      <c r="AI171" s="461"/>
      <c r="AJ171" s="461"/>
      <c r="AK171" s="461"/>
      <c r="AL171" s="461"/>
      <c r="AM171" s="461"/>
      <c r="AN171" s="461"/>
      <c r="AO171" s="461"/>
      <c r="AP171" s="461"/>
      <c r="AQ171" s="461"/>
      <c r="AR171" s="461"/>
      <c r="AS171" s="461"/>
    </row>
    <row r="172" spans="1:45" s="102" customFormat="1" ht="12" customHeight="1">
      <c r="A172" s="117">
        <v>19</v>
      </c>
      <c r="B172" s="102" t="s">
        <v>260</v>
      </c>
      <c r="C172" s="125"/>
      <c r="D172" s="193"/>
      <c r="E172" s="193"/>
      <c r="F172" s="214" t="str">
        <f t="shared" si="10"/>
        <v/>
      </c>
      <c r="G172" s="193"/>
      <c r="H172" s="193"/>
      <c r="I172" s="193"/>
      <c r="J172" s="193"/>
      <c r="K172" s="189"/>
      <c r="L172" s="189"/>
      <c r="M172" s="189"/>
      <c r="N172" s="189"/>
      <c r="O172" s="189"/>
      <c r="P172" s="189"/>
      <c r="Q172" s="193"/>
      <c r="R172" s="202"/>
      <c r="S172" s="466"/>
      <c r="T172" s="461"/>
      <c r="U172" s="461"/>
      <c r="V172" s="461"/>
      <c r="W172" s="461"/>
      <c r="X172" s="461"/>
      <c r="Y172" s="461"/>
      <c r="Z172" s="461"/>
      <c r="AA172" s="461"/>
      <c r="AB172" s="461"/>
      <c r="AC172" s="461"/>
      <c r="AD172" s="461"/>
      <c r="AE172" s="461"/>
      <c r="AF172" s="461"/>
      <c r="AG172" s="461"/>
      <c r="AH172" s="461"/>
      <c r="AI172" s="461"/>
      <c r="AJ172" s="461"/>
      <c r="AK172" s="461"/>
      <c r="AL172" s="461"/>
      <c r="AM172" s="461"/>
      <c r="AN172" s="461"/>
      <c r="AO172" s="461"/>
      <c r="AP172" s="461"/>
      <c r="AQ172" s="461"/>
      <c r="AR172" s="461"/>
      <c r="AS172" s="461"/>
    </row>
    <row r="173" spans="1:45" s="102" customFormat="1" ht="12" customHeight="1">
      <c r="A173" s="117">
        <v>20</v>
      </c>
      <c r="B173" s="102" t="s">
        <v>267</v>
      </c>
      <c r="C173" s="125"/>
      <c r="D173" s="193"/>
      <c r="E173" s="193"/>
      <c r="F173" s="214" t="str">
        <f>IF(E173&lt;&gt;"",ROUND((E173/((9.266*EXP(-0.04555*D173)+5.374))*100),0),"")</f>
        <v/>
      </c>
      <c r="G173" s="193"/>
      <c r="H173" s="193"/>
      <c r="I173" s="193"/>
      <c r="J173" s="193"/>
      <c r="K173" s="189"/>
      <c r="L173" s="189"/>
      <c r="M173" s="189"/>
      <c r="N173" s="189"/>
      <c r="O173" s="189"/>
      <c r="P173" s="189"/>
      <c r="Q173" s="193"/>
      <c r="R173" s="202"/>
      <c r="S173" s="466"/>
      <c r="T173" s="461"/>
      <c r="U173" s="461"/>
      <c r="V173" s="461"/>
      <c r="W173" s="461"/>
      <c r="X173" s="461"/>
      <c r="Y173" s="461"/>
      <c r="Z173" s="461"/>
      <c r="AA173" s="461"/>
      <c r="AB173" s="461"/>
      <c r="AC173" s="461"/>
      <c r="AD173" s="461"/>
      <c r="AE173" s="461"/>
      <c r="AF173" s="461"/>
      <c r="AG173" s="461"/>
      <c r="AH173" s="461"/>
      <c r="AI173" s="461"/>
      <c r="AJ173" s="461"/>
      <c r="AK173" s="461"/>
      <c r="AL173" s="461"/>
      <c r="AM173" s="461"/>
      <c r="AN173" s="461"/>
      <c r="AO173" s="461"/>
      <c r="AP173" s="461"/>
      <c r="AQ173" s="461"/>
      <c r="AR173" s="461"/>
      <c r="AS173" s="461"/>
    </row>
    <row r="174" spans="1:45" s="102" customFormat="1" ht="12" customHeight="1">
      <c r="A174" s="117">
        <v>21</v>
      </c>
      <c r="B174" s="102" t="s">
        <v>261</v>
      </c>
      <c r="C174" s="125"/>
      <c r="D174" s="193"/>
      <c r="E174" s="193"/>
      <c r="F174" s="214" t="str">
        <f t="shared" si="10"/>
        <v/>
      </c>
      <c r="G174" s="193"/>
      <c r="H174" s="193"/>
      <c r="I174" s="193"/>
      <c r="J174" s="193"/>
      <c r="K174" s="189"/>
      <c r="L174" s="189"/>
      <c r="M174" s="189"/>
      <c r="N174" s="189"/>
      <c r="O174" s="189"/>
      <c r="P174" s="189"/>
      <c r="Q174" s="193"/>
      <c r="R174" s="202"/>
      <c r="S174" s="466"/>
      <c r="T174" s="461"/>
      <c r="U174" s="461"/>
      <c r="V174" s="461"/>
      <c r="W174" s="461"/>
      <c r="X174" s="461"/>
      <c r="Y174" s="461"/>
      <c r="Z174" s="461"/>
      <c r="AA174" s="461"/>
      <c r="AB174" s="461"/>
      <c r="AC174" s="461"/>
      <c r="AD174" s="461"/>
      <c r="AE174" s="461"/>
      <c r="AF174" s="461"/>
      <c r="AG174" s="461"/>
      <c r="AH174" s="461"/>
      <c r="AI174" s="461"/>
      <c r="AJ174" s="461"/>
      <c r="AK174" s="461"/>
      <c r="AL174" s="461"/>
      <c r="AM174" s="461"/>
      <c r="AN174" s="461"/>
      <c r="AO174" s="461"/>
      <c r="AP174" s="461"/>
      <c r="AQ174" s="461"/>
      <c r="AR174" s="461"/>
      <c r="AS174" s="461"/>
    </row>
    <row r="175" spans="1:45" s="102" customFormat="1" ht="12" customHeight="1">
      <c r="A175" s="117">
        <v>25</v>
      </c>
      <c r="B175" s="122" t="s">
        <v>263</v>
      </c>
      <c r="C175" s="125"/>
      <c r="D175" s="193"/>
      <c r="E175" s="193"/>
      <c r="F175" s="214" t="str">
        <f t="shared" si="10"/>
        <v/>
      </c>
      <c r="G175" s="193"/>
      <c r="H175" s="193"/>
      <c r="I175" s="193"/>
      <c r="J175" s="193"/>
      <c r="K175" s="189"/>
      <c r="L175" s="189"/>
      <c r="M175" s="189"/>
      <c r="N175" s="189"/>
      <c r="O175" s="189"/>
      <c r="P175" s="189"/>
      <c r="Q175" s="193"/>
      <c r="R175" s="202"/>
      <c r="S175" s="466"/>
      <c r="T175" s="461"/>
      <c r="U175" s="461"/>
      <c r="V175" s="461"/>
      <c r="W175" s="461"/>
      <c r="X175" s="461"/>
      <c r="Y175" s="461"/>
      <c r="Z175" s="461"/>
      <c r="AA175" s="461"/>
      <c r="AB175" s="461"/>
      <c r="AC175" s="461"/>
      <c r="AD175" s="461"/>
      <c r="AE175" s="461"/>
      <c r="AF175" s="461"/>
      <c r="AG175" s="461"/>
      <c r="AH175" s="461"/>
      <c r="AI175" s="461"/>
      <c r="AJ175" s="461"/>
      <c r="AK175" s="461"/>
      <c r="AL175" s="461"/>
      <c r="AM175" s="461"/>
      <c r="AN175" s="461"/>
      <c r="AO175" s="461"/>
      <c r="AP175" s="461"/>
      <c r="AQ175" s="461"/>
      <c r="AR175" s="461"/>
      <c r="AS175" s="461"/>
    </row>
    <row r="176" spans="1:45" s="102" customFormat="1" ht="12" customHeight="1">
      <c r="A176" s="118">
        <v>29</v>
      </c>
      <c r="B176" s="102" t="s">
        <v>295</v>
      </c>
      <c r="C176" s="125"/>
      <c r="D176" s="193"/>
      <c r="E176" s="193"/>
      <c r="F176" s="214" t="str">
        <f>IF(E176&lt;&gt;"",ROUND((E176/((9.266*EXP(-0.04555*D176)+5.374))*100),0),"")</f>
        <v/>
      </c>
      <c r="G176" s="193"/>
      <c r="H176" s="193"/>
      <c r="I176" s="193"/>
      <c r="J176" s="193"/>
      <c r="K176" s="189"/>
      <c r="L176" s="189"/>
      <c r="M176" s="189"/>
      <c r="N176" s="189"/>
      <c r="O176" s="189"/>
      <c r="P176" s="189"/>
      <c r="Q176" s="193"/>
      <c r="R176" s="202"/>
      <c r="S176" s="466"/>
      <c r="T176" s="461"/>
      <c r="U176" s="461"/>
      <c r="V176" s="461"/>
      <c r="W176" s="461"/>
      <c r="X176" s="461"/>
      <c r="Y176" s="461"/>
      <c r="Z176" s="461"/>
      <c r="AA176" s="461"/>
      <c r="AB176" s="461"/>
      <c r="AC176" s="461"/>
      <c r="AD176" s="461"/>
      <c r="AE176" s="461"/>
      <c r="AF176" s="461"/>
      <c r="AG176" s="461"/>
      <c r="AH176" s="461"/>
      <c r="AI176" s="461"/>
      <c r="AJ176" s="461"/>
      <c r="AK176" s="461"/>
      <c r="AL176" s="461"/>
      <c r="AM176" s="461"/>
      <c r="AN176" s="461"/>
      <c r="AO176" s="461"/>
      <c r="AP176" s="461"/>
      <c r="AQ176" s="461"/>
      <c r="AR176" s="461"/>
      <c r="AS176" s="461"/>
    </row>
    <row r="177" spans="1:45" s="102" customFormat="1" ht="12" customHeight="1">
      <c r="A177" s="118">
        <v>30</v>
      </c>
      <c r="B177" s="102" t="s">
        <v>296</v>
      </c>
      <c r="C177" s="125"/>
      <c r="D177" s="193"/>
      <c r="E177" s="193"/>
      <c r="F177" s="214" t="str">
        <f t="shared" si="10"/>
        <v/>
      </c>
      <c r="G177" s="193"/>
      <c r="H177" s="193"/>
      <c r="I177" s="193"/>
      <c r="J177" s="193"/>
      <c r="K177" s="189"/>
      <c r="L177" s="189"/>
      <c r="M177" s="189"/>
      <c r="N177" s="189"/>
      <c r="O177" s="189"/>
      <c r="P177" s="189"/>
      <c r="Q177" s="193"/>
      <c r="R177" s="202"/>
      <c r="S177" s="466"/>
      <c r="T177" s="461"/>
      <c r="U177" s="461"/>
      <c r="V177" s="461"/>
      <c r="W177" s="461"/>
      <c r="X177" s="461"/>
      <c r="Y177" s="461"/>
      <c r="Z177" s="461"/>
      <c r="AA177" s="461"/>
      <c r="AB177" s="461"/>
      <c r="AC177" s="461"/>
      <c r="AD177" s="461"/>
      <c r="AE177" s="461"/>
      <c r="AF177" s="461"/>
      <c r="AG177" s="461"/>
      <c r="AH177" s="461"/>
      <c r="AI177" s="461"/>
      <c r="AJ177" s="461"/>
      <c r="AK177" s="461"/>
      <c r="AL177" s="461"/>
      <c r="AM177" s="461"/>
      <c r="AN177" s="461"/>
      <c r="AO177" s="461"/>
      <c r="AP177" s="461"/>
      <c r="AQ177" s="461"/>
      <c r="AR177" s="461"/>
      <c r="AS177" s="461"/>
    </row>
    <row r="178" spans="1:45">
      <c r="A178" s="1">
        <v>200</v>
      </c>
      <c r="B178" s="62" t="s">
        <v>97</v>
      </c>
      <c r="C178" s="84"/>
      <c r="D178" s="554"/>
      <c r="E178" s="554" t="s">
        <v>407</v>
      </c>
      <c r="F178" s="269"/>
      <c r="G178" s="187"/>
      <c r="H178" s="187"/>
      <c r="I178" s="187"/>
      <c r="J178" s="187"/>
      <c r="K178" s="188"/>
      <c r="L178" s="188"/>
      <c r="M178" s="188"/>
      <c r="N178" s="188"/>
      <c r="O178" s="188"/>
      <c r="P178" s="188"/>
      <c r="Q178" s="187"/>
      <c r="R178" s="200"/>
      <c r="S178" s="462"/>
      <c r="T178" s="463"/>
      <c r="U178" s="464"/>
      <c r="V178" s="464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</row>
    <row r="179" spans="1:45" s="460" customFormat="1" ht="17.25" customHeight="1">
      <c r="A179" s="473">
        <v>250</v>
      </c>
      <c r="B179" s="474" t="s">
        <v>30</v>
      </c>
      <c r="C179" s="481"/>
      <c r="D179" s="476"/>
      <c r="E179" s="476"/>
      <c r="F179" s="556"/>
      <c r="G179" s="476"/>
      <c r="H179" s="476"/>
      <c r="I179" s="476"/>
      <c r="J179" s="476"/>
      <c r="K179" s="477"/>
      <c r="L179" s="477"/>
      <c r="M179" s="477"/>
      <c r="N179" s="477"/>
      <c r="O179" s="477"/>
      <c r="P179" s="477"/>
      <c r="Q179" s="476"/>
      <c r="R179" s="478"/>
      <c r="S179" s="465"/>
      <c r="T179" s="463"/>
      <c r="U179" s="464"/>
      <c r="V179" s="464"/>
    </row>
    <row r="180" spans="1:45" s="102" customFormat="1" ht="12" customHeight="1">
      <c r="A180" s="118">
        <v>3</v>
      </c>
      <c r="B180" s="102" t="s">
        <v>252</v>
      </c>
      <c r="C180" s="125"/>
      <c r="D180" s="193"/>
      <c r="E180" s="193"/>
      <c r="F180" s="214" t="str">
        <f t="shared" ref="F180:F199" si="11">IF(E180&lt;&gt;"",ROUND((E180/((9.266*EXP(-0.04555*D180)+5.374))*100),0),"")</f>
        <v/>
      </c>
      <c r="G180" s="193"/>
      <c r="H180" s="193"/>
      <c r="I180" s="193"/>
      <c r="J180" s="193"/>
      <c r="K180" s="189"/>
      <c r="L180" s="189"/>
      <c r="M180" s="189"/>
      <c r="N180" s="189"/>
      <c r="O180" s="189"/>
      <c r="P180" s="189"/>
      <c r="Q180" s="193"/>
      <c r="R180" s="200"/>
      <c r="S180" s="461"/>
      <c r="T180" s="461"/>
      <c r="U180" s="461"/>
      <c r="V180" s="461"/>
      <c r="W180" s="461"/>
      <c r="X180" s="461"/>
      <c r="Y180" s="461"/>
      <c r="Z180" s="461"/>
      <c r="AA180" s="461"/>
      <c r="AB180" s="461"/>
      <c r="AC180" s="461"/>
      <c r="AD180" s="461"/>
      <c r="AE180" s="461"/>
      <c r="AF180" s="461"/>
      <c r="AG180" s="461"/>
      <c r="AH180" s="461"/>
      <c r="AI180" s="461"/>
      <c r="AJ180" s="461"/>
      <c r="AK180" s="461"/>
      <c r="AL180" s="461"/>
      <c r="AM180" s="461"/>
      <c r="AN180" s="461"/>
      <c r="AO180" s="461"/>
      <c r="AP180" s="461"/>
      <c r="AQ180" s="461"/>
      <c r="AR180" s="461"/>
      <c r="AS180" s="461"/>
    </row>
    <row r="181" spans="1:45" s="102" customFormat="1" ht="12" customHeight="1">
      <c r="A181" s="118">
        <v>5</v>
      </c>
      <c r="B181" s="102" t="s">
        <v>253</v>
      </c>
      <c r="C181" s="125"/>
      <c r="D181" s="193"/>
      <c r="E181" s="193"/>
      <c r="F181" s="214" t="str">
        <f t="shared" si="11"/>
        <v/>
      </c>
      <c r="G181" s="193"/>
      <c r="H181" s="193"/>
      <c r="I181" s="193"/>
      <c r="J181" s="193"/>
      <c r="K181" s="189"/>
      <c r="L181" s="189"/>
      <c r="M181" s="189"/>
      <c r="N181" s="189"/>
      <c r="O181" s="189"/>
      <c r="P181" s="189"/>
      <c r="Q181" s="193"/>
      <c r="R181" s="200"/>
      <c r="S181" s="461"/>
      <c r="T181" s="461"/>
      <c r="U181" s="461"/>
      <c r="V181" s="461"/>
      <c r="W181" s="461"/>
      <c r="X181" s="461"/>
      <c r="Y181" s="461"/>
      <c r="Z181" s="461"/>
      <c r="AA181" s="461"/>
      <c r="AB181" s="461"/>
      <c r="AC181" s="461"/>
      <c r="AD181" s="461"/>
      <c r="AE181" s="461"/>
      <c r="AF181" s="461"/>
      <c r="AG181" s="461"/>
      <c r="AH181" s="461"/>
      <c r="AI181" s="461"/>
      <c r="AJ181" s="461"/>
      <c r="AK181" s="461"/>
      <c r="AL181" s="461"/>
      <c r="AM181" s="461"/>
      <c r="AN181" s="461"/>
      <c r="AO181" s="461"/>
      <c r="AP181" s="461"/>
      <c r="AQ181" s="461"/>
      <c r="AR181" s="461"/>
      <c r="AS181" s="461"/>
    </row>
    <row r="182" spans="1:45" s="102" customFormat="1" ht="12" customHeight="1">
      <c r="A182" s="118">
        <v>6</v>
      </c>
      <c r="B182" s="102" t="s">
        <v>265</v>
      </c>
      <c r="C182" s="125"/>
      <c r="D182" s="193"/>
      <c r="E182" s="193"/>
      <c r="F182" s="214" t="str">
        <f t="shared" si="11"/>
        <v/>
      </c>
      <c r="G182" s="193"/>
      <c r="H182" s="193"/>
      <c r="I182" s="193"/>
      <c r="J182" s="193"/>
      <c r="K182" s="189"/>
      <c r="L182" s="189"/>
      <c r="M182" s="189"/>
      <c r="N182" s="189"/>
      <c r="O182" s="189"/>
      <c r="P182" s="189"/>
      <c r="Q182" s="193"/>
      <c r="R182" s="200"/>
      <c r="S182" s="461"/>
      <c r="T182" s="461"/>
      <c r="U182" s="461"/>
      <c r="V182" s="461"/>
      <c r="W182" s="461"/>
      <c r="X182" s="461"/>
      <c r="Y182" s="461"/>
      <c r="Z182" s="461"/>
      <c r="AA182" s="461"/>
      <c r="AB182" s="461"/>
      <c r="AC182" s="461"/>
      <c r="AD182" s="461"/>
      <c r="AE182" s="461"/>
      <c r="AF182" s="461"/>
      <c r="AG182" s="461"/>
      <c r="AH182" s="461"/>
      <c r="AI182" s="461"/>
      <c r="AJ182" s="461"/>
      <c r="AK182" s="461"/>
      <c r="AL182" s="461"/>
      <c r="AM182" s="461"/>
      <c r="AN182" s="461"/>
      <c r="AO182" s="461"/>
      <c r="AP182" s="461"/>
      <c r="AQ182" s="461"/>
      <c r="AR182" s="461"/>
      <c r="AS182" s="461"/>
    </row>
    <row r="183" spans="1:45" s="102" customFormat="1" ht="12" customHeight="1">
      <c r="A183" s="118">
        <v>7</v>
      </c>
      <c r="B183" s="102" t="s">
        <v>254</v>
      </c>
      <c r="C183" s="125"/>
      <c r="D183" s="193"/>
      <c r="E183" s="193"/>
      <c r="F183" s="214" t="str">
        <f t="shared" si="11"/>
        <v/>
      </c>
      <c r="G183" s="193"/>
      <c r="H183" s="193"/>
      <c r="I183" s="193"/>
      <c r="J183" s="193"/>
      <c r="K183" s="189"/>
      <c r="L183" s="189"/>
      <c r="M183" s="189"/>
      <c r="N183" s="189"/>
      <c r="O183" s="189"/>
      <c r="P183" s="189"/>
      <c r="Q183" s="193"/>
      <c r="R183" s="200"/>
      <c r="S183" s="461"/>
      <c r="T183" s="461"/>
      <c r="U183" s="461"/>
      <c r="V183" s="461"/>
      <c r="W183" s="461"/>
      <c r="X183" s="461"/>
      <c r="Y183" s="461"/>
      <c r="Z183" s="461"/>
      <c r="AA183" s="461"/>
      <c r="AB183" s="461"/>
      <c r="AC183" s="461"/>
      <c r="AD183" s="461"/>
      <c r="AE183" s="461"/>
      <c r="AF183" s="461"/>
      <c r="AG183" s="461"/>
      <c r="AH183" s="461"/>
      <c r="AI183" s="461"/>
      <c r="AJ183" s="461"/>
      <c r="AK183" s="461"/>
      <c r="AL183" s="461"/>
      <c r="AM183" s="461"/>
      <c r="AN183" s="461"/>
      <c r="AO183" s="461"/>
      <c r="AP183" s="461"/>
      <c r="AQ183" s="461"/>
      <c r="AR183" s="461"/>
      <c r="AS183" s="461"/>
    </row>
    <row r="184" spans="1:45" s="102" customFormat="1" ht="12" customHeight="1">
      <c r="A184" s="118">
        <v>9</v>
      </c>
      <c r="B184" s="102" t="s">
        <v>255</v>
      </c>
      <c r="C184" s="125"/>
      <c r="D184" s="193"/>
      <c r="E184" s="193"/>
      <c r="F184" s="214" t="str">
        <f t="shared" si="11"/>
        <v/>
      </c>
      <c r="G184" s="193"/>
      <c r="H184" s="193"/>
      <c r="I184" s="193"/>
      <c r="J184" s="193"/>
      <c r="K184" s="189"/>
      <c r="L184" s="189"/>
      <c r="M184" s="189"/>
      <c r="N184" s="189"/>
      <c r="O184" s="189"/>
      <c r="P184" s="189"/>
      <c r="Q184" s="193"/>
      <c r="R184" s="200"/>
      <c r="S184" s="461"/>
      <c r="T184" s="461"/>
      <c r="U184" s="461"/>
      <c r="V184" s="461"/>
      <c r="W184" s="461"/>
      <c r="X184" s="461"/>
      <c r="Y184" s="461"/>
      <c r="Z184" s="461"/>
      <c r="AA184" s="461"/>
      <c r="AB184" s="461"/>
      <c r="AC184" s="461"/>
      <c r="AD184" s="461"/>
      <c r="AE184" s="461"/>
      <c r="AF184" s="461"/>
      <c r="AG184" s="461"/>
      <c r="AH184" s="461"/>
      <c r="AI184" s="461"/>
      <c r="AJ184" s="461"/>
      <c r="AK184" s="461"/>
      <c r="AL184" s="461"/>
      <c r="AM184" s="461"/>
      <c r="AN184" s="461"/>
      <c r="AO184" s="461"/>
      <c r="AP184" s="461"/>
      <c r="AQ184" s="461"/>
      <c r="AR184" s="461"/>
      <c r="AS184" s="461"/>
    </row>
    <row r="185" spans="1:45" s="102" customFormat="1" ht="12" customHeight="1">
      <c r="A185" s="118">
        <v>11</v>
      </c>
      <c r="B185" s="102" t="s">
        <v>256</v>
      </c>
      <c r="C185" s="125"/>
      <c r="D185" s="193"/>
      <c r="E185" s="193"/>
      <c r="F185" s="214" t="str">
        <f t="shared" si="11"/>
        <v/>
      </c>
      <c r="G185" s="193"/>
      <c r="H185" s="193"/>
      <c r="I185" s="193"/>
      <c r="J185" s="193"/>
      <c r="K185" s="189"/>
      <c r="L185" s="189"/>
      <c r="M185" s="189"/>
      <c r="N185" s="189"/>
      <c r="O185" s="189"/>
      <c r="P185" s="189"/>
      <c r="Q185" s="193"/>
      <c r="R185" s="200"/>
      <c r="S185" s="461"/>
      <c r="T185" s="461"/>
      <c r="U185" s="461"/>
      <c r="V185" s="461"/>
      <c r="W185" s="461"/>
      <c r="X185" s="461"/>
      <c r="Y185" s="461"/>
      <c r="Z185" s="461"/>
      <c r="AA185" s="461"/>
      <c r="AB185" s="461"/>
      <c r="AC185" s="461"/>
      <c r="AD185" s="461"/>
      <c r="AE185" s="461"/>
      <c r="AF185" s="461"/>
      <c r="AG185" s="461"/>
      <c r="AH185" s="461"/>
      <c r="AI185" s="461"/>
      <c r="AJ185" s="461"/>
      <c r="AK185" s="461"/>
      <c r="AL185" s="461"/>
      <c r="AM185" s="461"/>
      <c r="AN185" s="461"/>
      <c r="AO185" s="461"/>
      <c r="AP185" s="461"/>
      <c r="AQ185" s="461"/>
      <c r="AR185" s="461"/>
      <c r="AS185" s="461"/>
    </row>
    <row r="186" spans="1:45" s="102" customFormat="1" ht="12" customHeight="1">
      <c r="A186" s="118">
        <v>13</v>
      </c>
      <c r="B186" s="102" t="s">
        <v>257</v>
      </c>
      <c r="C186" s="125"/>
      <c r="D186" s="193"/>
      <c r="E186" s="193"/>
      <c r="F186" s="214" t="str">
        <f t="shared" si="11"/>
        <v/>
      </c>
      <c r="G186" s="193"/>
      <c r="H186" s="193"/>
      <c r="I186" s="193"/>
      <c r="J186" s="193"/>
      <c r="K186" s="189"/>
      <c r="L186" s="189"/>
      <c r="M186" s="189"/>
      <c r="N186" s="189"/>
      <c r="O186" s="189"/>
      <c r="P186" s="189"/>
      <c r="Q186" s="193"/>
      <c r="R186" s="200"/>
      <c r="S186" s="461"/>
      <c r="T186" s="461"/>
      <c r="U186" s="461"/>
      <c r="V186" s="461"/>
      <c r="W186" s="461"/>
      <c r="X186" s="461"/>
      <c r="Y186" s="461"/>
      <c r="Z186" s="461"/>
      <c r="AA186" s="461"/>
      <c r="AB186" s="461"/>
      <c r="AC186" s="461"/>
      <c r="AD186" s="461"/>
      <c r="AE186" s="461"/>
      <c r="AF186" s="461"/>
      <c r="AG186" s="461"/>
      <c r="AH186" s="461"/>
      <c r="AI186" s="461"/>
      <c r="AJ186" s="461"/>
      <c r="AK186" s="461"/>
      <c r="AL186" s="461"/>
      <c r="AM186" s="461"/>
      <c r="AN186" s="461"/>
      <c r="AO186" s="461"/>
      <c r="AP186" s="461"/>
      <c r="AQ186" s="461"/>
      <c r="AR186" s="461"/>
      <c r="AS186" s="461"/>
    </row>
    <row r="187" spans="1:45" s="102" customFormat="1" ht="12" customHeight="1">
      <c r="A187" s="118">
        <v>15</v>
      </c>
      <c r="B187" s="102" t="s">
        <v>258</v>
      </c>
      <c r="C187" s="125"/>
      <c r="D187" s="193"/>
      <c r="E187" s="193"/>
      <c r="F187" s="214" t="str">
        <f t="shared" si="11"/>
        <v/>
      </c>
      <c r="G187" s="193"/>
      <c r="H187" s="193"/>
      <c r="I187" s="193"/>
      <c r="J187" s="193"/>
      <c r="K187" s="189"/>
      <c r="L187" s="189"/>
      <c r="M187" s="189"/>
      <c r="N187" s="189"/>
      <c r="O187" s="189"/>
      <c r="P187" s="189"/>
      <c r="Q187" s="193"/>
      <c r="R187" s="200"/>
      <c r="S187" s="461"/>
      <c r="T187" s="461"/>
      <c r="U187" s="461"/>
      <c r="V187" s="461"/>
      <c r="W187" s="461"/>
      <c r="X187" s="461"/>
      <c r="Y187" s="461"/>
      <c r="Z187" s="461"/>
      <c r="AA187" s="461"/>
      <c r="AB187" s="461"/>
      <c r="AC187" s="461"/>
      <c r="AD187" s="461"/>
      <c r="AE187" s="461"/>
      <c r="AF187" s="461"/>
      <c r="AG187" s="461"/>
      <c r="AH187" s="461"/>
      <c r="AI187" s="461"/>
      <c r="AJ187" s="461"/>
      <c r="AK187" s="461"/>
      <c r="AL187" s="461"/>
      <c r="AM187" s="461"/>
      <c r="AN187" s="461"/>
      <c r="AO187" s="461"/>
      <c r="AP187" s="461"/>
      <c r="AQ187" s="461"/>
      <c r="AR187" s="461"/>
      <c r="AS187" s="461"/>
    </row>
    <row r="188" spans="1:45" s="102" customFormat="1" ht="12" customHeight="1">
      <c r="A188" s="118">
        <v>17</v>
      </c>
      <c r="B188" s="102" t="s">
        <v>259</v>
      </c>
      <c r="C188" s="125"/>
      <c r="D188" s="193"/>
      <c r="E188" s="193"/>
      <c r="F188" s="214" t="str">
        <f t="shared" si="11"/>
        <v/>
      </c>
      <c r="G188" s="193"/>
      <c r="H188" s="193"/>
      <c r="I188" s="193"/>
      <c r="J188" s="193"/>
      <c r="K188" s="189"/>
      <c r="L188" s="189"/>
      <c r="M188" s="189"/>
      <c r="N188" s="189"/>
      <c r="O188" s="189"/>
      <c r="P188" s="189"/>
      <c r="Q188" s="193"/>
      <c r="R188" s="200"/>
      <c r="S188" s="461"/>
      <c r="T188" s="461"/>
      <c r="U188" s="461"/>
      <c r="V188" s="461"/>
      <c r="W188" s="461"/>
      <c r="X188" s="461"/>
      <c r="Y188" s="461"/>
      <c r="Z188" s="461"/>
      <c r="AA188" s="461"/>
      <c r="AB188" s="461"/>
      <c r="AC188" s="461"/>
      <c r="AD188" s="461"/>
      <c r="AE188" s="461"/>
      <c r="AF188" s="461"/>
      <c r="AG188" s="461"/>
      <c r="AH188" s="461"/>
      <c r="AI188" s="461"/>
      <c r="AJ188" s="461"/>
      <c r="AK188" s="461"/>
      <c r="AL188" s="461"/>
      <c r="AM188" s="461"/>
      <c r="AN188" s="461"/>
      <c r="AO188" s="461"/>
      <c r="AP188" s="461"/>
      <c r="AQ188" s="461"/>
      <c r="AR188" s="461"/>
      <c r="AS188" s="461"/>
    </row>
    <row r="189" spans="1:45" s="102" customFormat="1" ht="12" customHeight="1">
      <c r="A189" s="118">
        <v>18</v>
      </c>
      <c r="B189" s="102" t="s">
        <v>266</v>
      </c>
      <c r="C189" s="125"/>
      <c r="D189" s="193"/>
      <c r="E189" s="193"/>
      <c r="F189" s="214" t="str">
        <f t="shared" si="11"/>
        <v/>
      </c>
      <c r="G189" s="193"/>
      <c r="H189" s="193"/>
      <c r="I189" s="193"/>
      <c r="J189" s="193"/>
      <c r="K189" s="189"/>
      <c r="L189" s="189"/>
      <c r="M189" s="189"/>
      <c r="N189" s="189"/>
      <c r="O189" s="189"/>
      <c r="P189" s="189"/>
      <c r="Q189" s="193"/>
      <c r="R189" s="200"/>
      <c r="S189" s="461"/>
      <c r="T189" s="461"/>
      <c r="U189" s="461"/>
      <c r="V189" s="461"/>
      <c r="W189" s="461"/>
      <c r="X189" s="461"/>
      <c r="Y189" s="461"/>
      <c r="Z189" s="461"/>
      <c r="AA189" s="461"/>
      <c r="AB189" s="461"/>
      <c r="AC189" s="461"/>
      <c r="AD189" s="461"/>
      <c r="AE189" s="461"/>
      <c r="AF189" s="461"/>
      <c r="AG189" s="461"/>
      <c r="AH189" s="461"/>
      <c r="AI189" s="461"/>
      <c r="AJ189" s="461"/>
      <c r="AK189" s="461"/>
      <c r="AL189" s="461"/>
      <c r="AM189" s="461"/>
      <c r="AN189" s="461"/>
      <c r="AO189" s="461"/>
      <c r="AP189" s="461"/>
      <c r="AQ189" s="461"/>
      <c r="AR189" s="461"/>
      <c r="AS189" s="461"/>
    </row>
    <row r="190" spans="1:45" s="102" customFormat="1" ht="12" customHeight="1">
      <c r="A190" s="118">
        <v>19</v>
      </c>
      <c r="B190" s="102" t="s">
        <v>260</v>
      </c>
      <c r="C190" s="125"/>
      <c r="D190" s="193"/>
      <c r="E190" s="193"/>
      <c r="F190" s="214" t="str">
        <f t="shared" si="11"/>
        <v/>
      </c>
      <c r="G190" s="193"/>
      <c r="H190" s="193"/>
      <c r="I190" s="193"/>
      <c r="J190" s="193"/>
      <c r="K190" s="189"/>
      <c r="L190" s="189"/>
      <c r="M190" s="189"/>
      <c r="N190" s="189"/>
      <c r="O190" s="189"/>
      <c r="P190" s="189"/>
      <c r="Q190" s="193"/>
      <c r="R190" s="200"/>
      <c r="S190" s="461"/>
      <c r="T190" s="461"/>
      <c r="U190" s="461"/>
      <c r="V190" s="461"/>
      <c r="W190" s="461"/>
      <c r="X190" s="461"/>
      <c r="Y190" s="461"/>
      <c r="Z190" s="461"/>
      <c r="AA190" s="461"/>
      <c r="AB190" s="461"/>
      <c r="AC190" s="461"/>
      <c r="AD190" s="461"/>
      <c r="AE190" s="461"/>
      <c r="AF190" s="461"/>
      <c r="AG190" s="461"/>
      <c r="AH190" s="461"/>
      <c r="AI190" s="461"/>
      <c r="AJ190" s="461"/>
      <c r="AK190" s="461"/>
      <c r="AL190" s="461"/>
      <c r="AM190" s="461"/>
      <c r="AN190" s="461"/>
      <c r="AO190" s="461"/>
      <c r="AP190" s="461"/>
      <c r="AQ190" s="461"/>
      <c r="AR190" s="461"/>
      <c r="AS190" s="461"/>
    </row>
    <row r="191" spans="1:45" s="102" customFormat="1" ht="12" customHeight="1">
      <c r="A191" s="118">
        <v>20</v>
      </c>
      <c r="B191" s="102" t="s">
        <v>267</v>
      </c>
      <c r="C191" s="125"/>
      <c r="D191" s="193"/>
      <c r="E191" s="193"/>
      <c r="F191" s="214" t="str">
        <f>IF(E191&lt;&gt;"",ROUND((E191/((9.266*EXP(-0.04555*D191)+5.374))*100),0),"")</f>
        <v/>
      </c>
      <c r="G191" s="193"/>
      <c r="H191" s="193"/>
      <c r="I191" s="193"/>
      <c r="J191" s="193"/>
      <c r="K191" s="189"/>
      <c r="L191" s="189"/>
      <c r="M191" s="189"/>
      <c r="N191" s="189"/>
      <c r="O191" s="189"/>
      <c r="P191" s="189"/>
      <c r="Q191" s="193"/>
      <c r="R191" s="200"/>
      <c r="S191" s="461"/>
      <c r="T191" s="461"/>
      <c r="U191" s="461"/>
      <c r="V191" s="461"/>
      <c r="W191" s="461"/>
      <c r="X191" s="461"/>
      <c r="Y191" s="461"/>
      <c r="Z191" s="461"/>
      <c r="AA191" s="461"/>
      <c r="AB191" s="461"/>
      <c r="AC191" s="461"/>
      <c r="AD191" s="461"/>
      <c r="AE191" s="461"/>
      <c r="AF191" s="461"/>
      <c r="AG191" s="461"/>
      <c r="AH191" s="461"/>
      <c r="AI191" s="461"/>
      <c r="AJ191" s="461"/>
      <c r="AK191" s="461"/>
      <c r="AL191" s="461"/>
      <c r="AM191" s="461"/>
      <c r="AN191" s="461"/>
      <c r="AO191" s="461"/>
      <c r="AP191" s="461"/>
      <c r="AQ191" s="461"/>
      <c r="AR191" s="461"/>
      <c r="AS191" s="461"/>
    </row>
    <row r="192" spans="1:45" s="102" customFormat="1" ht="12" customHeight="1">
      <c r="A192" s="118">
        <v>21</v>
      </c>
      <c r="B192" s="102" t="s">
        <v>261</v>
      </c>
      <c r="C192" s="125"/>
      <c r="D192" s="193"/>
      <c r="E192" s="193"/>
      <c r="F192" s="214" t="str">
        <f t="shared" si="11"/>
        <v/>
      </c>
      <c r="G192" s="193"/>
      <c r="H192" s="193"/>
      <c r="I192" s="193"/>
      <c r="J192" s="193"/>
      <c r="K192" s="189"/>
      <c r="L192" s="189"/>
      <c r="M192" s="189"/>
      <c r="N192" s="189"/>
      <c r="O192" s="189"/>
      <c r="P192" s="189"/>
      <c r="Q192" s="193"/>
      <c r="R192" s="200"/>
      <c r="S192" s="461"/>
      <c r="T192" s="461"/>
      <c r="U192" s="461"/>
      <c r="V192" s="461"/>
      <c r="W192" s="461"/>
      <c r="X192" s="461"/>
      <c r="Y192" s="461"/>
      <c r="Z192" s="461"/>
      <c r="AA192" s="461"/>
      <c r="AB192" s="461"/>
      <c r="AC192" s="461"/>
      <c r="AD192" s="461"/>
      <c r="AE192" s="461"/>
      <c r="AF192" s="461"/>
      <c r="AG192" s="461"/>
      <c r="AH192" s="461"/>
      <c r="AI192" s="461"/>
      <c r="AJ192" s="461"/>
      <c r="AK192" s="461"/>
      <c r="AL192" s="461"/>
      <c r="AM192" s="461"/>
      <c r="AN192" s="461"/>
      <c r="AO192" s="461"/>
      <c r="AP192" s="461"/>
      <c r="AQ192" s="461"/>
      <c r="AR192" s="461"/>
      <c r="AS192" s="461"/>
    </row>
    <row r="193" spans="1:45" s="102" customFormat="1" ht="12" customHeight="1">
      <c r="A193" s="118">
        <v>22</v>
      </c>
      <c r="B193" s="102" t="s">
        <v>268</v>
      </c>
      <c r="C193" s="125"/>
      <c r="D193" s="193"/>
      <c r="E193" s="193"/>
      <c r="F193" s="214" t="str">
        <f t="shared" si="11"/>
        <v/>
      </c>
      <c r="G193" s="193"/>
      <c r="H193" s="193"/>
      <c r="I193" s="193"/>
      <c r="J193" s="193"/>
      <c r="K193" s="189"/>
      <c r="L193" s="189"/>
      <c r="M193" s="189"/>
      <c r="N193" s="189"/>
      <c r="O193" s="189"/>
      <c r="P193" s="189"/>
      <c r="Q193" s="193"/>
      <c r="R193" s="200"/>
      <c r="S193" s="461"/>
      <c r="T193" s="461"/>
      <c r="U193" s="461"/>
      <c r="V193" s="461"/>
      <c r="W193" s="461"/>
      <c r="X193" s="461"/>
      <c r="Y193" s="461"/>
      <c r="Z193" s="461"/>
      <c r="AA193" s="461"/>
      <c r="AB193" s="461"/>
      <c r="AC193" s="461"/>
      <c r="AD193" s="461"/>
      <c r="AE193" s="461"/>
      <c r="AF193" s="461"/>
      <c r="AG193" s="461"/>
      <c r="AH193" s="461"/>
      <c r="AI193" s="461"/>
      <c r="AJ193" s="461"/>
      <c r="AK193" s="461"/>
      <c r="AL193" s="461"/>
      <c r="AM193" s="461"/>
      <c r="AN193" s="461"/>
      <c r="AO193" s="461"/>
      <c r="AP193" s="461"/>
      <c r="AQ193" s="461"/>
      <c r="AR193" s="461"/>
      <c r="AS193" s="461"/>
    </row>
    <row r="194" spans="1:45" s="102" customFormat="1" ht="12" customHeight="1">
      <c r="A194" s="118">
        <v>23</v>
      </c>
      <c r="B194" s="122" t="s">
        <v>297</v>
      </c>
      <c r="C194" s="125"/>
      <c r="D194" s="193"/>
      <c r="E194" s="193"/>
      <c r="F194" s="214" t="str">
        <f t="shared" si="11"/>
        <v/>
      </c>
      <c r="G194" s="193"/>
      <c r="H194" s="193"/>
      <c r="I194" s="193"/>
      <c r="J194" s="193"/>
      <c r="K194" s="189"/>
      <c r="L194" s="189"/>
      <c r="M194" s="189"/>
      <c r="N194" s="189"/>
      <c r="O194" s="189"/>
      <c r="P194" s="189"/>
      <c r="Q194" s="193"/>
      <c r="R194" s="200"/>
      <c r="S194" s="461"/>
      <c r="T194" s="461"/>
      <c r="U194" s="461"/>
      <c r="V194" s="461"/>
      <c r="W194" s="461"/>
      <c r="X194" s="461"/>
      <c r="Y194" s="461"/>
      <c r="Z194" s="461"/>
      <c r="AA194" s="461"/>
      <c r="AB194" s="461"/>
      <c r="AC194" s="461"/>
      <c r="AD194" s="461"/>
      <c r="AE194" s="461"/>
      <c r="AF194" s="461"/>
      <c r="AG194" s="461"/>
      <c r="AH194" s="461"/>
      <c r="AI194" s="461"/>
      <c r="AJ194" s="461"/>
      <c r="AK194" s="461"/>
      <c r="AL194" s="461"/>
      <c r="AM194" s="461"/>
      <c r="AN194" s="461"/>
      <c r="AO194" s="461"/>
      <c r="AP194" s="461"/>
      <c r="AQ194" s="461"/>
      <c r="AR194" s="461"/>
      <c r="AS194" s="461"/>
    </row>
    <row r="195" spans="1:45" s="102" customFormat="1" ht="12" customHeight="1">
      <c r="A195" s="118">
        <v>24</v>
      </c>
      <c r="B195" s="102" t="s">
        <v>269</v>
      </c>
      <c r="C195" s="125"/>
      <c r="D195" s="193"/>
      <c r="E195" s="193"/>
      <c r="F195" s="214" t="str">
        <f t="shared" si="11"/>
        <v/>
      </c>
      <c r="G195" s="193"/>
      <c r="H195" s="193"/>
      <c r="I195" s="193"/>
      <c r="J195" s="193"/>
      <c r="K195" s="189"/>
      <c r="L195" s="189"/>
      <c r="M195" s="189"/>
      <c r="N195" s="189"/>
      <c r="O195" s="189"/>
      <c r="P195" s="189"/>
      <c r="Q195" s="193"/>
      <c r="R195" s="200"/>
      <c r="S195" s="461"/>
      <c r="T195" s="461"/>
      <c r="U195" s="461"/>
      <c r="V195" s="461"/>
      <c r="W195" s="461"/>
      <c r="X195" s="461"/>
      <c r="Y195" s="461"/>
      <c r="Z195" s="461"/>
      <c r="AA195" s="461"/>
      <c r="AB195" s="461"/>
      <c r="AC195" s="461"/>
      <c r="AD195" s="461"/>
      <c r="AE195" s="461"/>
      <c r="AF195" s="461"/>
      <c r="AG195" s="461"/>
      <c r="AH195" s="461"/>
      <c r="AI195" s="461"/>
      <c r="AJ195" s="461"/>
      <c r="AK195" s="461"/>
      <c r="AL195" s="461"/>
      <c r="AM195" s="461"/>
      <c r="AN195" s="461"/>
      <c r="AO195" s="461"/>
      <c r="AP195" s="461"/>
      <c r="AQ195" s="461"/>
      <c r="AR195" s="461"/>
      <c r="AS195" s="461"/>
    </row>
    <row r="196" spans="1:45" s="102" customFormat="1" ht="12" customHeight="1">
      <c r="A196" s="118">
        <v>25</v>
      </c>
      <c r="B196" s="102" t="s">
        <v>263</v>
      </c>
      <c r="C196" s="125"/>
      <c r="D196" s="193"/>
      <c r="E196" s="193"/>
      <c r="F196" s="214" t="str">
        <f t="shared" si="11"/>
        <v/>
      </c>
      <c r="G196" s="193"/>
      <c r="H196" s="193"/>
      <c r="I196" s="193"/>
      <c r="J196" s="193"/>
      <c r="K196" s="189"/>
      <c r="L196" s="189"/>
      <c r="M196" s="189"/>
      <c r="N196" s="189"/>
      <c r="O196" s="189"/>
      <c r="P196" s="189"/>
      <c r="Q196" s="193"/>
      <c r="R196" s="200"/>
      <c r="S196" s="461"/>
      <c r="T196" s="461"/>
      <c r="U196" s="461"/>
      <c r="V196" s="461"/>
      <c r="W196" s="461"/>
      <c r="X196" s="461"/>
      <c r="Y196" s="461"/>
      <c r="Z196" s="461"/>
      <c r="AA196" s="461"/>
      <c r="AB196" s="461"/>
      <c r="AC196" s="461"/>
      <c r="AD196" s="461"/>
      <c r="AE196" s="461"/>
      <c r="AF196" s="461"/>
      <c r="AG196" s="461"/>
      <c r="AH196" s="461"/>
      <c r="AI196" s="461"/>
      <c r="AJ196" s="461"/>
      <c r="AK196" s="461"/>
      <c r="AL196" s="461"/>
      <c r="AM196" s="461"/>
      <c r="AN196" s="461"/>
      <c r="AO196" s="461"/>
      <c r="AP196" s="461"/>
      <c r="AQ196" s="461"/>
      <c r="AR196" s="461"/>
      <c r="AS196" s="461"/>
    </row>
    <row r="197" spans="1:45" s="102" customFormat="1" ht="12" customHeight="1">
      <c r="A197" s="118">
        <v>27</v>
      </c>
      <c r="B197" s="102" t="s">
        <v>264</v>
      </c>
      <c r="C197" s="125"/>
      <c r="D197" s="193"/>
      <c r="E197" s="193"/>
      <c r="F197" s="214" t="str">
        <f t="shared" si="11"/>
        <v/>
      </c>
      <c r="G197" s="193"/>
      <c r="H197" s="193"/>
      <c r="I197" s="193"/>
      <c r="J197" s="193"/>
      <c r="K197" s="189"/>
      <c r="L197" s="189"/>
      <c r="M197" s="189"/>
      <c r="N197" s="189"/>
      <c r="O197" s="189"/>
      <c r="P197" s="189"/>
      <c r="Q197" s="193"/>
      <c r="R197" s="200"/>
      <c r="S197" s="461"/>
      <c r="T197" s="461"/>
      <c r="U197" s="461"/>
      <c r="V197" s="461"/>
      <c r="W197" s="461"/>
      <c r="X197" s="461"/>
      <c r="Y197" s="461"/>
      <c r="Z197" s="461"/>
      <c r="AA197" s="461"/>
      <c r="AB197" s="461"/>
      <c r="AC197" s="461"/>
      <c r="AD197" s="461"/>
      <c r="AE197" s="461"/>
      <c r="AF197" s="461"/>
      <c r="AG197" s="461"/>
      <c r="AH197" s="461"/>
      <c r="AI197" s="461"/>
      <c r="AJ197" s="461"/>
      <c r="AK197" s="461"/>
      <c r="AL197" s="461"/>
      <c r="AM197" s="461"/>
      <c r="AN197" s="461"/>
      <c r="AO197" s="461"/>
      <c r="AP197" s="461"/>
      <c r="AQ197" s="461"/>
      <c r="AR197" s="461"/>
      <c r="AS197" s="461"/>
    </row>
    <row r="198" spans="1:45" s="102" customFormat="1" ht="12" customHeight="1">
      <c r="A198" s="118">
        <v>29</v>
      </c>
      <c r="B198" s="102" t="s">
        <v>295</v>
      </c>
      <c r="C198" s="125"/>
      <c r="D198" s="193"/>
      <c r="E198" s="193"/>
      <c r="F198" s="214" t="str">
        <f>IF(E198&lt;&gt;"",ROUND((E198/((9.266*EXP(-0.04555*D198)+5.374))*100),0),"")</f>
        <v/>
      </c>
      <c r="G198" s="193"/>
      <c r="H198" s="193"/>
      <c r="I198" s="193"/>
      <c r="J198" s="193"/>
      <c r="K198" s="189"/>
      <c r="L198" s="189"/>
      <c r="M198" s="189"/>
      <c r="N198" s="189"/>
      <c r="O198" s="189"/>
      <c r="P198" s="189"/>
      <c r="Q198" s="193"/>
      <c r="R198" s="200"/>
      <c r="S198" s="461"/>
      <c r="T198" s="461"/>
      <c r="U198" s="461"/>
      <c r="V198" s="461"/>
      <c r="W198" s="461"/>
      <c r="X198" s="461"/>
      <c r="Y198" s="461"/>
      <c r="Z198" s="461"/>
      <c r="AA198" s="461"/>
      <c r="AB198" s="461"/>
      <c r="AC198" s="461"/>
      <c r="AD198" s="461"/>
      <c r="AE198" s="461"/>
      <c r="AF198" s="461"/>
      <c r="AG198" s="461"/>
      <c r="AH198" s="461"/>
      <c r="AI198" s="461"/>
      <c r="AJ198" s="461"/>
      <c r="AK198" s="461"/>
      <c r="AL198" s="461"/>
      <c r="AM198" s="461"/>
      <c r="AN198" s="461"/>
      <c r="AO198" s="461"/>
      <c r="AP198" s="461"/>
      <c r="AQ198" s="461"/>
      <c r="AR198" s="461"/>
      <c r="AS198" s="461"/>
    </row>
    <row r="199" spans="1:45" s="102" customFormat="1" ht="12" customHeight="1">
      <c r="A199" s="118">
        <v>30</v>
      </c>
      <c r="B199" s="102" t="s">
        <v>296</v>
      </c>
      <c r="C199" s="125"/>
      <c r="D199" s="193"/>
      <c r="E199" s="193"/>
      <c r="F199" s="214" t="str">
        <f t="shared" si="11"/>
        <v/>
      </c>
      <c r="G199" s="193"/>
      <c r="H199" s="193"/>
      <c r="I199" s="193"/>
      <c r="J199" s="193"/>
      <c r="K199" s="189"/>
      <c r="L199" s="189"/>
      <c r="M199" s="189"/>
      <c r="N199" s="189"/>
      <c r="O199" s="189"/>
      <c r="P199" s="189"/>
      <c r="Q199" s="193"/>
      <c r="R199" s="200"/>
      <c r="S199" s="461"/>
      <c r="T199" s="461"/>
      <c r="U199" s="461"/>
      <c r="V199" s="461"/>
      <c r="W199" s="461"/>
      <c r="X199" s="461"/>
      <c r="Y199" s="461"/>
      <c r="Z199" s="461"/>
      <c r="AA199" s="461"/>
      <c r="AB199" s="461"/>
      <c r="AC199" s="461"/>
      <c r="AD199" s="461"/>
      <c r="AE199" s="461"/>
      <c r="AF199" s="461"/>
      <c r="AG199" s="461"/>
      <c r="AH199" s="461"/>
      <c r="AI199" s="461"/>
      <c r="AJ199" s="461"/>
      <c r="AK199" s="461"/>
      <c r="AL199" s="461"/>
      <c r="AM199" s="461"/>
      <c r="AN199" s="461"/>
      <c r="AO199" s="461"/>
      <c r="AP199" s="461"/>
      <c r="AQ199" s="461"/>
      <c r="AR199" s="461"/>
      <c r="AS199" s="461"/>
    </row>
    <row r="200" spans="1:45">
      <c r="A200" s="1">
        <v>200</v>
      </c>
      <c r="B200" s="62" t="s">
        <v>97</v>
      </c>
      <c r="C200" s="125"/>
      <c r="D200" s="554"/>
      <c r="E200" s="554" t="s">
        <v>407</v>
      </c>
      <c r="F200" s="269"/>
      <c r="G200" s="187"/>
      <c r="H200" s="187"/>
      <c r="I200" s="187"/>
      <c r="J200" s="187"/>
      <c r="K200" s="188"/>
      <c r="L200" s="188"/>
      <c r="M200" s="188"/>
      <c r="N200" s="188"/>
      <c r="O200" s="188"/>
      <c r="P200" s="188"/>
      <c r="Q200" s="187"/>
      <c r="R200" s="200"/>
      <c r="S200" s="462"/>
      <c r="T200" s="463"/>
      <c r="U200" s="464"/>
      <c r="V200" s="464"/>
      <c r="W200" s="460"/>
      <c r="X200" s="460"/>
      <c r="Y200" s="460"/>
      <c r="Z200" s="460"/>
      <c r="AA200" s="460"/>
      <c r="AB200" s="460"/>
      <c r="AC200" s="460"/>
      <c r="AD200" s="460"/>
      <c r="AE200" s="460"/>
      <c r="AF200" s="460"/>
      <c r="AG200" s="460"/>
      <c r="AH200" s="460"/>
      <c r="AI200" s="460"/>
      <c r="AJ200" s="460"/>
      <c r="AK200" s="460"/>
      <c r="AL200" s="460"/>
      <c r="AM200" s="460"/>
      <c r="AN200" s="460"/>
      <c r="AO200" s="460"/>
      <c r="AP200" s="460"/>
      <c r="AQ200" s="460"/>
      <c r="AR200" s="460"/>
      <c r="AS200" s="460"/>
    </row>
    <row r="201" spans="1:45" s="460" customFormat="1" ht="17.25" customHeight="1">
      <c r="A201" s="473">
        <v>250</v>
      </c>
      <c r="B201" s="474" t="s">
        <v>31</v>
      </c>
      <c r="C201" s="480"/>
      <c r="D201" s="476"/>
      <c r="E201" s="476"/>
      <c r="F201" s="556"/>
      <c r="G201" s="476"/>
      <c r="H201" s="476"/>
      <c r="I201" s="476"/>
      <c r="J201" s="476"/>
      <c r="K201" s="477"/>
      <c r="L201" s="477"/>
      <c r="M201" s="477"/>
      <c r="N201" s="477"/>
      <c r="O201" s="477"/>
      <c r="P201" s="477"/>
      <c r="Q201" s="476"/>
      <c r="R201" s="478"/>
      <c r="S201" s="465"/>
      <c r="T201" s="463"/>
      <c r="U201" s="464"/>
      <c r="V201" s="464"/>
    </row>
    <row r="202" spans="1:45" s="102" customFormat="1" ht="12" customHeight="1">
      <c r="A202" s="117">
        <v>3</v>
      </c>
      <c r="B202" s="102" t="s">
        <v>252</v>
      </c>
      <c r="C202" s="125"/>
      <c r="D202" s="193"/>
      <c r="E202" s="193"/>
      <c r="F202" s="214"/>
      <c r="G202" s="193"/>
      <c r="H202" s="193"/>
      <c r="I202" s="193"/>
      <c r="J202" s="193"/>
      <c r="K202" s="189"/>
      <c r="L202" s="189"/>
      <c r="M202" s="189"/>
      <c r="N202" s="189"/>
      <c r="O202" s="189"/>
      <c r="P202" s="189"/>
      <c r="Q202" s="193"/>
      <c r="R202" s="202"/>
      <c r="S202" s="466"/>
      <c r="T202" s="461"/>
      <c r="U202" s="461"/>
      <c r="V202" s="461"/>
      <c r="W202" s="461"/>
      <c r="X202" s="461"/>
      <c r="Y202" s="461"/>
      <c r="Z202" s="461"/>
      <c r="AA202" s="461"/>
      <c r="AB202" s="461"/>
      <c r="AC202" s="461"/>
      <c r="AD202" s="461"/>
      <c r="AE202" s="461"/>
      <c r="AF202" s="461"/>
      <c r="AG202" s="461"/>
      <c r="AH202" s="461"/>
      <c r="AI202" s="461"/>
      <c r="AJ202" s="461"/>
      <c r="AK202" s="461"/>
      <c r="AL202" s="461"/>
      <c r="AM202" s="461"/>
      <c r="AN202" s="461"/>
      <c r="AO202" s="461"/>
      <c r="AP202" s="461"/>
      <c r="AQ202" s="461"/>
      <c r="AR202" s="461"/>
      <c r="AS202" s="461"/>
    </row>
    <row r="203" spans="1:45" s="102" customFormat="1" ht="12" customHeight="1">
      <c r="A203" s="117">
        <v>6</v>
      </c>
      <c r="B203" s="102" t="s">
        <v>265</v>
      </c>
      <c r="C203" s="125"/>
      <c r="D203" s="193"/>
      <c r="E203" s="193"/>
      <c r="F203" s="214"/>
      <c r="G203" s="193"/>
      <c r="H203" s="193"/>
      <c r="I203" s="193"/>
      <c r="J203" s="193"/>
      <c r="K203" s="189"/>
      <c r="L203" s="189"/>
      <c r="M203" s="189"/>
      <c r="N203" s="189"/>
      <c r="O203" s="189"/>
      <c r="P203" s="189"/>
      <c r="Q203" s="193"/>
      <c r="R203" s="202"/>
      <c r="S203" s="466"/>
      <c r="T203" s="461"/>
      <c r="U203" s="461"/>
      <c r="V203" s="461"/>
      <c r="W203" s="461"/>
      <c r="X203" s="461"/>
      <c r="Y203" s="461"/>
      <c r="Z203" s="461"/>
      <c r="AA203" s="461"/>
      <c r="AB203" s="461"/>
      <c r="AC203" s="461"/>
      <c r="AD203" s="461"/>
      <c r="AE203" s="461"/>
      <c r="AF203" s="461"/>
      <c r="AG203" s="461"/>
      <c r="AH203" s="461"/>
      <c r="AI203" s="461"/>
      <c r="AJ203" s="461"/>
      <c r="AK203" s="461"/>
      <c r="AL203" s="461"/>
      <c r="AM203" s="461"/>
      <c r="AN203" s="461"/>
      <c r="AO203" s="461"/>
      <c r="AP203" s="461"/>
      <c r="AQ203" s="461"/>
      <c r="AR203" s="461"/>
      <c r="AS203" s="461"/>
    </row>
    <row r="204" spans="1:45" s="102" customFormat="1" ht="12" customHeight="1">
      <c r="A204" s="117">
        <v>7</v>
      </c>
      <c r="B204" s="122" t="s">
        <v>254</v>
      </c>
      <c r="C204" s="125"/>
      <c r="D204" s="193"/>
      <c r="E204" s="193"/>
      <c r="F204" s="214"/>
      <c r="G204" s="193"/>
      <c r="H204" s="193"/>
      <c r="I204" s="193"/>
      <c r="J204" s="193"/>
      <c r="K204" s="189"/>
      <c r="L204" s="189"/>
      <c r="M204" s="189"/>
      <c r="N204" s="189"/>
      <c r="O204" s="189"/>
      <c r="P204" s="189"/>
      <c r="Q204" s="193"/>
      <c r="R204" s="202"/>
      <c r="S204" s="466"/>
      <c r="T204" s="461"/>
      <c r="U204" s="461"/>
      <c r="V204" s="461"/>
      <c r="W204" s="461"/>
      <c r="X204" s="461"/>
      <c r="Y204" s="461"/>
      <c r="Z204" s="461"/>
      <c r="AA204" s="461"/>
      <c r="AB204" s="461"/>
      <c r="AC204" s="461"/>
      <c r="AD204" s="461"/>
      <c r="AE204" s="461"/>
      <c r="AF204" s="461"/>
      <c r="AG204" s="461"/>
      <c r="AH204" s="461"/>
      <c r="AI204" s="461"/>
      <c r="AJ204" s="461"/>
      <c r="AK204" s="461"/>
      <c r="AL204" s="461"/>
      <c r="AM204" s="461"/>
      <c r="AN204" s="461"/>
      <c r="AO204" s="461"/>
      <c r="AP204" s="461"/>
      <c r="AQ204" s="461"/>
      <c r="AR204" s="461"/>
      <c r="AS204" s="461"/>
    </row>
    <row r="205" spans="1:45" s="102" customFormat="1" ht="12" customHeight="1">
      <c r="A205" s="117">
        <v>11</v>
      </c>
      <c r="B205" s="102" t="s">
        <v>256</v>
      </c>
      <c r="C205" s="125"/>
      <c r="D205" s="193"/>
      <c r="E205" s="193"/>
      <c r="F205" s="214"/>
      <c r="G205" s="193"/>
      <c r="H205" s="193"/>
      <c r="I205" s="193"/>
      <c r="J205" s="193"/>
      <c r="K205" s="189"/>
      <c r="L205" s="189"/>
      <c r="M205" s="189"/>
      <c r="N205" s="189"/>
      <c r="O205" s="189"/>
      <c r="P205" s="189"/>
      <c r="Q205" s="193"/>
      <c r="R205" s="202"/>
      <c r="S205" s="466"/>
      <c r="T205" s="461"/>
      <c r="U205" s="461"/>
      <c r="V205" s="461"/>
      <c r="W205" s="461"/>
      <c r="X205" s="461"/>
      <c r="Y205" s="461"/>
      <c r="Z205" s="461"/>
      <c r="AA205" s="461"/>
      <c r="AB205" s="461"/>
      <c r="AC205" s="461"/>
      <c r="AD205" s="461"/>
      <c r="AE205" s="461"/>
      <c r="AF205" s="461"/>
      <c r="AG205" s="461"/>
      <c r="AH205" s="461"/>
      <c r="AI205" s="461"/>
      <c r="AJ205" s="461"/>
      <c r="AK205" s="461"/>
      <c r="AL205" s="461"/>
      <c r="AM205" s="461"/>
      <c r="AN205" s="461"/>
      <c r="AO205" s="461"/>
      <c r="AP205" s="461"/>
      <c r="AQ205" s="461"/>
      <c r="AR205" s="461"/>
      <c r="AS205" s="461"/>
    </row>
    <row r="206" spans="1:45" s="102" customFormat="1" ht="12" customHeight="1">
      <c r="A206" s="117">
        <v>19</v>
      </c>
      <c r="B206" s="102" t="s">
        <v>260</v>
      </c>
      <c r="C206" s="125"/>
      <c r="D206" s="193"/>
      <c r="E206" s="193"/>
      <c r="F206" s="214"/>
      <c r="G206" s="193"/>
      <c r="H206" s="193"/>
      <c r="I206" s="193"/>
      <c r="J206" s="193"/>
      <c r="K206" s="189"/>
      <c r="L206" s="189"/>
      <c r="M206" s="189"/>
      <c r="N206" s="189"/>
      <c r="O206" s="189"/>
      <c r="P206" s="189"/>
      <c r="Q206" s="193"/>
      <c r="R206" s="202"/>
      <c r="S206" s="466"/>
      <c r="T206" s="461"/>
      <c r="U206" s="461"/>
      <c r="V206" s="461"/>
      <c r="W206" s="461"/>
      <c r="X206" s="461"/>
      <c r="Y206" s="461"/>
      <c r="Z206" s="461"/>
      <c r="AA206" s="461"/>
      <c r="AB206" s="461"/>
      <c r="AC206" s="461"/>
      <c r="AD206" s="461"/>
      <c r="AE206" s="461"/>
      <c r="AF206" s="461"/>
      <c r="AG206" s="461"/>
      <c r="AH206" s="461"/>
      <c r="AI206" s="461"/>
      <c r="AJ206" s="461"/>
      <c r="AK206" s="461"/>
      <c r="AL206" s="461"/>
      <c r="AM206" s="461"/>
      <c r="AN206" s="461"/>
      <c r="AO206" s="461"/>
      <c r="AP206" s="461"/>
      <c r="AQ206" s="461"/>
      <c r="AR206" s="461"/>
      <c r="AS206" s="461"/>
    </row>
    <row r="207" spans="1:45" s="102" customFormat="1" ht="12" customHeight="1">
      <c r="A207" s="117">
        <v>20</v>
      </c>
      <c r="B207" s="102" t="s">
        <v>267</v>
      </c>
      <c r="C207" s="125"/>
      <c r="D207" s="193"/>
      <c r="E207" s="193"/>
      <c r="F207" s="214"/>
      <c r="G207" s="193"/>
      <c r="H207" s="193"/>
      <c r="I207" s="193"/>
      <c r="J207" s="193"/>
      <c r="K207" s="189"/>
      <c r="L207" s="189"/>
      <c r="M207" s="189"/>
      <c r="N207" s="189"/>
      <c r="O207" s="189"/>
      <c r="P207" s="189"/>
      <c r="Q207" s="193"/>
      <c r="R207" s="202"/>
      <c r="S207" s="466"/>
      <c r="T207" s="461"/>
      <c r="U207" s="461"/>
      <c r="V207" s="461"/>
      <c r="W207" s="461"/>
      <c r="X207" s="461"/>
      <c r="Y207" s="461"/>
      <c r="Z207" s="461"/>
      <c r="AA207" s="461"/>
      <c r="AB207" s="461"/>
      <c r="AC207" s="461"/>
      <c r="AD207" s="461"/>
      <c r="AE207" s="461"/>
      <c r="AF207" s="461"/>
      <c r="AG207" s="461"/>
      <c r="AH207" s="461"/>
      <c r="AI207" s="461"/>
      <c r="AJ207" s="461"/>
      <c r="AK207" s="461"/>
      <c r="AL207" s="461"/>
      <c r="AM207" s="461"/>
      <c r="AN207" s="461"/>
      <c r="AO207" s="461"/>
      <c r="AP207" s="461"/>
      <c r="AQ207" s="461"/>
      <c r="AR207" s="461"/>
      <c r="AS207" s="461"/>
    </row>
    <row r="208" spans="1:45" s="102" customFormat="1" ht="12" customHeight="1">
      <c r="A208" s="117">
        <v>21</v>
      </c>
      <c r="B208" s="102" t="s">
        <v>261</v>
      </c>
      <c r="C208" s="125"/>
      <c r="D208" s="193"/>
      <c r="E208" s="193"/>
      <c r="F208" s="214"/>
      <c r="G208" s="193"/>
      <c r="H208" s="193"/>
      <c r="I208" s="193"/>
      <c r="J208" s="193"/>
      <c r="K208" s="189"/>
      <c r="L208" s="189"/>
      <c r="M208" s="189"/>
      <c r="N208" s="189"/>
      <c r="O208" s="189"/>
      <c r="P208" s="189"/>
      <c r="Q208" s="193"/>
      <c r="R208" s="202"/>
      <c r="S208" s="466"/>
      <c r="T208" s="461"/>
      <c r="U208" s="461"/>
      <c r="V208" s="461"/>
      <c r="W208" s="461"/>
      <c r="X208" s="461"/>
      <c r="Y208" s="461"/>
      <c r="Z208" s="461"/>
      <c r="AA208" s="461"/>
      <c r="AB208" s="461"/>
      <c r="AC208" s="461"/>
      <c r="AD208" s="461"/>
      <c r="AE208" s="461"/>
      <c r="AF208" s="461"/>
      <c r="AG208" s="461"/>
      <c r="AH208" s="461"/>
      <c r="AI208" s="461"/>
      <c r="AJ208" s="461"/>
      <c r="AK208" s="461"/>
      <c r="AL208" s="461"/>
      <c r="AM208" s="461"/>
      <c r="AN208" s="461"/>
      <c r="AO208" s="461"/>
      <c r="AP208" s="461"/>
      <c r="AQ208" s="461"/>
      <c r="AR208" s="461"/>
      <c r="AS208" s="461"/>
    </row>
    <row r="209" spans="1:45" s="102" customFormat="1" ht="12" customHeight="1">
      <c r="A209" s="117">
        <v>25</v>
      </c>
      <c r="B209" s="122" t="s">
        <v>263</v>
      </c>
      <c r="C209" s="125"/>
      <c r="D209" s="193"/>
      <c r="E209" s="193"/>
      <c r="F209" s="214"/>
      <c r="G209" s="193"/>
      <c r="H209" s="193"/>
      <c r="I209" s="193"/>
      <c r="J209" s="193"/>
      <c r="K209" s="189"/>
      <c r="L209" s="189"/>
      <c r="M209" s="189"/>
      <c r="N209" s="189"/>
      <c r="O209" s="189"/>
      <c r="P209" s="189"/>
      <c r="Q209" s="193"/>
      <c r="R209" s="202"/>
      <c r="S209" s="466"/>
      <c r="T209" s="461"/>
      <c r="U209" s="461"/>
      <c r="V209" s="461"/>
      <c r="W209" s="461"/>
      <c r="X209" s="461"/>
      <c r="Y209" s="461"/>
      <c r="Z209" s="461"/>
      <c r="AA209" s="461"/>
      <c r="AB209" s="461"/>
      <c r="AC209" s="461"/>
      <c r="AD209" s="461"/>
      <c r="AE209" s="461"/>
      <c r="AF209" s="461"/>
      <c r="AG209" s="461"/>
      <c r="AH209" s="461"/>
      <c r="AI209" s="461"/>
      <c r="AJ209" s="461"/>
      <c r="AK209" s="461"/>
      <c r="AL209" s="461"/>
      <c r="AM209" s="461"/>
      <c r="AN209" s="461"/>
      <c r="AO209" s="461"/>
      <c r="AP209" s="461"/>
      <c r="AQ209" s="461"/>
      <c r="AR209" s="461"/>
      <c r="AS209" s="461"/>
    </row>
    <row r="210" spans="1:45" s="102" customFormat="1" ht="12" customHeight="1">
      <c r="A210" s="118">
        <v>29</v>
      </c>
      <c r="B210" s="102" t="s">
        <v>295</v>
      </c>
      <c r="C210" s="125"/>
      <c r="D210" s="193"/>
      <c r="E210" s="193"/>
      <c r="F210" s="214"/>
      <c r="G210" s="193"/>
      <c r="H210" s="193"/>
      <c r="I210" s="193"/>
      <c r="J210" s="193"/>
      <c r="K210" s="189"/>
      <c r="L210" s="189"/>
      <c r="M210" s="189"/>
      <c r="N210" s="189"/>
      <c r="O210" s="189"/>
      <c r="P210" s="189"/>
      <c r="Q210" s="193"/>
      <c r="R210" s="202"/>
      <c r="S210" s="466"/>
      <c r="T210" s="461"/>
      <c r="U210" s="461"/>
      <c r="V210" s="461"/>
      <c r="W210" s="461"/>
      <c r="X210" s="461"/>
      <c r="Y210" s="461"/>
      <c r="Z210" s="461"/>
      <c r="AA210" s="461"/>
      <c r="AB210" s="461"/>
      <c r="AC210" s="461"/>
      <c r="AD210" s="461"/>
      <c r="AE210" s="461"/>
      <c r="AF210" s="461"/>
      <c r="AG210" s="461"/>
      <c r="AH210" s="461"/>
      <c r="AI210" s="461"/>
      <c r="AJ210" s="461"/>
      <c r="AK210" s="461"/>
      <c r="AL210" s="461"/>
      <c r="AM210" s="461"/>
      <c r="AN210" s="461"/>
      <c r="AO210" s="461"/>
      <c r="AP210" s="461"/>
      <c r="AQ210" s="461"/>
      <c r="AR210" s="461"/>
      <c r="AS210" s="461"/>
    </row>
    <row r="211" spans="1:45" s="102" customFormat="1" ht="12" customHeight="1">
      <c r="A211" s="118">
        <v>30</v>
      </c>
      <c r="B211" s="102" t="s">
        <v>296</v>
      </c>
      <c r="C211" s="125"/>
      <c r="D211" s="193"/>
      <c r="E211" s="193"/>
      <c r="F211" s="214"/>
      <c r="G211" s="193"/>
      <c r="H211" s="193"/>
      <c r="I211" s="193"/>
      <c r="J211" s="193"/>
      <c r="K211" s="189"/>
      <c r="L211" s="189"/>
      <c r="M211" s="189"/>
      <c r="N211" s="189"/>
      <c r="O211" s="189"/>
      <c r="P211" s="189"/>
      <c r="Q211" s="193"/>
      <c r="R211" s="202"/>
      <c r="S211" s="466"/>
      <c r="T211" s="461"/>
      <c r="U211" s="461"/>
      <c r="V211" s="461"/>
      <c r="W211" s="461"/>
      <c r="X211" s="461"/>
      <c r="Y211" s="461"/>
      <c r="Z211" s="461"/>
      <c r="AA211" s="461"/>
      <c r="AB211" s="461"/>
      <c r="AC211" s="461"/>
      <c r="AD211" s="461"/>
      <c r="AE211" s="461"/>
      <c r="AF211" s="461"/>
      <c r="AG211" s="461"/>
      <c r="AH211" s="461"/>
      <c r="AI211" s="461"/>
      <c r="AJ211" s="461"/>
      <c r="AK211" s="461"/>
      <c r="AL211" s="461"/>
      <c r="AM211" s="461"/>
      <c r="AN211" s="461"/>
      <c r="AO211" s="461"/>
      <c r="AP211" s="461"/>
      <c r="AQ211" s="461"/>
      <c r="AR211" s="461"/>
      <c r="AS211" s="461"/>
    </row>
    <row r="212" spans="1:45">
      <c r="A212" s="1">
        <v>200</v>
      </c>
      <c r="B212" s="62" t="s">
        <v>97</v>
      </c>
      <c r="C212" s="84"/>
      <c r="D212" s="554"/>
      <c r="E212" s="554" t="s">
        <v>407</v>
      </c>
      <c r="F212" s="269"/>
      <c r="G212" s="187"/>
      <c r="H212" s="187"/>
      <c r="I212" s="187"/>
      <c r="J212" s="187"/>
      <c r="K212" s="188"/>
      <c r="L212" s="188"/>
      <c r="M212" s="188"/>
      <c r="N212" s="188"/>
      <c r="O212" s="188"/>
      <c r="P212" s="188"/>
      <c r="Q212" s="187"/>
      <c r="R212" s="200"/>
      <c r="S212" s="462"/>
      <c r="T212" s="463"/>
      <c r="U212" s="464"/>
      <c r="V212" s="464"/>
      <c r="W212" s="460"/>
      <c r="X212" s="460"/>
      <c r="Y212" s="460"/>
      <c r="Z212" s="460"/>
      <c r="AA212" s="460"/>
      <c r="AB212" s="460"/>
      <c r="AC212" s="460"/>
      <c r="AD212" s="460"/>
      <c r="AE212" s="460"/>
      <c r="AF212" s="460"/>
      <c r="AG212" s="460"/>
      <c r="AH212" s="460"/>
      <c r="AI212" s="460"/>
      <c r="AJ212" s="460"/>
      <c r="AK212" s="460"/>
      <c r="AL212" s="460"/>
      <c r="AM212" s="460"/>
      <c r="AN212" s="460"/>
      <c r="AO212" s="460"/>
      <c r="AP212" s="460"/>
      <c r="AQ212" s="460"/>
      <c r="AR212" s="460"/>
      <c r="AS212" s="460"/>
    </row>
    <row r="213" spans="1:45">
      <c r="A213" s="37"/>
      <c r="B213" s="7" t="s">
        <v>18</v>
      </c>
      <c r="C213" s="84"/>
      <c r="D213" s="190"/>
      <c r="E213" s="187"/>
      <c r="F213" s="269"/>
      <c r="G213" s="187"/>
      <c r="H213" s="190"/>
      <c r="I213" s="190"/>
      <c r="J213" s="190"/>
      <c r="K213" s="191"/>
      <c r="L213" s="191"/>
      <c r="M213" s="191"/>
      <c r="N213" s="191"/>
      <c r="O213" s="188"/>
      <c r="P213" s="188"/>
      <c r="Q213" s="187"/>
      <c r="R213" s="203"/>
      <c r="S213" s="468"/>
      <c r="T213" s="470"/>
      <c r="U213" s="464"/>
      <c r="V213" s="464"/>
      <c r="W213" s="460"/>
      <c r="X213" s="460"/>
      <c r="Y213" s="460"/>
      <c r="Z213" s="460"/>
      <c r="AA213" s="460"/>
      <c r="AB213" s="460"/>
      <c r="AC213" s="460"/>
      <c r="AD213" s="460"/>
      <c r="AE213" s="460"/>
      <c r="AF213" s="460"/>
      <c r="AG213" s="460"/>
      <c r="AH213" s="460"/>
      <c r="AI213" s="460"/>
      <c r="AJ213" s="460"/>
      <c r="AK213" s="460"/>
      <c r="AL213" s="460"/>
      <c r="AM213" s="460"/>
      <c r="AN213" s="460"/>
      <c r="AO213" s="460"/>
      <c r="AP213" s="460"/>
      <c r="AQ213" s="460"/>
      <c r="AR213" s="460"/>
      <c r="AS213" s="460"/>
    </row>
    <row r="214" spans="1:45">
      <c r="B214" s="458" t="s">
        <v>18</v>
      </c>
      <c r="C214" s="486"/>
      <c r="D214" s="487"/>
      <c r="E214" s="487"/>
      <c r="F214" s="488"/>
      <c r="G214" s="476"/>
      <c r="H214" s="487"/>
      <c r="I214" s="487"/>
      <c r="J214" s="487"/>
      <c r="K214" s="488"/>
      <c r="L214" s="489"/>
      <c r="M214" s="488"/>
      <c r="N214" s="488"/>
      <c r="O214" s="477"/>
      <c r="P214" s="477"/>
      <c r="Q214" s="476"/>
      <c r="R214" s="490"/>
      <c r="S214" s="468"/>
      <c r="T214" s="470"/>
      <c r="U214" s="464"/>
      <c r="V214" s="464"/>
      <c r="W214" s="460"/>
      <c r="X214" s="460"/>
      <c r="Y214" s="460"/>
      <c r="Z214" s="460"/>
      <c r="AA214" s="460"/>
      <c r="AB214" s="460"/>
      <c r="AC214" s="460"/>
      <c r="AD214" s="460"/>
      <c r="AE214" s="460"/>
      <c r="AF214" s="460"/>
      <c r="AG214" s="460"/>
      <c r="AH214" s="460"/>
      <c r="AI214" s="460"/>
      <c r="AJ214" s="460"/>
      <c r="AK214" s="460"/>
      <c r="AL214" s="460"/>
      <c r="AM214" s="460"/>
      <c r="AN214" s="460"/>
      <c r="AO214" s="460"/>
      <c r="AP214" s="460"/>
      <c r="AQ214" s="460"/>
      <c r="AR214" s="460"/>
      <c r="AS214" s="460"/>
    </row>
    <row r="215" spans="1:45">
      <c r="B215" s="484"/>
      <c r="C215" s="486"/>
      <c r="D215" s="487"/>
      <c r="E215" s="487"/>
      <c r="F215" s="488"/>
      <c r="G215" s="476"/>
      <c r="H215" s="487"/>
      <c r="I215" s="487"/>
      <c r="J215" s="487"/>
      <c r="K215" s="488"/>
      <c r="L215" s="488"/>
      <c r="M215" s="488"/>
      <c r="N215" s="488"/>
      <c r="O215" s="477"/>
      <c r="P215" s="477"/>
      <c r="Q215" s="476"/>
      <c r="R215" s="491"/>
      <c r="S215" s="471"/>
      <c r="T215" s="470"/>
      <c r="U215" s="464"/>
      <c r="V215" s="464"/>
      <c r="W215" s="460"/>
      <c r="X215" s="460"/>
      <c r="Y215" s="460"/>
      <c r="Z215" s="460"/>
      <c r="AA215" s="460"/>
      <c r="AB215" s="460"/>
      <c r="AC215" s="460"/>
      <c r="AD215" s="460"/>
      <c r="AE215" s="460"/>
      <c r="AF215" s="460"/>
      <c r="AG215" s="460"/>
      <c r="AH215" s="460"/>
      <c r="AI215" s="460"/>
      <c r="AJ215" s="460"/>
      <c r="AK215" s="460"/>
      <c r="AL215" s="460"/>
      <c r="AM215" s="460"/>
      <c r="AN215" s="460"/>
      <c r="AO215" s="460"/>
      <c r="AP215" s="460"/>
      <c r="AQ215" s="460"/>
      <c r="AR215" s="460"/>
      <c r="AS215" s="460"/>
    </row>
    <row r="216" spans="1:45">
      <c r="B216" s="484"/>
      <c r="C216" s="486"/>
      <c r="D216" s="492"/>
      <c r="E216" s="492"/>
      <c r="F216" s="493"/>
      <c r="G216" s="492"/>
      <c r="H216" s="494"/>
      <c r="I216" s="492"/>
      <c r="J216" s="492"/>
      <c r="K216" s="493"/>
      <c r="L216" s="493"/>
      <c r="M216" s="493"/>
      <c r="N216" s="493"/>
      <c r="O216" s="495"/>
      <c r="P216" s="495"/>
      <c r="Q216" s="728"/>
      <c r="R216" s="491"/>
      <c r="S216" s="471"/>
      <c r="T216" s="470"/>
      <c r="U216" s="464"/>
      <c r="V216" s="464"/>
      <c r="W216" s="460"/>
      <c r="X216" s="460"/>
      <c r="Y216" s="460"/>
      <c r="Z216" s="460"/>
      <c r="AA216" s="460"/>
      <c r="AB216" s="460"/>
      <c r="AC216" s="460"/>
      <c r="AD216" s="460"/>
      <c r="AE216" s="460"/>
      <c r="AF216" s="460"/>
      <c r="AG216" s="460"/>
      <c r="AH216" s="460"/>
      <c r="AI216" s="460"/>
      <c r="AJ216" s="460"/>
      <c r="AK216" s="460"/>
      <c r="AL216" s="460"/>
      <c r="AM216" s="460"/>
      <c r="AN216" s="460"/>
      <c r="AO216" s="460"/>
      <c r="AP216" s="460"/>
      <c r="AQ216" s="460"/>
      <c r="AR216" s="460"/>
      <c r="AS216" s="460"/>
    </row>
    <row r="217" spans="1:45">
      <c r="B217" s="459"/>
      <c r="C217" s="486"/>
      <c r="D217" s="492"/>
      <c r="E217" s="492"/>
      <c r="F217" s="493"/>
      <c r="G217" s="492"/>
      <c r="H217" s="494"/>
      <c r="I217" s="492"/>
      <c r="J217" s="492"/>
      <c r="K217" s="493"/>
      <c r="L217" s="493"/>
      <c r="M217" s="493"/>
      <c r="N217" s="493"/>
      <c r="O217" s="495"/>
      <c r="P217" s="495"/>
      <c r="Q217" s="728"/>
      <c r="R217" s="491"/>
      <c r="S217" s="470"/>
      <c r="T217" s="470"/>
      <c r="U217" s="464"/>
      <c r="V217" s="464"/>
      <c r="W217" s="460"/>
      <c r="X217" s="460"/>
      <c r="Y217" s="460"/>
      <c r="Z217" s="460"/>
      <c r="AA217" s="460"/>
      <c r="AB217" s="460"/>
      <c r="AC217" s="460"/>
      <c r="AD217" s="460"/>
      <c r="AE217" s="460"/>
      <c r="AF217" s="460"/>
      <c r="AG217" s="460"/>
      <c r="AH217" s="460"/>
      <c r="AI217" s="460"/>
      <c r="AJ217" s="460"/>
      <c r="AK217" s="460"/>
      <c r="AL217" s="460"/>
      <c r="AM217" s="460"/>
      <c r="AN217" s="460"/>
      <c r="AO217" s="460"/>
      <c r="AP217" s="460"/>
      <c r="AQ217" s="460"/>
      <c r="AR217" s="460"/>
      <c r="AS217" s="460"/>
    </row>
    <row r="218" spans="1:45">
      <c r="B218" s="460"/>
      <c r="C218" s="496"/>
      <c r="D218" s="497"/>
      <c r="E218" s="497"/>
      <c r="F218" s="498"/>
      <c r="G218" s="497"/>
      <c r="H218" s="499"/>
      <c r="I218" s="497"/>
      <c r="J218" s="497"/>
      <c r="K218" s="498"/>
      <c r="L218" s="498"/>
      <c r="M218" s="498"/>
      <c r="N218" s="498"/>
      <c r="O218" s="500"/>
      <c r="P218" s="500"/>
      <c r="Q218" s="729"/>
      <c r="R218" s="501"/>
      <c r="S218" s="472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0"/>
      <c r="AI218" s="460"/>
      <c r="AJ218" s="460"/>
      <c r="AK218" s="460"/>
      <c r="AL218" s="460"/>
      <c r="AM218" s="460"/>
      <c r="AN218" s="460"/>
      <c r="AO218" s="460"/>
      <c r="AP218" s="460"/>
      <c r="AQ218" s="460"/>
      <c r="AR218" s="460"/>
      <c r="AS218" s="460"/>
    </row>
    <row r="219" spans="1:45">
      <c r="B219" s="460"/>
      <c r="C219" s="496"/>
      <c r="D219" s="497"/>
      <c r="E219" s="497"/>
      <c r="F219" s="498"/>
      <c r="G219" s="497"/>
      <c r="H219" s="499"/>
      <c r="I219" s="497"/>
      <c r="J219" s="497"/>
      <c r="K219" s="498"/>
      <c r="L219" s="498"/>
      <c r="M219" s="498"/>
      <c r="N219" s="498"/>
      <c r="O219" s="500"/>
      <c r="P219" s="500"/>
      <c r="Q219" s="729"/>
      <c r="R219" s="501"/>
      <c r="S219" s="472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  <c r="AD219" s="460"/>
      <c r="AE219" s="460"/>
      <c r="AF219" s="460"/>
      <c r="AG219" s="460"/>
      <c r="AH219" s="460"/>
      <c r="AI219" s="460"/>
      <c r="AJ219" s="460"/>
      <c r="AK219" s="460"/>
      <c r="AL219" s="460"/>
      <c r="AM219" s="460"/>
      <c r="AN219" s="460"/>
      <c r="AO219" s="460"/>
      <c r="AP219" s="460"/>
      <c r="AQ219" s="460"/>
      <c r="AR219" s="460"/>
      <c r="AS219" s="460"/>
    </row>
    <row r="220" spans="1:45">
      <c r="B220" s="460"/>
      <c r="C220" s="496"/>
      <c r="D220" s="497"/>
      <c r="E220" s="497"/>
      <c r="F220" s="502"/>
      <c r="G220" s="497"/>
      <c r="H220" s="499"/>
      <c r="I220" s="497"/>
      <c r="J220" s="497"/>
      <c r="K220" s="498"/>
      <c r="L220" s="498"/>
      <c r="M220" s="498"/>
      <c r="N220" s="498"/>
      <c r="O220" s="500"/>
      <c r="P220" s="500"/>
      <c r="Q220" s="729"/>
      <c r="R220" s="501"/>
      <c r="S220" s="472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  <c r="AD220" s="460"/>
      <c r="AE220" s="460"/>
      <c r="AF220" s="460"/>
      <c r="AG220" s="460"/>
      <c r="AH220" s="460"/>
      <c r="AI220" s="460"/>
      <c r="AJ220" s="460"/>
      <c r="AK220" s="460"/>
      <c r="AL220" s="460"/>
      <c r="AM220" s="460"/>
      <c r="AN220" s="460"/>
      <c r="AO220" s="460"/>
      <c r="AP220" s="460"/>
      <c r="AQ220" s="460"/>
      <c r="AR220" s="460"/>
      <c r="AS220" s="460"/>
    </row>
    <row r="221" spans="1:45">
      <c r="B221" s="460"/>
      <c r="C221" s="496"/>
      <c r="D221" s="497"/>
      <c r="E221" s="497"/>
      <c r="F221" s="502"/>
      <c r="G221" s="497"/>
      <c r="H221" s="499"/>
      <c r="I221" s="497"/>
      <c r="J221" s="497"/>
      <c r="K221" s="498"/>
      <c r="L221" s="498"/>
      <c r="M221" s="498"/>
      <c r="N221" s="498"/>
      <c r="O221" s="500"/>
      <c r="P221" s="500"/>
      <c r="Q221" s="729"/>
      <c r="R221" s="501"/>
      <c r="S221" s="472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  <c r="AD221" s="460"/>
      <c r="AE221" s="460"/>
      <c r="AF221" s="460"/>
      <c r="AG221" s="460"/>
      <c r="AH221" s="460"/>
      <c r="AI221" s="460"/>
      <c r="AJ221" s="460"/>
      <c r="AK221" s="460"/>
      <c r="AL221" s="460"/>
      <c r="AM221" s="460"/>
      <c r="AN221" s="460"/>
      <c r="AO221" s="460"/>
      <c r="AP221" s="460"/>
      <c r="AQ221" s="460"/>
      <c r="AR221" s="460"/>
      <c r="AS221" s="460"/>
    </row>
    <row r="222" spans="1:45" ht="12.5">
      <c r="B222" s="485"/>
      <c r="C222" s="496"/>
      <c r="D222" s="497"/>
      <c r="E222" s="497"/>
      <c r="F222" s="502"/>
      <c r="G222" s="497"/>
      <c r="H222" s="499"/>
      <c r="I222" s="497"/>
      <c r="J222" s="497"/>
      <c r="K222" s="498"/>
      <c r="L222" s="498"/>
      <c r="M222" s="498"/>
      <c r="N222" s="498"/>
      <c r="O222" s="500"/>
      <c r="P222" s="500"/>
      <c r="Q222" s="729"/>
      <c r="R222" s="501"/>
      <c r="S222" s="472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  <c r="AD222" s="460"/>
      <c r="AE222" s="460"/>
      <c r="AF222" s="460"/>
      <c r="AG222" s="460"/>
      <c r="AH222" s="460"/>
      <c r="AI222" s="460"/>
      <c r="AJ222" s="460"/>
      <c r="AK222" s="460"/>
      <c r="AL222" s="460"/>
      <c r="AM222" s="460"/>
      <c r="AN222" s="460"/>
      <c r="AO222" s="460"/>
      <c r="AP222" s="460"/>
      <c r="AQ222" s="460"/>
      <c r="AR222" s="460"/>
      <c r="AS222" s="460"/>
    </row>
    <row r="223" spans="1:45">
      <c r="B223" s="460"/>
      <c r="C223" s="496"/>
      <c r="D223" s="497"/>
      <c r="E223" s="497"/>
      <c r="F223" s="503"/>
      <c r="G223" s="497"/>
      <c r="H223" s="499"/>
      <c r="I223" s="497"/>
      <c r="J223" s="497"/>
      <c r="K223" s="498"/>
      <c r="L223" s="498"/>
      <c r="M223" s="498"/>
      <c r="N223" s="498"/>
      <c r="O223" s="500"/>
      <c r="P223" s="500"/>
      <c r="Q223" s="729"/>
      <c r="R223" s="501"/>
      <c r="S223" s="472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  <c r="AD223" s="460"/>
      <c r="AE223" s="460"/>
      <c r="AF223" s="460"/>
      <c r="AG223" s="460"/>
      <c r="AH223" s="460"/>
      <c r="AI223" s="460"/>
      <c r="AJ223" s="460"/>
      <c r="AK223" s="460"/>
      <c r="AL223" s="460"/>
      <c r="AM223" s="460"/>
      <c r="AN223" s="460"/>
      <c r="AO223" s="460"/>
      <c r="AP223" s="460"/>
      <c r="AQ223" s="460"/>
      <c r="AR223" s="460"/>
      <c r="AS223" s="460"/>
    </row>
    <row r="224" spans="1:45">
      <c r="B224" s="472"/>
      <c r="C224" s="504"/>
      <c r="D224" s="505"/>
      <c r="E224" s="505"/>
      <c r="F224" s="503"/>
      <c r="G224" s="505"/>
      <c r="H224" s="506"/>
      <c r="I224" s="505"/>
      <c r="J224" s="505"/>
      <c r="K224" s="507"/>
      <c r="L224" s="507"/>
      <c r="M224" s="507"/>
      <c r="N224" s="507"/>
      <c r="O224" s="507"/>
      <c r="P224" s="507"/>
      <c r="Q224" s="506"/>
      <c r="R224" s="501"/>
      <c r="S224" s="472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  <c r="AD224" s="460"/>
      <c r="AE224" s="460"/>
      <c r="AF224" s="460"/>
      <c r="AG224" s="460"/>
      <c r="AH224" s="460"/>
      <c r="AI224" s="460"/>
      <c r="AJ224" s="460"/>
      <c r="AK224" s="460"/>
      <c r="AL224" s="460"/>
      <c r="AM224" s="460"/>
      <c r="AN224" s="460"/>
      <c r="AO224" s="460"/>
      <c r="AP224" s="460"/>
      <c r="AQ224" s="460"/>
      <c r="AR224" s="460"/>
      <c r="AS224" s="460"/>
    </row>
    <row r="225" spans="2:45" ht="12.5">
      <c r="B225" s="485"/>
      <c r="C225" s="504"/>
      <c r="D225" s="505"/>
      <c r="E225" s="505"/>
      <c r="F225" s="507"/>
      <c r="G225" s="505"/>
      <c r="H225" s="506"/>
      <c r="I225" s="505"/>
      <c r="J225" s="505"/>
      <c r="K225" s="507"/>
      <c r="L225" s="507"/>
      <c r="M225" s="507"/>
      <c r="N225" s="507"/>
      <c r="O225" s="507"/>
      <c r="P225" s="507"/>
      <c r="Q225" s="506"/>
      <c r="R225" s="501"/>
      <c r="S225" s="472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0"/>
      <c r="AI225" s="460"/>
      <c r="AJ225" s="460"/>
      <c r="AK225" s="460"/>
      <c r="AL225" s="460"/>
      <c r="AM225" s="460"/>
      <c r="AN225" s="460"/>
      <c r="AO225" s="460"/>
      <c r="AP225" s="460"/>
      <c r="AQ225" s="460"/>
      <c r="AR225" s="460"/>
      <c r="AS225" s="460"/>
    </row>
    <row r="226" spans="2:45" ht="13.5" customHeight="1">
      <c r="B226" s="10"/>
      <c r="C226" s="11"/>
      <c r="D226" s="79"/>
      <c r="E226" s="79"/>
      <c r="F226" s="13"/>
      <c r="G226" s="79"/>
      <c r="H226" s="12"/>
      <c r="I226" s="79"/>
      <c r="J226" s="79"/>
      <c r="K226" s="13"/>
      <c r="L226" s="13"/>
      <c r="M226" s="13"/>
      <c r="N226" s="13"/>
      <c r="O226" s="13"/>
      <c r="P226" s="13"/>
      <c r="Q226" s="12"/>
      <c r="R226" s="106"/>
      <c r="S226" s="10"/>
      <c r="T226" s="15"/>
      <c r="U226" s="16"/>
      <c r="V226" s="16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</row>
    <row r="227" spans="2:45" ht="12.5">
      <c r="B227" s="17"/>
      <c r="C227" s="11"/>
      <c r="D227" s="79"/>
      <c r="E227" s="79"/>
      <c r="F227" s="13"/>
      <c r="G227" s="79"/>
      <c r="H227" s="12"/>
      <c r="I227" s="79"/>
      <c r="J227" s="79"/>
      <c r="K227" s="13"/>
      <c r="L227" s="13"/>
      <c r="M227" s="13"/>
      <c r="N227" s="13"/>
      <c r="O227" s="13"/>
      <c r="P227" s="13"/>
      <c r="Q227" s="12"/>
      <c r="R227" s="106"/>
      <c r="S227" s="10"/>
      <c r="T227" s="15"/>
      <c r="U227" s="16"/>
      <c r="V227" s="16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</row>
    <row r="228" spans="2:45">
      <c r="B228" s="19"/>
      <c r="C228" s="11"/>
      <c r="D228" s="79"/>
      <c r="E228" s="79"/>
      <c r="F228" s="13"/>
      <c r="G228" s="79"/>
      <c r="H228" s="12"/>
      <c r="I228" s="79"/>
      <c r="J228" s="79"/>
      <c r="K228" s="13"/>
      <c r="L228" s="13"/>
      <c r="M228" s="13"/>
      <c r="N228" s="13"/>
      <c r="O228" s="13"/>
      <c r="P228" s="13"/>
      <c r="Q228" s="12"/>
      <c r="R228" s="106"/>
      <c r="S228" s="10"/>
      <c r="T228" s="15"/>
      <c r="U228" s="16"/>
      <c r="V228" s="16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</row>
    <row r="229" spans="2:45">
      <c r="B229" s="10"/>
      <c r="C229" s="11"/>
      <c r="D229" s="79"/>
      <c r="E229" s="79"/>
      <c r="F229" s="13"/>
      <c r="G229" s="79"/>
      <c r="H229" s="12"/>
      <c r="I229" s="79"/>
      <c r="J229" s="79"/>
      <c r="K229" s="13"/>
      <c r="L229" s="13"/>
      <c r="M229" s="13"/>
      <c r="N229" s="13"/>
      <c r="O229" s="13"/>
      <c r="P229" s="13"/>
      <c r="Q229" s="12"/>
      <c r="R229" s="106"/>
      <c r="S229" s="10"/>
      <c r="T229" s="18"/>
      <c r="U229" s="16"/>
      <c r="V229" s="16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</row>
    <row r="230" spans="2:45">
      <c r="B230" s="20"/>
      <c r="C230" s="21"/>
      <c r="D230" s="80"/>
      <c r="E230" s="80"/>
      <c r="F230" s="27"/>
      <c r="G230" s="80"/>
      <c r="H230" s="22"/>
      <c r="I230" s="80"/>
      <c r="J230" s="80"/>
      <c r="K230" s="27"/>
      <c r="L230" s="27"/>
      <c r="M230" s="27"/>
      <c r="N230" s="27"/>
      <c r="O230" s="23"/>
      <c r="P230" s="23"/>
      <c r="Q230" s="730"/>
      <c r="R230" s="106"/>
      <c r="S230" s="10"/>
      <c r="T230" s="18"/>
      <c r="U230" s="16"/>
      <c r="V230" s="16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</row>
    <row r="231" spans="2:45">
      <c r="B231" s="15"/>
      <c r="C231" s="85"/>
      <c r="D231" s="88"/>
      <c r="E231" s="88"/>
      <c r="F231" s="87"/>
      <c r="G231" s="88"/>
      <c r="H231" s="86"/>
      <c r="I231" s="88"/>
      <c r="J231" s="88"/>
      <c r="K231" s="87"/>
      <c r="L231" s="87"/>
      <c r="M231" s="87"/>
      <c r="N231" s="87"/>
      <c r="O231" s="87"/>
      <c r="P231" s="87"/>
      <c r="Q231" s="86"/>
      <c r="R231" s="106"/>
      <c r="S231" s="10"/>
      <c r="T231" s="16"/>
      <c r="U231" s="16"/>
      <c r="V231" s="16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</row>
    <row r="232" spans="2:45">
      <c r="B232" s="15"/>
      <c r="C232" s="85"/>
      <c r="D232" s="88"/>
      <c r="E232" s="88"/>
      <c r="F232" s="87"/>
      <c r="G232" s="88"/>
      <c r="H232" s="86"/>
      <c r="I232" s="88"/>
      <c r="J232" s="88"/>
      <c r="K232" s="87"/>
      <c r="L232" s="87"/>
      <c r="M232" s="87"/>
      <c r="N232" s="87"/>
      <c r="O232" s="87"/>
      <c r="P232" s="87"/>
      <c r="Q232" s="86"/>
      <c r="R232" s="106"/>
      <c r="S232" s="10"/>
      <c r="T232" s="24"/>
      <c r="U232" s="16"/>
      <c r="V232" s="16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</row>
    <row r="233" spans="2:45">
      <c r="B233" s="18"/>
      <c r="C233" s="89"/>
      <c r="D233" s="88"/>
      <c r="E233" s="88"/>
      <c r="F233" s="87"/>
      <c r="G233" s="88"/>
      <c r="H233" s="94"/>
      <c r="I233" s="88"/>
      <c r="J233" s="88"/>
      <c r="K233" s="87"/>
      <c r="L233" s="93"/>
      <c r="M233" s="87"/>
      <c r="N233" s="93"/>
      <c r="O233" s="87"/>
      <c r="P233" s="87"/>
      <c r="Q233" s="86"/>
      <c r="R233" s="106"/>
      <c r="S233" s="10"/>
      <c r="T233" s="24"/>
      <c r="U233" s="16"/>
      <c r="V233" s="16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</row>
    <row r="234" spans="2:45">
      <c r="B234" s="18"/>
      <c r="C234" s="89"/>
      <c r="D234" s="88"/>
      <c r="E234" s="88"/>
      <c r="F234" s="87"/>
      <c r="G234" s="88"/>
      <c r="H234" s="94"/>
      <c r="I234" s="88"/>
      <c r="J234" s="88"/>
      <c r="K234" s="87"/>
      <c r="L234" s="87"/>
      <c r="M234" s="87"/>
      <c r="N234" s="87"/>
      <c r="O234" s="87"/>
      <c r="P234" s="87"/>
      <c r="Q234" s="86"/>
      <c r="R234" s="106"/>
      <c r="S234" s="10"/>
      <c r="T234" s="15"/>
      <c r="U234" s="16"/>
      <c r="V234" s="16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</row>
    <row r="235" spans="2:45">
      <c r="B235" s="18"/>
      <c r="C235" s="89"/>
      <c r="D235" s="88"/>
      <c r="E235" s="88"/>
      <c r="F235" s="87"/>
      <c r="G235" s="88"/>
      <c r="H235" s="86"/>
      <c r="I235" s="88"/>
      <c r="J235" s="88"/>
      <c r="K235" s="87"/>
      <c r="L235" s="87"/>
      <c r="M235" s="87"/>
      <c r="N235" s="93"/>
      <c r="O235" s="87"/>
      <c r="P235" s="87"/>
      <c r="Q235" s="86"/>
      <c r="R235" s="106"/>
      <c r="S235" s="10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</row>
    <row r="236" spans="2:45">
      <c r="B236" s="14"/>
      <c r="C236" s="25"/>
      <c r="D236" s="81"/>
      <c r="E236" s="81"/>
      <c r="F236" s="29"/>
      <c r="G236" s="81"/>
      <c r="H236" s="26"/>
      <c r="I236" s="81"/>
      <c r="J236" s="81"/>
      <c r="K236" s="29"/>
      <c r="L236" s="29"/>
      <c r="M236" s="29"/>
      <c r="N236" s="29"/>
      <c r="O236" s="27"/>
      <c r="P236" s="27"/>
      <c r="Q236" s="22"/>
      <c r="R236" s="106"/>
      <c r="S236" s="10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</row>
    <row r="237" spans="2:45">
      <c r="B237" s="10"/>
      <c r="C237" s="25"/>
      <c r="D237" s="81"/>
      <c r="E237" s="81"/>
      <c r="F237" s="29"/>
      <c r="G237" s="81"/>
      <c r="H237" s="26"/>
      <c r="I237" s="81"/>
      <c r="J237" s="81"/>
      <c r="K237" s="29"/>
      <c r="L237" s="29"/>
      <c r="M237" s="29"/>
      <c r="N237" s="29"/>
      <c r="O237" s="27"/>
      <c r="P237" s="27"/>
      <c r="Q237" s="22"/>
      <c r="R237" s="106"/>
      <c r="S237" s="10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</row>
    <row r="238" spans="2:45">
      <c r="B238" s="10"/>
      <c r="C238" s="25"/>
      <c r="D238" s="81"/>
      <c r="E238" s="81"/>
      <c r="F238" s="29"/>
      <c r="G238" s="81"/>
      <c r="H238" s="26"/>
      <c r="I238" s="81"/>
      <c r="J238" s="81"/>
      <c r="K238" s="29"/>
      <c r="L238" s="29"/>
      <c r="M238" s="29"/>
      <c r="N238" s="29"/>
      <c r="O238" s="27"/>
      <c r="P238" s="27"/>
      <c r="Q238" s="22"/>
      <c r="R238" s="106"/>
      <c r="S238" s="10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</row>
    <row r="239" spans="2:45">
      <c r="B239" s="10"/>
      <c r="C239" s="25"/>
      <c r="D239" s="81"/>
      <c r="E239" s="81"/>
      <c r="F239" s="29"/>
      <c r="G239" s="81"/>
      <c r="H239" s="26"/>
      <c r="I239" s="81"/>
      <c r="J239" s="81"/>
      <c r="K239" s="29"/>
      <c r="L239" s="29"/>
      <c r="M239" s="29"/>
      <c r="N239" s="29"/>
      <c r="O239" s="90"/>
      <c r="P239" s="90"/>
      <c r="Q239" s="98"/>
      <c r="R239" s="106"/>
      <c r="S239" s="10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</row>
    <row r="240" spans="2:45">
      <c r="B240" s="28"/>
      <c r="C240" s="25"/>
      <c r="D240" s="81"/>
      <c r="E240" s="81"/>
      <c r="F240" s="29"/>
      <c r="G240" s="81"/>
      <c r="H240" s="26"/>
      <c r="I240" s="81"/>
      <c r="J240" s="81"/>
      <c r="K240" s="29"/>
      <c r="L240" s="29"/>
      <c r="M240" s="29"/>
      <c r="N240" s="29"/>
      <c r="O240" s="90"/>
      <c r="P240" s="90"/>
      <c r="Q240" s="98"/>
      <c r="R240" s="106"/>
      <c r="S240" s="10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</row>
    <row r="241" spans="1:45">
      <c r="B241" s="28"/>
      <c r="C241" s="25"/>
      <c r="D241" s="81"/>
      <c r="E241" s="81"/>
      <c r="F241" s="29"/>
      <c r="G241" s="81"/>
      <c r="H241" s="26"/>
      <c r="I241" s="81"/>
      <c r="J241" s="81"/>
      <c r="K241" s="29"/>
      <c r="L241" s="29"/>
      <c r="M241" s="29"/>
      <c r="N241" s="29"/>
      <c r="O241" s="90"/>
      <c r="P241" s="90"/>
      <c r="Q241" s="98"/>
      <c r="R241" s="106"/>
      <c r="S241" s="10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</row>
    <row r="242" spans="1:45">
      <c r="B242" s="10"/>
      <c r="C242" s="19"/>
      <c r="D242" s="81"/>
      <c r="E242" s="81"/>
      <c r="F242" s="29"/>
      <c r="G242" s="81"/>
      <c r="H242" s="26"/>
      <c r="I242" s="81"/>
      <c r="J242" s="81"/>
      <c r="K242" s="29"/>
      <c r="L242" s="29"/>
      <c r="M242" s="29"/>
      <c r="N242" s="29"/>
      <c r="O242" s="90"/>
      <c r="P242" s="90"/>
      <c r="Q242" s="98"/>
      <c r="R242" s="106"/>
      <c r="S242" s="10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</row>
    <row r="243" spans="1:45">
      <c r="B243" s="10"/>
      <c r="C243" s="19"/>
      <c r="D243" s="81"/>
      <c r="E243" s="81"/>
      <c r="F243" s="29"/>
      <c r="G243" s="81"/>
      <c r="H243" s="26"/>
      <c r="I243" s="81"/>
      <c r="J243" s="81"/>
      <c r="K243" s="29"/>
      <c r="L243" s="29"/>
      <c r="M243" s="29"/>
      <c r="N243" s="29"/>
      <c r="O243" s="90"/>
      <c r="P243" s="90"/>
      <c r="Q243" s="98"/>
      <c r="R243" s="106"/>
      <c r="S243" s="10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</row>
    <row r="244" spans="1:45">
      <c r="B244" s="10"/>
      <c r="C244" s="19"/>
      <c r="D244" s="81"/>
      <c r="E244" s="81"/>
      <c r="F244" s="29"/>
      <c r="G244" s="81"/>
      <c r="H244" s="26"/>
      <c r="I244" s="81"/>
      <c r="J244" s="81"/>
      <c r="K244" s="29"/>
      <c r="L244" s="29"/>
      <c r="M244" s="29"/>
      <c r="N244" s="29"/>
      <c r="O244" s="90"/>
      <c r="P244" s="90"/>
      <c r="Q244" s="98"/>
      <c r="R244" s="106"/>
      <c r="S244" s="10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</row>
    <row r="245" spans="1:45">
      <c r="B245" s="10"/>
      <c r="C245" s="25"/>
      <c r="D245" s="81"/>
      <c r="E245" s="81"/>
      <c r="F245" s="29"/>
      <c r="G245" s="81"/>
      <c r="H245" s="26"/>
      <c r="I245" s="81"/>
      <c r="J245" s="81"/>
      <c r="K245" s="29"/>
      <c r="L245" s="29"/>
      <c r="M245" s="29"/>
      <c r="N245" s="29"/>
      <c r="O245" s="90"/>
      <c r="P245" s="90"/>
      <c r="Q245" s="98"/>
      <c r="R245" s="106"/>
      <c r="S245" s="10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</row>
    <row r="246" spans="1:45">
      <c r="B246" s="10"/>
      <c r="C246" s="19"/>
      <c r="D246" s="81"/>
      <c r="E246" s="81"/>
      <c r="F246" s="83"/>
      <c r="G246" s="81"/>
      <c r="H246" s="26"/>
      <c r="I246" s="81"/>
      <c r="J246" s="81"/>
      <c r="K246" s="29"/>
      <c r="L246" s="29"/>
      <c r="M246" s="29"/>
      <c r="N246" s="29"/>
      <c r="O246" s="29"/>
      <c r="P246" s="29"/>
      <c r="Q246" s="26"/>
      <c r="R246" s="106"/>
      <c r="S246" s="10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</row>
    <row r="247" spans="1:45" ht="13.5" customHeight="1">
      <c r="B247" s="30"/>
      <c r="C247" s="31"/>
      <c r="D247" s="82"/>
      <c r="E247" s="82"/>
      <c r="F247" s="33"/>
      <c r="G247" s="82"/>
      <c r="H247" s="32"/>
      <c r="I247" s="82"/>
      <c r="J247" s="82"/>
      <c r="K247" s="33"/>
      <c r="L247" s="33"/>
      <c r="M247" s="33"/>
      <c r="N247" s="33"/>
      <c r="O247" s="33"/>
      <c r="P247" s="33"/>
      <c r="Q247" s="32"/>
      <c r="R247" s="106"/>
      <c r="S247" s="30"/>
      <c r="T247" s="3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</row>
    <row r="248" spans="1:45">
      <c r="B248" s="16"/>
      <c r="C248" s="91"/>
      <c r="D248" s="82"/>
      <c r="E248" s="82"/>
      <c r="F248" s="33"/>
      <c r="G248" s="82"/>
      <c r="H248" s="32"/>
      <c r="I248" s="82"/>
      <c r="J248" s="82"/>
      <c r="K248" s="33"/>
      <c r="L248" s="33"/>
      <c r="M248" s="33"/>
      <c r="N248" s="33"/>
      <c r="O248" s="33"/>
      <c r="P248" s="33"/>
      <c r="Q248" s="32"/>
      <c r="R248" s="106"/>
      <c r="S248" s="30"/>
      <c r="T248" s="3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</row>
    <row r="249" spans="1:45">
      <c r="B249" s="35"/>
      <c r="C249" s="31"/>
      <c r="D249" s="82"/>
      <c r="E249" s="82"/>
      <c r="F249" s="33"/>
      <c r="G249" s="82"/>
      <c r="H249" s="32"/>
      <c r="I249" s="82"/>
      <c r="J249" s="82"/>
      <c r="K249" s="33"/>
      <c r="L249" s="33"/>
      <c r="M249" s="33"/>
      <c r="N249" s="33"/>
      <c r="O249" s="33"/>
      <c r="P249" s="33"/>
      <c r="Q249" s="32"/>
      <c r="R249" s="106"/>
      <c r="S249" s="30"/>
      <c r="T249" s="3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</row>
    <row r="250" spans="1:45">
      <c r="B250" s="28"/>
      <c r="C250" s="91"/>
      <c r="D250" s="82"/>
      <c r="E250" s="82"/>
      <c r="F250" s="33"/>
      <c r="G250" s="82"/>
      <c r="H250" s="32"/>
      <c r="I250" s="82"/>
      <c r="J250" s="82"/>
      <c r="K250" s="33"/>
      <c r="L250" s="33"/>
      <c r="M250" s="33"/>
      <c r="N250" s="33"/>
      <c r="O250" s="33"/>
      <c r="P250" s="33"/>
      <c r="Q250" s="32"/>
      <c r="R250" s="106"/>
      <c r="S250" s="30"/>
      <c r="T250" s="3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</row>
    <row r="251" spans="1:45">
      <c r="B251" s="15"/>
      <c r="C251" s="92"/>
      <c r="D251" s="88"/>
      <c r="E251" s="88"/>
      <c r="F251" s="87"/>
      <c r="G251" s="88"/>
      <c r="H251" s="98"/>
      <c r="I251" s="88"/>
      <c r="J251" s="88"/>
      <c r="K251" s="87"/>
      <c r="L251" s="87"/>
      <c r="M251" s="87"/>
      <c r="N251" s="87"/>
      <c r="O251" s="87"/>
      <c r="P251" s="87"/>
      <c r="Q251" s="86"/>
      <c r="R251" s="106"/>
      <c r="S251" s="36"/>
      <c r="T251" s="3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</row>
    <row r="252" spans="1:45" ht="13.5" customHeight="1">
      <c r="B252" s="15"/>
      <c r="C252" s="85"/>
      <c r="D252" s="88"/>
      <c r="E252" s="88"/>
      <c r="F252" s="87"/>
      <c r="G252" s="88"/>
      <c r="H252" s="86"/>
      <c r="I252" s="88"/>
      <c r="J252" s="88"/>
      <c r="K252" s="87"/>
      <c r="L252" s="87"/>
      <c r="M252" s="87"/>
      <c r="N252" s="87"/>
      <c r="O252" s="87"/>
      <c r="P252" s="87"/>
      <c r="Q252" s="86"/>
      <c r="R252" s="106"/>
      <c r="S252" s="36"/>
      <c r="T252" s="3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</row>
    <row r="253" spans="1:45" ht="12" customHeight="1">
      <c r="B253" s="15"/>
      <c r="C253" s="85"/>
      <c r="D253" s="88"/>
      <c r="E253" s="88"/>
      <c r="F253" s="87"/>
      <c r="G253" s="88"/>
      <c r="H253" s="86"/>
      <c r="I253" s="88"/>
      <c r="J253" s="88"/>
      <c r="K253" s="87"/>
      <c r="L253" s="87"/>
      <c r="M253" s="87"/>
      <c r="N253" s="87"/>
      <c r="O253" s="87"/>
      <c r="P253" s="87"/>
      <c r="Q253" s="86"/>
      <c r="R253" s="107"/>
      <c r="S253" s="36"/>
      <c r="T253" s="3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</row>
    <row r="254" spans="1:45" s="2" customFormat="1" ht="12" customHeight="1">
      <c r="A254" s="37"/>
      <c r="B254" s="38"/>
      <c r="C254" s="89"/>
      <c r="D254" s="88"/>
      <c r="E254" s="88"/>
      <c r="F254" s="87"/>
      <c r="G254" s="88"/>
      <c r="H254" s="94"/>
      <c r="I254" s="88"/>
      <c r="J254" s="88"/>
      <c r="K254" s="87"/>
      <c r="L254" s="93"/>
      <c r="M254" s="87"/>
      <c r="N254" s="93"/>
      <c r="O254" s="87"/>
      <c r="P254" s="87"/>
      <c r="Q254" s="86"/>
      <c r="R254" s="107"/>
      <c r="S254" s="39"/>
      <c r="T254" s="39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</row>
    <row r="255" spans="1:45" s="2" customFormat="1" ht="11.25" customHeight="1">
      <c r="A255" s="37"/>
      <c r="B255" s="38"/>
      <c r="C255" s="89"/>
      <c r="D255" s="88"/>
      <c r="E255" s="88"/>
      <c r="F255" s="87"/>
      <c r="G255" s="88"/>
      <c r="H255" s="94"/>
      <c r="I255" s="88"/>
      <c r="J255" s="88"/>
      <c r="K255" s="87"/>
      <c r="L255" s="87"/>
      <c r="M255" s="87"/>
      <c r="N255" s="87"/>
      <c r="O255" s="87"/>
      <c r="P255" s="87"/>
      <c r="Q255" s="86"/>
      <c r="R255" s="107"/>
      <c r="S255" s="39"/>
      <c r="T255" s="39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</row>
    <row r="256" spans="1:45" s="2" customFormat="1" ht="11.25" customHeight="1">
      <c r="A256" s="37"/>
      <c r="B256" s="38"/>
      <c r="C256" s="89"/>
      <c r="D256" s="88"/>
      <c r="E256" s="88"/>
      <c r="F256" s="87"/>
      <c r="G256" s="88"/>
      <c r="H256" s="86"/>
      <c r="I256" s="88"/>
      <c r="J256" s="88"/>
      <c r="K256" s="87"/>
      <c r="L256" s="87"/>
      <c r="M256" s="87"/>
      <c r="N256" s="93"/>
      <c r="O256" s="87"/>
      <c r="P256" s="87"/>
      <c r="Q256" s="86"/>
      <c r="R256" s="107"/>
      <c r="S256" s="39"/>
      <c r="T256" s="39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</row>
    <row r="257" spans="1:45" s="2" customFormat="1" ht="11.25" customHeight="1">
      <c r="A257" s="37"/>
      <c r="B257" s="38"/>
      <c r="C257" s="89"/>
      <c r="D257" s="88"/>
      <c r="E257" s="99"/>
      <c r="F257" s="93"/>
      <c r="G257" s="99"/>
      <c r="H257" s="86"/>
      <c r="I257" s="88"/>
      <c r="J257" s="88"/>
      <c r="K257" s="93"/>
      <c r="L257" s="87"/>
      <c r="M257" s="87"/>
      <c r="N257" s="93"/>
      <c r="O257" s="87"/>
      <c r="P257" s="87"/>
      <c r="Q257" s="86"/>
      <c r="R257" s="107"/>
      <c r="S257" s="39"/>
      <c r="T257" s="39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</row>
    <row r="258" spans="1:45">
      <c r="B258" s="16"/>
      <c r="C258" s="89"/>
      <c r="D258" s="88"/>
      <c r="E258" s="88"/>
      <c r="F258" s="87"/>
      <c r="G258" s="88"/>
      <c r="H258" s="86"/>
      <c r="I258" s="88"/>
      <c r="J258" s="88"/>
      <c r="K258" s="87"/>
      <c r="L258" s="87"/>
      <c r="M258" s="87"/>
      <c r="N258" s="87"/>
      <c r="O258" s="23"/>
      <c r="P258" s="23"/>
      <c r="Q258" s="730"/>
      <c r="R258" s="105"/>
      <c r="S258" s="36"/>
      <c r="T258" s="3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</row>
    <row r="259" spans="1:45">
      <c r="B259" s="24"/>
      <c r="C259" s="95"/>
      <c r="D259" s="88"/>
      <c r="E259" s="88"/>
      <c r="F259" s="87"/>
      <c r="G259" s="100"/>
      <c r="H259" s="86"/>
      <c r="I259" s="88"/>
      <c r="J259" s="88"/>
      <c r="K259" s="87"/>
      <c r="L259" s="87"/>
      <c r="M259" s="87"/>
      <c r="N259" s="87"/>
      <c r="O259" s="96"/>
      <c r="P259" s="96"/>
      <c r="Q259" s="731"/>
      <c r="R259" s="105"/>
      <c r="S259" s="36"/>
      <c r="T259" s="3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</row>
    <row r="260" spans="1:45">
      <c r="B260" s="24"/>
      <c r="C260" s="95"/>
      <c r="D260" s="88"/>
      <c r="E260" s="88"/>
      <c r="F260" s="87"/>
      <c r="G260" s="100"/>
      <c r="H260" s="86"/>
      <c r="I260" s="88"/>
      <c r="J260" s="88"/>
      <c r="K260" s="87"/>
      <c r="L260" s="87"/>
      <c r="M260" s="87"/>
      <c r="N260" s="87"/>
      <c r="O260" s="96"/>
      <c r="P260" s="96"/>
      <c r="Q260" s="731"/>
      <c r="R260" s="105"/>
      <c r="S260" s="36"/>
      <c r="T260" s="3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</row>
    <row r="261" spans="1:45">
      <c r="B261" s="24"/>
      <c r="C261" s="95"/>
      <c r="D261" s="88"/>
      <c r="E261" s="88"/>
      <c r="F261" s="87"/>
      <c r="G261" s="100"/>
      <c r="H261" s="86"/>
      <c r="I261" s="88"/>
      <c r="J261" s="88"/>
      <c r="K261" s="87"/>
      <c r="L261" s="87"/>
      <c r="M261" s="87"/>
      <c r="N261" s="87"/>
      <c r="O261" s="96"/>
      <c r="P261" s="96"/>
      <c r="Q261" s="731"/>
      <c r="R261" s="105"/>
      <c r="S261" s="36"/>
      <c r="T261" s="3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</row>
    <row r="262" spans="1:45">
      <c r="B262" s="24"/>
      <c r="C262" s="95"/>
      <c r="D262" s="88"/>
      <c r="E262" s="88"/>
      <c r="F262" s="87"/>
      <c r="G262" s="100"/>
      <c r="H262" s="86"/>
      <c r="I262" s="88"/>
      <c r="J262" s="88"/>
      <c r="K262" s="87"/>
      <c r="L262" s="87"/>
      <c r="M262" s="87"/>
      <c r="N262" s="87"/>
      <c r="O262" s="96"/>
      <c r="P262" s="96"/>
      <c r="Q262" s="731"/>
      <c r="R262" s="105"/>
      <c r="S262" s="36"/>
      <c r="T262" s="3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</row>
    <row r="263" spans="1:45">
      <c r="B263" s="24"/>
      <c r="C263" s="95"/>
      <c r="D263" s="88"/>
      <c r="E263" s="88"/>
      <c r="F263" s="87"/>
      <c r="G263" s="100"/>
      <c r="H263" s="86"/>
      <c r="I263" s="88"/>
      <c r="J263" s="88"/>
      <c r="K263" s="87"/>
      <c r="L263" s="87"/>
      <c r="M263" s="87"/>
      <c r="N263" s="87"/>
      <c r="O263" s="96"/>
      <c r="P263" s="96"/>
      <c r="Q263" s="731"/>
      <c r="R263" s="105"/>
      <c r="S263" s="36"/>
      <c r="T263" s="3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</row>
    <row r="264" spans="1:45">
      <c r="B264" s="24"/>
      <c r="C264" s="95"/>
      <c r="D264" s="88"/>
      <c r="E264" s="88"/>
      <c r="F264" s="87"/>
      <c r="G264" s="100"/>
      <c r="H264" s="86"/>
      <c r="I264" s="88"/>
      <c r="J264" s="88"/>
      <c r="K264" s="87"/>
      <c r="L264" s="87"/>
      <c r="M264" s="87"/>
      <c r="N264" s="87"/>
      <c r="O264" s="96"/>
      <c r="P264" s="96"/>
      <c r="Q264" s="731"/>
      <c r="R264" s="105"/>
      <c r="S264" s="36"/>
      <c r="T264" s="3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</row>
    <row r="265" spans="1:45">
      <c r="B265" s="24"/>
      <c r="C265" s="95"/>
      <c r="D265" s="88"/>
      <c r="E265" s="88"/>
      <c r="F265" s="87"/>
      <c r="G265" s="100"/>
      <c r="H265" s="86"/>
      <c r="I265" s="88"/>
      <c r="J265" s="88"/>
      <c r="K265" s="87"/>
      <c r="L265" s="87"/>
      <c r="M265" s="87"/>
      <c r="N265" s="87"/>
      <c r="O265" s="96"/>
      <c r="P265" s="96"/>
      <c r="Q265" s="731"/>
      <c r="R265" s="105"/>
      <c r="S265" s="36"/>
      <c r="T265" s="3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</row>
    <row r="266" spans="1:45">
      <c r="B266" s="24"/>
      <c r="C266" s="95"/>
      <c r="D266" s="88"/>
      <c r="E266" s="88"/>
      <c r="F266" s="87"/>
      <c r="G266" s="100"/>
      <c r="H266" s="86"/>
      <c r="I266" s="88"/>
      <c r="J266" s="88"/>
      <c r="K266" s="87"/>
      <c r="L266" s="87"/>
      <c r="M266" s="87"/>
      <c r="N266" s="87"/>
      <c r="O266" s="96"/>
      <c r="P266" s="96"/>
      <c r="Q266" s="731"/>
      <c r="R266" s="105"/>
      <c r="S266" s="36"/>
      <c r="T266" s="3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</row>
    <row r="267" spans="1:45">
      <c r="B267" s="24"/>
      <c r="C267" s="95"/>
      <c r="D267" s="88"/>
      <c r="E267" s="88"/>
      <c r="F267" s="87"/>
      <c r="G267" s="100"/>
      <c r="H267" s="86"/>
      <c r="I267" s="88"/>
      <c r="J267" s="88"/>
      <c r="K267" s="87"/>
      <c r="L267" s="87"/>
      <c r="M267" s="87"/>
      <c r="N267" s="87"/>
      <c r="O267" s="96"/>
      <c r="P267" s="96"/>
      <c r="Q267" s="731"/>
      <c r="R267" s="105"/>
      <c r="S267" s="36"/>
      <c r="T267" s="3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</row>
    <row r="268" spans="1:45">
      <c r="B268" s="24"/>
      <c r="C268" s="95"/>
      <c r="D268" s="88"/>
      <c r="E268" s="88"/>
      <c r="F268" s="87"/>
      <c r="G268" s="100"/>
      <c r="H268" s="86"/>
      <c r="I268" s="88"/>
      <c r="J268" s="88"/>
      <c r="K268" s="87"/>
      <c r="L268" s="87"/>
      <c r="M268" s="87"/>
      <c r="N268" s="87"/>
      <c r="O268" s="96"/>
      <c r="P268" s="96"/>
      <c r="Q268" s="731"/>
      <c r="R268" s="105"/>
      <c r="S268" s="36"/>
      <c r="T268" s="3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</row>
    <row r="269" spans="1:45">
      <c r="B269" s="24"/>
      <c r="C269" s="95"/>
      <c r="D269" s="88"/>
      <c r="E269" s="88"/>
      <c r="F269" s="87"/>
      <c r="G269" s="100"/>
      <c r="H269" s="86"/>
      <c r="I269" s="88"/>
      <c r="J269" s="88"/>
      <c r="K269" s="87"/>
      <c r="L269" s="87"/>
      <c r="M269" s="87"/>
      <c r="N269" s="87"/>
      <c r="O269" s="96"/>
      <c r="P269" s="96"/>
      <c r="Q269" s="731"/>
      <c r="R269" s="105"/>
      <c r="S269" s="36"/>
      <c r="T269" s="3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</row>
    <row r="270" spans="1:45">
      <c r="B270" s="24"/>
      <c r="C270" s="95"/>
      <c r="D270" s="88"/>
      <c r="E270" s="88"/>
      <c r="F270" s="87"/>
      <c r="G270" s="100"/>
      <c r="H270" s="86"/>
      <c r="I270" s="88"/>
      <c r="J270" s="88"/>
      <c r="K270" s="87"/>
      <c r="L270" s="87"/>
      <c r="M270" s="87"/>
      <c r="N270" s="87"/>
      <c r="O270" s="96"/>
      <c r="P270" s="96"/>
      <c r="Q270" s="731"/>
      <c r="R270" s="105"/>
      <c r="S270" s="36"/>
      <c r="T270" s="3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</row>
    <row r="271" spans="1:45">
      <c r="B271" s="24"/>
      <c r="C271" s="95"/>
      <c r="D271" s="88"/>
      <c r="E271" s="88"/>
      <c r="F271" s="87"/>
      <c r="G271" s="100"/>
      <c r="H271" s="86"/>
      <c r="I271" s="88"/>
      <c r="J271" s="88"/>
      <c r="K271" s="87"/>
      <c r="L271" s="87"/>
      <c r="M271" s="87"/>
      <c r="N271" s="87"/>
      <c r="O271" s="96"/>
      <c r="P271" s="96"/>
      <c r="Q271" s="731"/>
      <c r="R271" s="105"/>
      <c r="S271" s="36"/>
      <c r="T271" s="3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</row>
    <row r="272" spans="1:45">
      <c r="B272" s="16"/>
      <c r="C272" s="89"/>
      <c r="D272" s="88"/>
      <c r="E272" s="88"/>
      <c r="F272" s="87"/>
      <c r="G272" s="88"/>
      <c r="H272" s="86"/>
      <c r="I272" s="88"/>
      <c r="J272" s="88"/>
      <c r="K272" s="87"/>
      <c r="L272" s="87"/>
      <c r="M272" s="87"/>
      <c r="N272" s="87"/>
      <c r="O272" s="23"/>
      <c r="P272" s="23"/>
      <c r="Q272" s="730"/>
      <c r="R272" s="105"/>
      <c r="S272" s="36"/>
      <c r="T272" s="3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</row>
    <row r="273" spans="2:45">
      <c r="B273" s="16"/>
      <c r="C273" s="89"/>
      <c r="D273" s="88"/>
      <c r="E273" s="88"/>
      <c r="F273" s="87"/>
      <c r="G273" s="88"/>
      <c r="H273" s="86"/>
      <c r="I273" s="88"/>
      <c r="J273" s="88"/>
      <c r="K273" s="87"/>
      <c r="L273" s="87"/>
      <c r="M273" s="87"/>
      <c r="N273" s="87"/>
      <c r="O273" s="23"/>
      <c r="P273" s="23"/>
      <c r="Q273" s="730"/>
      <c r="R273" s="105"/>
      <c r="S273" s="36"/>
      <c r="T273" s="3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</row>
    <row r="274" spans="2:45">
      <c r="B274" s="24"/>
      <c r="C274" s="89"/>
      <c r="D274" s="88"/>
      <c r="E274" s="88"/>
      <c r="F274" s="87"/>
      <c r="G274" s="100"/>
      <c r="H274" s="86"/>
      <c r="I274" s="88"/>
      <c r="J274" s="88"/>
      <c r="K274" s="87"/>
      <c r="L274" s="87"/>
      <c r="M274" s="87"/>
      <c r="N274" s="87"/>
      <c r="O274" s="96"/>
      <c r="P274" s="96"/>
      <c r="Q274" s="731"/>
      <c r="R274" s="106"/>
      <c r="S274" s="36"/>
      <c r="T274" s="3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</row>
    <row r="275" spans="2:45">
      <c r="B275" s="15"/>
      <c r="C275" s="89"/>
      <c r="D275" s="88"/>
      <c r="E275" s="88"/>
      <c r="F275" s="87"/>
      <c r="G275" s="100"/>
      <c r="H275" s="86"/>
      <c r="I275" s="88"/>
      <c r="J275" s="88"/>
      <c r="K275" s="87"/>
      <c r="L275" s="87"/>
      <c r="M275" s="87"/>
      <c r="N275" s="87"/>
      <c r="O275" s="96"/>
      <c r="P275" s="96"/>
      <c r="Q275" s="731"/>
      <c r="R275" s="106"/>
      <c r="S275" s="36"/>
      <c r="T275" s="3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</row>
    <row r="276" spans="2:45">
      <c r="B276" s="28"/>
      <c r="C276" s="91"/>
      <c r="D276" s="82"/>
      <c r="E276" s="82"/>
      <c r="F276" s="33"/>
      <c r="G276" s="82"/>
      <c r="H276" s="32"/>
      <c r="I276" s="82"/>
      <c r="J276" s="82"/>
      <c r="K276" s="33"/>
      <c r="L276" s="33"/>
      <c r="M276" s="33"/>
      <c r="N276" s="33"/>
      <c r="O276" s="33"/>
      <c r="P276" s="33"/>
      <c r="Q276" s="32"/>
      <c r="R276" s="107"/>
      <c r="S276" s="36"/>
      <c r="T276" s="3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</row>
    <row r="277" spans="2:45" ht="13.5">
      <c r="B277" s="28"/>
      <c r="C277" s="97"/>
      <c r="D277" s="82"/>
      <c r="E277" s="82"/>
      <c r="F277" s="33"/>
      <c r="G277" s="82"/>
      <c r="H277" s="32"/>
      <c r="I277" s="82"/>
      <c r="J277" s="82"/>
      <c r="K277" s="33"/>
      <c r="L277" s="33"/>
      <c r="M277" s="33"/>
      <c r="N277" s="33"/>
      <c r="O277" s="33"/>
      <c r="P277" s="33"/>
      <c r="Q277" s="32"/>
      <c r="R277" s="107"/>
      <c r="S277" s="36"/>
      <c r="T277" s="3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</row>
    <row r="278" spans="2:45">
      <c r="B278" s="28"/>
      <c r="C278" s="91"/>
      <c r="D278" s="82"/>
      <c r="E278" s="82"/>
      <c r="F278" s="33"/>
      <c r="G278" s="82"/>
      <c r="H278" s="32"/>
      <c r="I278" s="82"/>
      <c r="J278" s="82"/>
      <c r="K278" s="33"/>
      <c r="L278" s="33"/>
      <c r="M278" s="33"/>
      <c r="N278" s="33"/>
      <c r="O278" s="33"/>
      <c r="P278" s="33"/>
      <c r="Q278" s="32"/>
      <c r="R278" s="107"/>
      <c r="S278" s="36"/>
      <c r="T278" s="3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</row>
    <row r="279" spans="2:45">
      <c r="B279" s="28"/>
      <c r="C279" s="91"/>
      <c r="D279" s="82"/>
      <c r="E279" s="82"/>
      <c r="F279" s="33"/>
      <c r="G279" s="82"/>
      <c r="H279" s="32"/>
      <c r="I279" s="82"/>
      <c r="J279" s="82"/>
      <c r="K279" s="33"/>
      <c r="L279" s="33"/>
      <c r="M279" s="33"/>
      <c r="N279" s="33"/>
      <c r="O279" s="33"/>
      <c r="P279" s="33"/>
      <c r="Q279" s="32"/>
      <c r="R279" s="107"/>
      <c r="S279" s="36"/>
      <c r="T279" s="3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</row>
    <row r="280" spans="2:45">
      <c r="B280" s="28"/>
      <c r="C280" s="91"/>
      <c r="D280" s="82"/>
      <c r="E280" s="82"/>
      <c r="F280" s="33"/>
      <c r="G280" s="82"/>
      <c r="H280" s="32"/>
      <c r="I280" s="82"/>
      <c r="J280" s="82"/>
      <c r="K280" s="33"/>
      <c r="L280" s="33"/>
      <c r="M280" s="33"/>
      <c r="N280" s="33"/>
      <c r="O280" s="33"/>
      <c r="P280" s="33"/>
      <c r="Q280" s="32"/>
      <c r="R280" s="107"/>
      <c r="S280" s="36"/>
      <c r="T280" s="3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</row>
    <row r="281" spans="2:45">
      <c r="B281" s="28"/>
      <c r="C281" s="91"/>
      <c r="D281" s="82"/>
      <c r="E281" s="82"/>
      <c r="F281" s="33"/>
      <c r="G281" s="82"/>
      <c r="H281" s="32"/>
      <c r="I281" s="82"/>
      <c r="J281" s="82"/>
      <c r="K281" s="33"/>
      <c r="L281" s="33"/>
      <c r="M281" s="33"/>
      <c r="N281" s="33"/>
      <c r="O281" s="33"/>
      <c r="P281" s="33"/>
      <c r="Q281" s="32"/>
      <c r="R281" s="107"/>
      <c r="S281" s="36"/>
      <c r="T281" s="3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</row>
    <row r="282" spans="2:45">
      <c r="B282" s="10"/>
      <c r="C282" s="91"/>
      <c r="D282" s="82"/>
      <c r="E282" s="82"/>
      <c r="F282" s="33"/>
      <c r="G282" s="82"/>
      <c r="H282" s="32"/>
      <c r="I282" s="82"/>
      <c r="J282" s="82"/>
      <c r="K282" s="33"/>
      <c r="L282" s="33"/>
      <c r="M282" s="33"/>
      <c r="N282" s="33"/>
      <c r="O282" s="33"/>
      <c r="P282" s="33"/>
      <c r="Q282" s="32"/>
      <c r="R282" s="107"/>
      <c r="S282" s="36"/>
      <c r="T282" s="3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</row>
    <row r="283" spans="2:45">
      <c r="B283" s="28"/>
      <c r="C283" s="91"/>
      <c r="D283" s="82"/>
      <c r="E283" s="82"/>
      <c r="F283" s="33"/>
      <c r="G283" s="82"/>
      <c r="H283" s="32"/>
      <c r="I283" s="82"/>
      <c r="J283" s="82"/>
      <c r="K283" s="33"/>
      <c r="L283" s="33"/>
      <c r="M283" s="33"/>
      <c r="N283" s="33"/>
      <c r="O283" s="33"/>
      <c r="P283" s="33"/>
      <c r="Q283" s="32"/>
      <c r="R283" s="107"/>
      <c r="S283" s="36"/>
      <c r="T283" s="3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</row>
    <row r="284" spans="2:45">
      <c r="B284" s="28"/>
      <c r="C284" s="91"/>
      <c r="D284" s="82"/>
      <c r="E284" s="82"/>
      <c r="F284" s="33"/>
      <c r="G284" s="82"/>
      <c r="H284" s="32"/>
      <c r="I284" s="82"/>
      <c r="J284" s="82"/>
      <c r="K284" s="33"/>
      <c r="L284" s="33"/>
      <c r="M284" s="33"/>
      <c r="N284" s="33"/>
      <c r="O284" s="33"/>
      <c r="P284" s="33"/>
      <c r="Q284" s="32"/>
      <c r="R284" s="107"/>
      <c r="S284" s="36"/>
      <c r="T284" s="3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</row>
    <row r="285" spans="2:45">
      <c r="B285" s="28"/>
      <c r="C285" s="91"/>
      <c r="D285" s="82"/>
      <c r="E285" s="82"/>
      <c r="F285" s="33"/>
      <c r="G285" s="82"/>
      <c r="H285" s="32"/>
      <c r="I285" s="82"/>
      <c r="J285" s="82"/>
      <c r="K285" s="33"/>
      <c r="L285" s="33"/>
      <c r="M285" s="33"/>
      <c r="N285" s="33"/>
      <c r="O285" s="33"/>
      <c r="P285" s="33"/>
      <c r="Q285" s="32"/>
      <c r="R285" s="107"/>
      <c r="S285" s="36"/>
      <c r="T285" s="3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</row>
    <row r="286" spans="2:45">
      <c r="B286" s="28"/>
      <c r="C286" s="91"/>
      <c r="D286" s="82"/>
      <c r="E286" s="82"/>
      <c r="F286" s="33"/>
      <c r="G286" s="82"/>
      <c r="H286" s="32"/>
      <c r="I286" s="82"/>
      <c r="J286" s="82"/>
      <c r="K286" s="33"/>
      <c r="L286" s="33"/>
      <c r="M286" s="33"/>
      <c r="N286" s="33"/>
      <c r="O286" s="33"/>
      <c r="P286" s="33"/>
      <c r="Q286" s="32"/>
      <c r="R286" s="107"/>
      <c r="S286" s="36"/>
      <c r="T286" s="3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</row>
    <row r="287" spans="2:45">
      <c r="B287" s="28"/>
      <c r="C287" s="91"/>
      <c r="D287" s="82"/>
      <c r="E287" s="82"/>
      <c r="F287" s="33"/>
      <c r="G287" s="82"/>
      <c r="H287" s="32"/>
      <c r="I287" s="82"/>
      <c r="J287" s="82"/>
      <c r="K287" s="33"/>
      <c r="L287" s="33"/>
      <c r="M287" s="33"/>
      <c r="N287" s="33"/>
      <c r="O287" s="33"/>
      <c r="P287" s="33"/>
      <c r="Q287" s="32"/>
      <c r="R287" s="107"/>
      <c r="S287" s="36"/>
      <c r="T287" s="3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</row>
  </sheetData>
  <sheetProtection algorithmName="SHA-512" hashValue="keXqQUAIdeokS+NjLDUpO10gwPFpBZ6Eagr3cicMlyTzy9RN6nXCKUhLxiWp/srG6lvuWiM1D+YvGRQ6zz0/gg==" saltValue="qNfIYAm3YvHLHNVapKk4rA==" spinCount="100000" sheet="1" objects="1" scenarios="1"/>
  <phoneticPr fontId="155" type="noConversion"/>
  <conditionalFormatting sqref="Z7 S7:T8 F32:F42 F78:F97 F100:F109 F134:F143 F146:F165 F168:F177 F180:F199 F202:F211 F10:F29 F44:F63 F66:F76 F112:F131">
    <cfRule type="cellIs" priority="57" stopIfTrue="1" operator="between">
      <formula>0.000000001</formula>
      <formula>100000000</formula>
    </cfRule>
  </conditionalFormatting>
  <conditionalFormatting sqref="D43:N43 G10:N17 D9:N9 D7:I8 O9:O17 L7:O8 R7:R8 D77:O77 O41:O43 G41:N42 D10:E29 G18:O29 G32:N35 G36:O40 O30:O35 G44:O63 G66:O76 G78:O97 D78:E97 G100:O109 D100:E109 G112:O131 G134:O143 D134:E143 G146:O165 D146:E165 G168:O177 D168:E177 G180:O199 D180:E199 G202:O211 D202:E211 D1:R6 P9:R65608 D30:N31 D32:E42 D64:O65 D98:O99 D110:O111 D132:O133 D144:O145 D166:O167 D178:O179 D200:O201 D212:O65608 D44:E63 D66:E76 D112:E115 D131:E131 E116:E130 D116:D129">
    <cfRule type="cellIs" priority="58" stopIfTrue="1" operator="between">
      <formula>"0,000000001"</formula>
      <formula>100000000</formula>
    </cfRule>
  </conditionalFormatting>
  <conditionalFormatting sqref="V7:V8">
    <cfRule type="cellIs" priority="19" stopIfTrue="1" operator="between">
      <formula>"0,000000001"</formula>
      <formula>100000000</formula>
    </cfRule>
  </conditionalFormatting>
  <conditionalFormatting sqref="K7:K8">
    <cfRule type="cellIs" priority="18" stopIfTrue="1" operator="between">
      <formula>"0,000000001"</formula>
      <formula>100000000</formula>
    </cfRule>
  </conditionalFormatting>
  <conditionalFormatting sqref="J7:J8">
    <cfRule type="cellIs" priority="16" stopIfTrue="1" operator="between">
      <formula>"0,000000001"</formula>
      <formula>100000000</formula>
    </cfRule>
  </conditionalFormatting>
  <conditionalFormatting sqref="Q7:Q8">
    <cfRule type="cellIs" priority="14" stopIfTrue="1" operator="between">
      <formula>"0,000000001"</formula>
      <formula>100000000</formula>
    </cfRule>
  </conditionalFormatting>
  <conditionalFormatting sqref="P7">
    <cfRule type="cellIs" priority="2" stopIfTrue="1" operator="between">
      <formula>"0,000000001"</formula>
      <formula>100000000</formula>
    </cfRule>
  </conditionalFormatting>
  <conditionalFormatting sqref="P8">
    <cfRule type="cellIs" priority="1" stopIfTrue="1" operator="between">
      <formula>"0,000000001"</formula>
      <formula>100000000</formula>
    </cfRule>
  </conditionalFormatting>
  <pageMargins left="0.31496062992125984" right="0.23622047244094491" top="0.47244094488188981" bottom="0.35433070866141736" header="0.15748031496062992" footer="0.15748031496062992"/>
  <pageSetup paperSize="9" scale="90" orientation="landscape" r:id="rId1"/>
  <headerFooter alignWithMargins="0">
    <oddHeader>&amp;R&amp;8Utskriftsdatum: &amp;D 
Analyserande lab, gällande metoder och mätosäkerheter, se bilaga.</oddHeader>
    <oddFooter xml:space="preserve">&amp;L&amp;8Ekologigruppen Ekoplan AB
Stora Södergatan 8C, 222 23 Lund
Telefon: 046-106750&amp;C&amp;8sid 1(1)&amp;R&amp;"Arial,Kursiv"&amp;7Denna rapport får endast återges i sin helhet, om inte 
utfärdande laboratorium i färväg skriftligen godkänt annat.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94" r:id="rId4" name="Button 34">
              <controlPr locked="0" defaultSize="0" print="0" autoFill="0" autoPict="0" macro="[0]!NY_Sortering" altText="">
                <anchor moveWithCells="1" sizeWithCells="1">
                  <from>
                    <xdr:col>2</xdr:col>
                    <xdr:colOff>260350</xdr:colOff>
                    <xdr:row>0</xdr:row>
                    <xdr:rowOff>38100</xdr:rowOff>
                  </from>
                  <to>
                    <xdr:col>10</xdr:col>
                    <xdr:colOff>311150</xdr:colOff>
                    <xdr:row>0</xdr:row>
                    <xdr:rowOff>425450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00B0F0"/>
  </sheetPr>
  <dimension ref="A1:AT306"/>
  <sheetViews>
    <sheetView showRowColHeaders="0" zoomScaleNormal="100" workbookViewId="0">
      <pane xSplit="2" ySplit="4" topLeftCell="C99" activePane="bottomRight" state="frozen"/>
      <selection pane="topRight"/>
      <selection pane="bottomLeft"/>
      <selection pane="bottomRight"/>
    </sheetView>
  </sheetViews>
  <sheetFormatPr defaultColWidth="6.90625" defaultRowHeight="11.5"/>
  <cols>
    <col min="1" max="1" width="7" style="1" hidden="1" customWidth="1"/>
    <col min="2" max="2" width="39" style="3" customWidth="1"/>
    <col min="3" max="3" width="11.54296875" style="221" customWidth="1"/>
    <col min="4" max="4" width="6.36328125" style="78" customWidth="1"/>
    <col min="5" max="5" width="7" style="78" customWidth="1"/>
    <col min="6" max="6" width="5.453125" style="6" customWidth="1"/>
    <col min="7" max="7" width="6" style="78" customWidth="1"/>
    <col min="8" max="8" width="6" style="8" customWidth="1"/>
    <col min="9" max="9" width="5.90625" style="78" customWidth="1"/>
    <col min="10" max="10" width="6" style="78" customWidth="1"/>
    <col min="11" max="11" width="6.36328125" style="6" customWidth="1"/>
    <col min="12" max="12" width="6" style="6" customWidth="1"/>
    <col min="13" max="13" width="8.90625" style="6" customWidth="1"/>
    <col min="14" max="14" width="7" style="6" customWidth="1"/>
    <col min="15" max="16" width="6.54296875" style="6" customWidth="1"/>
    <col min="17" max="17" width="6.54296875" style="8" customWidth="1"/>
    <col min="18" max="18" width="24" style="104" customWidth="1"/>
    <col min="19" max="16384" width="6.90625" style="3"/>
  </cols>
  <sheetData>
    <row r="1" spans="1:46" s="388" customFormat="1" ht="132" customHeight="1">
      <c r="A1" s="389"/>
      <c r="B1" s="390" t="s">
        <v>403</v>
      </c>
      <c r="C1" s="391"/>
      <c r="D1" s="392"/>
      <c r="E1" s="392"/>
      <c r="F1" s="393"/>
      <c r="G1" s="392"/>
      <c r="H1" s="394"/>
      <c r="I1" s="392"/>
      <c r="J1" s="392"/>
      <c r="K1" s="393"/>
      <c r="L1" s="393"/>
      <c r="M1" s="393"/>
      <c r="N1" s="393"/>
      <c r="O1" s="393"/>
      <c r="P1" s="393"/>
      <c r="Q1" s="394"/>
      <c r="R1" s="395"/>
    </row>
    <row r="2" spans="1:46" s="388" customFormat="1" ht="26.25" customHeight="1">
      <c r="A2" s="389"/>
      <c r="C2" s="391"/>
      <c r="D2" s="396" t="s">
        <v>100</v>
      </c>
      <c r="E2" s="392"/>
      <c r="F2" s="393"/>
      <c r="G2" s="392"/>
      <c r="H2" s="394"/>
      <c r="I2" s="392"/>
      <c r="J2" s="392"/>
      <c r="K2" s="393"/>
      <c r="L2" s="393"/>
      <c r="M2" s="393"/>
      <c r="N2" s="393"/>
      <c r="O2" s="396"/>
      <c r="P2" s="396"/>
      <c r="Q2" s="726"/>
      <c r="R2" s="395"/>
    </row>
    <row r="3" spans="1:46" s="160" customFormat="1" ht="11.25" customHeight="1">
      <c r="A3" s="162" t="s">
        <v>2</v>
      </c>
      <c r="B3" s="181" t="s">
        <v>3</v>
      </c>
      <c r="C3" s="219" t="s">
        <v>4</v>
      </c>
      <c r="D3" s="183" t="s">
        <v>5</v>
      </c>
      <c r="E3" s="183" t="s">
        <v>7</v>
      </c>
      <c r="F3" s="184" t="s">
        <v>8</v>
      </c>
      <c r="G3" s="183" t="s">
        <v>6</v>
      </c>
      <c r="H3" s="183" t="s">
        <v>9</v>
      </c>
      <c r="I3" s="183" t="s">
        <v>116</v>
      </c>
      <c r="J3" s="183" t="s">
        <v>128</v>
      </c>
      <c r="K3" s="183" t="s">
        <v>102</v>
      </c>
      <c r="L3" s="183" t="s">
        <v>10</v>
      </c>
      <c r="M3" s="183" t="s">
        <v>129</v>
      </c>
      <c r="N3" s="183" t="s">
        <v>103</v>
      </c>
      <c r="O3" s="183" t="s">
        <v>11</v>
      </c>
      <c r="P3" s="183" t="s">
        <v>372</v>
      </c>
      <c r="Q3" s="183" t="s">
        <v>270</v>
      </c>
      <c r="R3" s="181" t="s">
        <v>13</v>
      </c>
    </row>
    <row r="4" spans="1:46" s="161" customFormat="1" ht="12">
      <c r="A4" s="163" t="s">
        <v>14</v>
      </c>
      <c r="B4" s="164" t="s">
        <v>15</v>
      </c>
      <c r="C4" s="220" t="s">
        <v>16</v>
      </c>
      <c r="D4" s="177" t="s">
        <v>17</v>
      </c>
      <c r="E4" s="177" t="s">
        <v>106</v>
      </c>
      <c r="F4" s="177" t="s">
        <v>114</v>
      </c>
      <c r="G4" s="177"/>
      <c r="H4" s="177" t="s">
        <v>104</v>
      </c>
      <c r="I4" s="177" t="s">
        <v>105</v>
      </c>
      <c r="J4" s="177" t="s">
        <v>106</v>
      </c>
      <c r="K4" s="177" t="s">
        <v>19</v>
      </c>
      <c r="L4" s="177" t="s">
        <v>19</v>
      </c>
      <c r="M4" s="177" t="s">
        <v>20</v>
      </c>
      <c r="N4" s="177" t="s">
        <v>20</v>
      </c>
      <c r="O4" s="177" t="s">
        <v>20</v>
      </c>
      <c r="P4" s="177" t="s">
        <v>19</v>
      </c>
      <c r="Q4" s="177" t="s">
        <v>271</v>
      </c>
      <c r="R4" s="165"/>
    </row>
    <row r="5" spans="1:46" s="388" customFormat="1" ht="17.25" customHeight="1">
      <c r="A5" s="381">
        <v>250</v>
      </c>
      <c r="B5" s="382" t="s">
        <v>96</v>
      </c>
      <c r="C5" s="413"/>
      <c r="D5" s="414"/>
      <c r="E5" s="414"/>
      <c r="F5" s="415"/>
      <c r="G5" s="414"/>
      <c r="H5" s="416"/>
      <c r="I5" s="417"/>
      <c r="J5" s="414"/>
      <c r="K5" s="415"/>
      <c r="L5" s="415"/>
      <c r="M5" s="415"/>
      <c r="N5" s="415"/>
      <c r="O5" s="415"/>
      <c r="P5" s="415"/>
      <c r="Q5" s="416"/>
      <c r="R5" s="418"/>
    </row>
    <row r="6" spans="1:46" s="102" customFormat="1" ht="12" customHeight="1">
      <c r="A6" s="118">
        <v>3</v>
      </c>
      <c r="B6" s="102" t="s">
        <v>252</v>
      </c>
      <c r="C6" s="266">
        <v>45671</v>
      </c>
      <c r="D6" s="192">
        <v>2.8</v>
      </c>
      <c r="E6" s="192">
        <v>13.79</v>
      </c>
      <c r="F6" s="214">
        <v>102</v>
      </c>
      <c r="G6" s="192">
        <v>8</v>
      </c>
      <c r="H6" s="192">
        <v>7.6</v>
      </c>
      <c r="I6" s="192">
        <v>45.8</v>
      </c>
      <c r="J6" s="194">
        <v>1.5</v>
      </c>
      <c r="K6" s="195">
        <v>42</v>
      </c>
      <c r="L6" s="195">
        <v>84</v>
      </c>
      <c r="M6" s="195">
        <v>4000</v>
      </c>
      <c r="N6" s="195">
        <v>53</v>
      </c>
      <c r="O6" s="195">
        <v>4500</v>
      </c>
      <c r="P6" s="195" t="s">
        <v>18</v>
      </c>
      <c r="Q6" s="192" t="str">
        <f>IF(Indata!Q10="","",Indata!Q10)</f>
        <v/>
      </c>
      <c r="R6" s="309" t="str">
        <f>IF(Indata!R10="","",Indata!R10)</f>
        <v/>
      </c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</row>
    <row r="7" spans="1:46" s="102" customFormat="1" ht="12" customHeight="1">
      <c r="A7" s="118">
        <v>5</v>
      </c>
      <c r="B7" s="102" t="s">
        <v>253</v>
      </c>
      <c r="C7" s="266">
        <v>45671</v>
      </c>
      <c r="D7" s="192">
        <v>1.8</v>
      </c>
      <c r="E7" s="192">
        <v>12.94</v>
      </c>
      <c r="F7" s="214">
        <v>93</v>
      </c>
      <c r="G7" s="192">
        <v>7.9</v>
      </c>
      <c r="H7" s="192">
        <v>6.8</v>
      </c>
      <c r="I7" s="192">
        <v>45</v>
      </c>
      <c r="J7" s="194">
        <v>1.4</v>
      </c>
      <c r="K7" s="195">
        <v>42</v>
      </c>
      <c r="L7" s="195">
        <v>92</v>
      </c>
      <c r="M7" s="195">
        <v>3200</v>
      </c>
      <c r="N7" s="195">
        <v>74</v>
      </c>
      <c r="O7" s="195">
        <v>4000</v>
      </c>
      <c r="P7" s="195" t="s">
        <v>18</v>
      </c>
      <c r="Q7" s="192" t="str">
        <f>IF(Indata!Q11="","",Indata!Q11)</f>
        <v/>
      </c>
      <c r="R7" s="309" t="str">
        <f>IF(Indata!R11="","",Indata!R11)</f>
        <v/>
      </c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  <c r="AS7" s="411"/>
      <c r="AT7" s="411"/>
    </row>
    <row r="8" spans="1:46" s="102" customFormat="1" ht="12" customHeight="1">
      <c r="A8" s="118">
        <v>6</v>
      </c>
      <c r="B8" s="102" t="s">
        <v>265</v>
      </c>
      <c r="C8" s="266">
        <v>45671</v>
      </c>
      <c r="D8" s="192">
        <v>2.2000000000000002</v>
      </c>
      <c r="E8" s="192">
        <v>13.14</v>
      </c>
      <c r="F8" s="214">
        <v>96</v>
      </c>
      <c r="G8" s="192">
        <v>7.9</v>
      </c>
      <c r="H8" s="192">
        <v>7.7</v>
      </c>
      <c r="I8" s="192">
        <v>43.7</v>
      </c>
      <c r="J8" s="194">
        <v>1.5</v>
      </c>
      <c r="K8" s="195">
        <v>40</v>
      </c>
      <c r="L8" s="195">
        <v>89</v>
      </c>
      <c r="M8" s="195">
        <v>2900</v>
      </c>
      <c r="N8" s="195">
        <v>91</v>
      </c>
      <c r="O8" s="195">
        <v>3500</v>
      </c>
      <c r="P8" s="195" t="s">
        <v>18</v>
      </c>
      <c r="Q8" s="192" t="str">
        <f>IF(Indata!Q12="","",Indata!Q12)</f>
        <v/>
      </c>
      <c r="R8" s="309" t="str">
        <f>IF(Indata!R12="","",Indata!R12)</f>
        <v/>
      </c>
      <c r="S8" s="411"/>
      <c r="T8" s="411"/>
      <c r="U8" s="411"/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11"/>
    </row>
    <row r="9" spans="1:46" s="102" customFormat="1" ht="12" customHeight="1">
      <c r="A9" s="118">
        <v>7</v>
      </c>
      <c r="B9" s="102" t="s">
        <v>254</v>
      </c>
      <c r="C9" s="266">
        <v>45671</v>
      </c>
      <c r="D9" s="192">
        <v>2.4</v>
      </c>
      <c r="E9" s="192">
        <v>13.24</v>
      </c>
      <c r="F9" s="214">
        <v>97</v>
      </c>
      <c r="G9" s="192">
        <v>8.1999999999999993</v>
      </c>
      <c r="H9" s="192">
        <v>5.7</v>
      </c>
      <c r="I9" s="192">
        <v>40.4</v>
      </c>
      <c r="J9" s="194">
        <v>1.4</v>
      </c>
      <c r="K9" s="195">
        <v>47</v>
      </c>
      <c r="L9" s="195">
        <v>78</v>
      </c>
      <c r="M9" s="195">
        <v>3100</v>
      </c>
      <c r="N9" s="195">
        <v>24</v>
      </c>
      <c r="O9" s="195">
        <v>3700</v>
      </c>
      <c r="P9" s="195" t="s">
        <v>18</v>
      </c>
      <c r="Q9" s="192" t="str">
        <f>IF(Indata!Q13="","",Indata!Q13)</f>
        <v/>
      </c>
      <c r="R9" s="309" t="str">
        <f>IF(Indata!R13="","",Indata!R13)</f>
        <v/>
      </c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</row>
    <row r="10" spans="1:46" s="102" customFormat="1" ht="12" customHeight="1">
      <c r="A10" s="118">
        <v>9</v>
      </c>
      <c r="B10" s="102" t="s">
        <v>255</v>
      </c>
      <c r="C10" s="266">
        <v>45670</v>
      </c>
      <c r="D10" s="192">
        <v>1.2</v>
      </c>
      <c r="E10" s="192">
        <v>14.28</v>
      </c>
      <c r="F10" s="214">
        <v>101</v>
      </c>
      <c r="G10" s="192">
        <v>8.1</v>
      </c>
      <c r="H10" s="192">
        <v>5.5</v>
      </c>
      <c r="I10" s="192">
        <v>46.4</v>
      </c>
      <c r="J10" s="194">
        <v>1.2</v>
      </c>
      <c r="K10" s="195">
        <v>37</v>
      </c>
      <c r="L10" s="195">
        <v>58</v>
      </c>
      <c r="M10" s="195">
        <v>8100</v>
      </c>
      <c r="N10" s="195">
        <v>19</v>
      </c>
      <c r="O10" s="195">
        <v>8200</v>
      </c>
      <c r="P10" s="195" t="s">
        <v>18</v>
      </c>
      <c r="Q10" s="192" t="str">
        <f>IF(Indata!Q14="","",Indata!Q14)</f>
        <v/>
      </c>
      <c r="R10" s="309" t="str">
        <f>IF(Indata!R14="","",Indata!R14)</f>
        <v/>
      </c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</row>
    <row r="11" spans="1:46" s="102" customFormat="1" ht="12" customHeight="1">
      <c r="A11" s="118">
        <v>11</v>
      </c>
      <c r="B11" s="102" t="s">
        <v>256</v>
      </c>
      <c r="C11" s="266">
        <v>45670</v>
      </c>
      <c r="D11" s="192">
        <v>0.2</v>
      </c>
      <c r="E11" s="192">
        <v>14.46</v>
      </c>
      <c r="F11" s="214">
        <v>99</v>
      </c>
      <c r="G11" s="192">
        <v>8</v>
      </c>
      <c r="H11" s="192">
        <v>8.9</v>
      </c>
      <c r="I11" s="192">
        <v>49.1</v>
      </c>
      <c r="J11" s="194">
        <v>1.6</v>
      </c>
      <c r="K11" s="195">
        <v>38</v>
      </c>
      <c r="L11" s="195">
        <v>71</v>
      </c>
      <c r="M11" s="195">
        <v>6700</v>
      </c>
      <c r="N11" s="195">
        <v>67</v>
      </c>
      <c r="O11" s="195">
        <v>6600</v>
      </c>
      <c r="P11" s="195" t="s">
        <v>18</v>
      </c>
      <c r="Q11" s="192" t="str">
        <f>IF(Indata!Q15="","",Indata!Q15)</f>
        <v/>
      </c>
      <c r="R11" s="309" t="str">
        <f>IF(Indata!R15="","",Indata!R15)</f>
        <v/>
      </c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</row>
    <row r="12" spans="1:46" s="102" customFormat="1" ht="12" customHeight="1">
      <c r="A12" s="118">
        <v>13</v>
      </c>
      <c r="B12" s="102" t="s">
        <v>257</v>
      </c>
      <c r="C12" s="266">
        <v>45671</v>
      </c>
      <c r="D12" s="192">
        <v>2.6</v>
      </c>
      <c r="E12" s="192">
        <v>13.47</v>
      </c>
      <c r="F12" s="214">
        <v>99</v>
      </c>
      <c r="G12" s="192">
        <v>8.1</v>
      </c>
      <c r="H12" s="192">
        <v>3.2</v>
      </c>
      <c r="I12" s="192">
        <v>47.2</v>
      </c>
      <c r="J12" s="194">
        <v>1.2</v>
      </c>
      <c r="K12" s="195">
        <v>32</v>
      </c>
      <c r="L12" s="195">
        <v>62</v>
      </c>
      <c r="M12" s="195">
        <v>6300</v>
      </c>
      <c r="N12" s="195">
        <v>67</v>
      </c>
      <c r="O12" s="195">
        <v>6600</v>
      </c>
      <c r="P12" s="195" t="s">
        <v>18</v>
      </c>
      <c r="Q12" s="192" t="str">
        <f>IF(Indata!Q16="","",Indata!Q16)</f>
        <v/>
      </c>
      <c r="R12" s="309" t="str">
        <f>IF(Indata!R16="","",Indata!R16)</f>
        <v/>
      </c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</row>
    <row r="13" spans="1:46" s="102" customFormat="1" ht="12" customHeight="1">
      <c r="A13" s="118">
        <v>15</v>
      </c>
      <c r="B13" s="102" t="s">
        <v>258</v>
      </c>
      <c r="C13" s="266">
        <v>45671</v>
      </c>
      <c r="D13" s="192">
        <v>3.2</v>
      </c>
      <c r="E13" s="192">
        <v>12.46</v>
      </c>
      <c r="F13" s="214">
        <v>93</v>
      </c>
      <c r="G13" s="192">
        <v>8</v>
      </c>
      <c r="H13" s="192">
        <v>5.2</v>
      </c>
      <c r="I13" s="192">
        <v>56.8</v>
      </c>
      <c r="J13" s="194">
        <v>1.2</v>
      </c>
      <c r="K13" s="195">
        <v>22</v>
      </c>
      <c r="L13" s="195">
        <v>49</v>
      </c>
      <c r="M13" s="195">
        <v>6900</v>
      </c>
      <c r="N13" s="195">
        <v>140</v>
      </c>
      <c r="O13" s="195">
        <v>7200</v>
      </c>
      <c r="P13" s="195" t="s">
        <v>18</v>
      </c>
      <c r="Q13" s="192" t="str">
        <f>IF(Indata!Q17="","",Indata!Q17)</f>
        <v/>
      </c>
      <c r="R13" s="309" t="str">
        <f>IF(Indata!R17="","",Indata!R17)</f>
        <v/>
      </c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</row>
    <row r="14" spans="1:46" s="102" customFormat="1" ht="12" customHeight="1">
      <c r="A14" s="118">
        <v>17</v>
      </c>
      <c r="B14" s="102" t="s">
        <v>259</v>
      </c>
      <c r="C14" s="266">
        <v>45671</v>
      </c>
      <c r="D14" s="192">
        <v>2.2000000000000002</v>
      </c>
      <c r="E14" s="192">
        <v>13.57</v>
      </c>
      <c r="F14" s="214">
        <v>99</v>
      </c>
      <c r="G14" s="192">
        <v>7.8</v>
      </c>
      <c r="H14" s="192">
        <v>9.5</v>
      </c>
      <c r="I14" s="192">
        <v>37.799999999999997</v>
      </c>
      <c r="J14" s="194">
        <v>1.3</v>
      </c>
      <c r="K14" s="195">
        <v>17</v>
      </c>
      <c r="L14" s="195">
        <v>79</v>
      </c>
      <c r="M14" s="195">
        <v>3900</v>
      </c>
      <c r="N14" s="195">
        <v>71</v>
      </c>
      <c r="O14" s="195">
        <v>4700</v>
      </c>
      <c r="P14" s="195" t="s">
        <v>18</v>
      </c>
      <c r="Q14" s="192" t="str">
        <f>IF(Indata!Q18="","",Indata!Q18)</f>
        <v/>
      </c>
      <c r="R14" s="309" t="str">
        <f>IF(Indata!R18="","",Indata!R18)</f>
        <v/>
      </c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</row>
    <row r="15" spans="1:46" s="102" customFormat="1" ht="12" customHeight="1">
      <c r="A15" s="118">
        <v>18</v>
      </c>
      <c r="B15" s="102" t="s">
        <v>266</v>
      </c>
      <c r="C15" s="266">
        <v>45670</v>
      </c>
      <c r="D15" s="192">
        <v>0.4</v>
      </c>
      <c r="E15" s="192">
        <v>14.05</v>
      </c>
      <c r="F15" s="214">
        <v>97</v>
      </c>
      <c r="G15" s="192">
        <v>8.1999999999999993</v>
      </c>
      <c r="H15" s="192">
        <v>2.6</v>
      </c>
      <c r="I15" s="192">
        <v>52</v>
      </c>
      <c r="J15" s="194">
        <v>1.1000000000000001</v>
      </c>
      <c r="K15" s="195">
        <v>25</v>
      </c>
      <c r="L15" s="195">
        <v>41</v>
      </c>
      <c r="M15" s="195">
        <v>8100</v>
      </c>
      <c r="N15" s="195">
        <v>19</v>
      </c>
      <c r="O15" s="195">
        <v>8100</v>
      </c>
      <c r="P15" s="195" t="s">
        <v>18</v>
      </c>
      <c r="Q15" s="192" t="str">
        <f>IF(Indata!Q19="","",Indata!Q19)</f>
        <v/>
      </c>
      <c r="R15" s="309" t="str">
        <f>IF(Indata!R19="","",Indata!R19)</f>
        <v/>
      </c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</row>
    <row r="16" spans="1:46" s="102" customFormat="1" ht="12" customHeight="1">
      <c r="A16" s="118">
        <v>19</v>
      </c>
      <c r="B16" s="102" t="s">
        <v>260</v>
      </c>
      <c r="C16" s="266">
        <v>45671</v>
      </c>
      <c r="D16" s="192">
        <v>3</v>
      </c>
      <c r="E16" s="192">
        <v>13.31</v>
      </c>
      <c r="F16" s="214">
        <v>99</v>
      </c>
      <c r="G16" s="192">
        <v>8</v>
      </c>
      <c r="H16" s="192">
        <v>4.4000000000000004</v>
      </c>
      <c r="I16" s="192">
        <v>54.1</v>
      </c>
      <c r="J16" s="194">
        <v>1.5</v>
      </c>
      <c r="K16" s="195">
        <v>40</v>
      </c>
      <c r="L16" s="195">
        <v>74</v>
      </c>
      <c r="M16" s="195">
        <v>7500</v>
      </c>
      <c r="N16" s="195">
        <v>230</v>
      </c>
      <c r="O16" s="195">
        <v>7800</v>
      </c>
      <c r="P16" s="195" t="s">
        <v>18</v>
      </c>
      <c r="Q16" s="192" t="str">
        <f>IF(Indata!Q20="","",Indata!Q20)</f>
        <v/>
      </c>
      <c r="R16" s="309" t="str">
        <f>IF(Indata!R20="","",Indata!R20)</f>
        <v/>
      </c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</row>
    <row r="17" spans="1:46" s="102" customFormat="1" ht="12" customHeight="1">
      <c r="A17" s="117">
        <v>20</v>
      </c>
      <c r="B17" s="102" t="s">
        <v>267</v>
      </c>
      <c r="C17" s="266">
        <v>45671</v>
      </c>
      <c r="D17" s="192">
        <v>3.5</v>
      </c>
      <c r="E17" s="192">
        <v>13.15</v>
      </c>
      <c r="F17" s="214">
        <v>99</v>
      </c>
      <c r="G17" s="192">
        <v>8</v>
      </c>
      <c r="H17" s="192">
        <v>9.9</v>
      </c>
      <c r="I17" s="192">
        <v>55.1</v>
      </c>
      <c r="J17" s="194">
        <v>2.1</v>
      </c>
      <c r="K17" s="195">
        <v>37</v>
      </c>
      <c r="L17" s="195">
        <v>100</v>
      </c>
      <c r="M17" s="195">
        <v>6700</v>
      </c>
      <c r="N17" s="195">
        <v>320</v>
      </c>
      <c r="O17" s="195">
        <v>7400</v>
      </c>
      <c r="P17" s="195" t="s">
        <v>18</v>
      </c>
      <c r="Q17" s="192" t="str">
        <f>IF(Indata!Q21="","",Indata!Q21)</f>
        <v/>
      </c>
      <c r="R17" s="309" t="str">
        <f>IF(Indata!R21="","",Indata!R21)</f>
        <v/>
      </c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</row>
    <row r="18" spans="1:46" s="102" customFormat="1" ht="12" customHeight="1">
      <c r="A18" s="118">
        <v>21</v>
      </c>
      <c r="B18" s="102" t="s">
        <v>261</v>
      </c>
      <c r="C18" s="266">
        <v>45671</v>
      </c>
      <c r="D18" s="192">
        <v>3.1</v>
      </c>
      <c r="E18" s="192">
        <v>13.32</v>
      </c>
      <c r="F18" s="214">
        <v>99</v>
      </c>
      <c r="G18" s="192">
        <v>8</v>
      </c>
      <c r="H18" s="192">
        <v>12</v>
      </c>
      <c r="I18" s="192">
        <v>49.7</v>
      </c>
      <c r="J18" s="194">
        <v>1.3</v>
      </c>
      <c r="K18" s="195">
        <v>42</v>
      </c>
      <c r="L18" s="195">
        <v>100</v>
      </c>
      <c r="M18" s="195">
        <v>8100</v>
      </c>
      <c r="N18" s="195">
        <v>76</v>
      </c>
      <c r="O18" s="195">
        <v>8200</v>
      </c>
      <c r="P18" s="195" t="s">
        <v>18</v>
      </c>
      <c r="Q18" s="192" t="str">
        <f>IF(Indata!Q22="","",Indata!Q22)</f>
        <v/>
      </c>
      <c r="R18" s="309" t="str">
        <f>IF(Indata!R22="","",Indata!R22)</f>
        <v/>
      </c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</row>
    <row r="19" spans="1:46" s="102" customFormat="1" ht="12" customHeight="1">
      <c r="A19" s="118">
        <v>22</v>
      </c>
      <c r="B19" s="102" t="s">
        <v>268</v>
      </c>
      <c r="C19" s="266">
        <v>45671</v>
      </c>
      <c r="D19" s="192">
        <v>2.8</v>
      </c>
      <c r="E19" s="192">
        <v>13.16</v>
      </c>
      <c r="F19" s="214">
        <v>97</v>
      </c>
      <c r="G19" s="192">
        <v>7.9</v>
      </c>
      <c r="H19" s="192">
        <v>6.6</v>
      </c>
      <c r="I19" s="192">
        <v>40.9</v>
      </c>
      <c r="J19" s="194">
        <v>1.4</v>
      </c>
      <c r="K19" s="195">
        <v>36</v>
      </c>
      <c r="L19" s="195">
        <v>82</v>
      </c>
      <c r="M19" s="195">
        <v>6000</v>
      </c>
      <c r="N19" s="195">
        <v>82</v>
      </c>
      <c r="O19" s="195">
        <v>6500</v>
      </c>
      <c r="P19" s="195" t="s">
        <v>18</v>
      </c>
      <c r="Q19" s="192" t="str">
        <f>IF(Indata!Q23="","",Indata!Q23)</f>
        <v/>
      </c>
      <c r="R19" s="309" t="str">
        <f>IF(Indata!R23="","",Indata!R23)</f>
        <v/>
      </c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</row>
    <row r="20" spans="1:46" s="102" customFormat="1" ht="12" customHeight="1">
      <c r="A20" s="118">
        <v>23</v>
      </c>
      <c r="B20" s="122" t="s">
        <v>297</v>
      </c>
      <c r="C20" s="266">
        <v>45671</v>
      </c>
      <c r="D20" s="192">
        <v>3.7</v>
      </c>
      <c r="E20" s="192">
        <v>12.54</v>
      </c>
      <c r="F20" s="214">
        <v>95</v>
      </c>
      <c r="G20" s="192">
        <v>7.9</v>
      </c>
      <c r="H20" s="192">
        <v>17</v>
      </c>
      <c r="I20" s="192">
        <v>66.599999999999994</v>
      </c>
      <c r="J20" s="194">
        <v>2</v>
      </c>
      <c r="K20" s="195">
        <v>18</v>
      </c>
      <c r="L20" s="195">
        <v>71</v>
      </c>
      <c r="M20" s="195">
        <v>6400</v>
      </c>
      <c r="N20" s="195">
        <v>220</v>
      </c>
      <c r="O20" s="195">
        <v>7100</v>
      </c>
      <c r="P20" s="195" t="s">
        <v>18</v>
      </c>
      <c r="Q20" s="192" t="str">
        <f>IF(Indata!Q24="","",Indata!Q24)</f>
        <v/>
      </c>
      <c r="R20" s="309" t="str">
        <f>IF(Indata!R24="","",Indata!R24)</f>
        <v/>
      </c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1"/>
      <c r="AN20" s="411"/>
      <c r="AO20" s="411"/>
      <c r="AP20" s="411"/>
      <c r="AQ20" s="411"/>
      <c r="AR20" s="411"/>
      <c r="AS20" s="411"/>
      <c r="AT20" s="411"/>
    </row>
    <row r="21" spans="1:46" s="102" customFormat="1" ht="12" customHeight="1">
      <c r="A21" s="118">
        <v>24</v>
      </c>
      <c r="B21" s="102" t="s">
        <v>269</v>
      </c>
      <c r="C21" s="266">
        <v>45671</v>
      </c>
      <c r="D21" s="192">
        <v>3.7</v>
      </c>
      <c r="E21" s="192">
        <v>12.92</v>
      </c>
      <c r="F21" s="214">
        <v>98</v>
      </c>
      <c r="G21" s="192">
        <v>8</v>
      </c>
      <c r="H21" s="192">
        <v>14</v>
      </c>
      <c r="I21" s="192">
        <v>60.1</v>
      </c>
      <c r="J21" s="194">
        <v>1.7</v>
      </c>
      <c r="K21" s="195">
        <v>20</v>
      </c>
      <c r="L21" s="195">
        <v>52</v>
      </c>
      <c r="M21" s="195">
        <v>5600</v>
      </c>
      <c r="N21" s="195">
        <v>200</v>
      </c>
      <c r="O21" s="195">
        <v>6200</v>
      </c>
      <c r="P21" s="195" t="s">
        <v>18</v>
      </c>
      <c r="Q21" s="192" t="str">
        <f>IF(Indata!Q25="","",Indata!Q25)</f>
        <v/>
      </c>
      <c r="R21" s="309" t="str">
        <f>IF(Indata!R25="","",Indata!R25)</f>
        <v/>
      </c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</row>
    <row r="22" spans="1:46" s="102" customFormat="1" ht="12" customHeight="1">
      <c r="A22" s="118">
        <v>25</v>
      </c>
      <c r="B22" s="102" t="s">
        <v>263</v>
      </c>
      <c r="C22" s="266">
        <v>45671</v>
      </c>
      <c r="D22" s="192">
        <v>1</v>
      </c>
      <c r="E22" s="192">
        <v>12.02</v>
      </c>
      <c r="F22" s="214">
        <v>84</v>
      </c>
      <c r="G22" s="192">
        <v>7.7</v>
      </c>
      <c r="H22" s="192">
        <v>7.8</v>
      </c>
      <c r="I22" s="192">
        <v>42.3</v>
      </c>
      <c r="J22" s="194">
        <v>1.5</v>
      </c>
      <c r="K22" s="195">
        <v>27</v>
      </c>
      <c r="L22" s="195">
        <v>66</v>
      </c>
      <c r="M22" s="195">
        <v>1600</v>
      </c>
      <c r="N22" s="195">
        <v>170</v>
      </c>
      <c r="O22" s="195">
        <v>2300</v>
      </c>
      <c r="P22" s="195" t="s">
        <v>18</v>
      </c>
      <c r="Q22" s="192" t="str">
        <f>IF(Indata!Q26="","",Indata!Q26)</f>
        <v/>
      </c>
      <c r="R22" s="309" t="str">
        <f>IF(Indata!R26="","",Indata!R26)</f>
        <v/>
      </c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</row>
    <row r="23" spans="1:46" s="102" customFormat="1" ht="12" customHeight="1">
      <c r="A23" s="118">
        <v>27</v>
      </c>
      <c r="B23" s="102" t="s">
        <v>264</v>
      </c>
      <c r="C23" s="266">
        <v>45671</v>
      </c>
      <c r="D23" s="192">
        <v>2.2000000000000002</v>
      </c>
      <c r="E23" s="192">
        <v>12.84</v>
      </c>
      <c r="F23" s="214">
        <v>93</v>
      </c>
      <c r="G23" s="192">
        <v>8.1</v>
      </c>
      <c r="H23" s="192">
        <v>1.9</v>
      </c>
      <c r="I23" s="192">
        <v>34.9</v>
      </c>
      <c r="J23" s="194">
        <v>1.5</v>
      </c>
      <c r="K23" s="195">
        <v>31</v>
      </c>
      <c r="L23" s="195">
        <v>50</v>
      </c>
      <c r="M23" s="195">
        <v>1100</v>
      </c>
      <c r="N23" s="195">
        <v>140</v>
      </c>
      <c r="O23" s="195">
        <v>1800</v>
      </c>
      <c r="P23" s="195" t="s">
        <v>18</v>
      </c>
      <c r="Q23" s="192" t="str">
        <f>IF(Indata!Q27="","",Indata!Q27)</f>
        <v/>
      </c>
      <c r="R23" s="309" t="str">
        <f>IF(Indata!R27="","",Indata!R27)</f>
        <v/>
      </c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</row>
    <row r="24" spans="1:46" s="102" customFormat="1" ht="12" customHeight="1">
      <c r="A24" s="118">
        <v>29</v>
      </c>
      <c r="B24" s="102" t="s">
        <v>295</v>
      </c>
      <c r="C24" s="266">
        <v>45670</v>
      </c>
      <c r="D24" s="192">
        <v>1.5</v>
      </c>
      <c r="E24" s="192">
        <v>13.74</v>
      </c>
      <c r="F24" s="214">
        <v>98</v>
      </c>
      <c r="G24" s="192">
        <v>8.1999999999999993</v>
      </c>
      <c r="H24" s="192">
        <v>6.4</v>
      </c>
      <c r="I24" s="192">
        <v>41</v>
      </c>
      <c r="J24" s="194" t="s">
        <v>18</v>
      </c>
      <c r="K24" s="195">
        <v>44</v>
      </c>
      <c r="L24" s="195">
        <v>82</v>
      </c>
      <c r="M24" s="195">
        <v>3700</v>
      </c>
      <c r="N24" s="195">
        <v>18</v>
      </c>
      <c r="O24" s="195">
        <v>4000</v>
      </c>
      <c r="P24" s="195" t="s">
        <v>18</v>
      </c>
      <c r="Q24" s="192">
        <f>IF(Indata!Q28="","",Indata!Q28)</f>
        <v>1.5</v>
      </c>
      <c r="R24" s="309" t="str">
        <f>IF(Indata!R28="","",Indata!R28)</f>
        <v>Istäckt</v>
      </c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</row>
    <row r="25" spans="1:46" s="102" customFormat="1" ht="12" customHeight="1">
      <c r="A25" s="118">
        <v>30</v>
      </c>
      <c r="B25" s="102" t="s">
        <v>296</v>
      </c>
      <c r="C25" s="266">
        <v>45670</v>
      </c>
      <c r="D25" s="192">
        <v>2</v>
      </c>
      <c r="E25" s="192">
        <v>13.24</v>
      </c>
      <c r="F25" s="214">
        <v>96</v>
      </c>
      <c r="G25" s="192" t="s">
        <v>18</v>
      </c>
      <c r="H25" s="192" t="s">
        <v>18</v>
      </c>
      <c r="I25" s="192" t="s">
        <v>18</v>
      </c>
      <c r="J25" s="194" t="s">
        <v>18</v>
      </c>
      <c r="K25" s="195">
        <v>34</v>
      </c>
      <c r="L25" s="195">
        <v>84</v>
      </c>
      <c r="M25" s="195">
        <v>3100</v>
      </c>
      <c r="N25" s="195">
        <v>17</v>
      </c>
      <c r="O25" s="195">
        <v>3500</v>
      </c>
      <c r="P25" s="195" t="s">
        <v>18</v>
      </c>
      <c r="Q25" s="192" t="str">
        <f>IF(Indata!Q29="","",Indata!Q29)</f>
        <v/>
      </c>
      <c r="R25" s="309" t="str">
        <f>IF(Indata!R29="","",Indata!R29)</f>
        <v xml:space="preserve">Istäckt, nära djuphålan </v>
      </c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</row>
    <row r="26" spans="1:46">
      <c r="A26" s="1">
        <v>200</v>
      </c>
      <c r="B26" s="62"/>
      <c r="C26" s="266"/>
      <c r="D26" s="192"/>
      <c r="E26" s="192"/>
      <c r="F26" s="214"/>
      <c r="G26" s="192"/>
      <c r="H26" s="192"/>
      <c r="I26" s="192"/>
      <c r="J26" s="194"/>
      <c r="K26" s="195"/>
      <c r="L26" s="195"/>
      <c r="M26" s="195"/>
      <c r="N26" s="195"/>
      <c r="O26" s="195"/>
      <c r="P26" s="195"/>
      <c r="Q26" s="192"/>
      <c r="R26" s="309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</row>
    <row r="27" spans="1:46" s="388" customFormat="1" ht="17.25" customHeight="1">
      <c r="A27" s="381">
        <v>250</v>
      </c>
      <c r="B27" s="382" t="s">
        <v>21</v>
      </c>
      <c r="C27" s="419"/>
      <c r="D27" s="384"/>
      <c r="E27" s="384"/>
      <c r="F27" s="384"/>
      <c r="G27" s="384"/>
      <c r="H27" s="384"/>
      <c r="I27" s="384"/>
      <c r="J27" s="384"/>
      <c r="K27" s="386"/>
      <c r="L27" s="386"/>
      <c r="M27" s="386"/>
      <c r="N27" s="386"/>
      <c r="O27" s="386"/>
      <c r="P27" s="386"/>
      <c r="Q27" s="384"/>
      <c r="R27" s="387"/>
    </row>
    <row r="28" spans="1:46" s="102" customFormat="1" ht="12" customHeight="1">
      <c r="A28" s="117">
        <v>3</v>
      </c>
      <c r="B28" s="102" t="s">
        <v>252</v>
      </c>
      <c r="C28" s="266">
        <v>45706</v>
      </c>
      <c r="D28" s="192">
        <v>1</v>
      </c>
      <c r="E28" s="192">
        <v>14.72</v>
      </c>
      <c r="F28" s="214">
        <v>103</v>
      </c>
      <c r="G28" s="192">
        <v>8</v>
      </c>
      <c r="H28" s="192">
        <v>4.9000000000000004</v>
      </c>
      <c r="I28" s="192">
        <v>47.1</v>
      </c>
      <c r="J28" s="194">
        <v>1.1000000000000001</v>
      </c>
      <c r="K28" s="195">
        <v>37</v>
      </c>
      <c r="L28" s="195">
        <v>62</v>
      </c>
      <c r="M28" s="195">
        <v>3500</v>
      </c>
      <c r="N28" s="195">
        <v>60</v>
      </c>
      <c r="O28" s="195">
        <v>4100</v>
      </c>
      <c r="P28" s="195" t="s">
        <v>18</v>
      </c>
      <c r="Q28" s="192" t="str">
        <f>IF(Indata!Q32="","",Indata!Q32)</f>
        <v/>
      </c>
      <c r="R28" s="309" t="str">
        <f>IF(Indata!R32="","",Indata!R32)</f>
        <v/>
      </c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1"/>
      <c r="AL28" s="411"/>
      <c r="AM28" s="411"/>
      <c r="AN28" s="411"/>
      <c r="AO28" s="411"/>
      <c r="AP28" s="411"/>
      <c r="AQ28" s="411"/>
      <c r="AR28" s="411"/>
      <c r="AS28" s="411"/>
      <c r="AT28" s="411"/>
    </row>
    <row r="29" spans="1:46" s="102" customFormat="1" ht="12" customHeight="1">
      <c r="A29" s="117">
        <v>6</v>
      </c>
      <c r="B29" s="102" t="s">
        <v>265</v>
      </c>
      <c r="C29" s="266">
        <v>45706</v>
      </c>
      <c r="D29" s="192">
        <v>1.7</v>
      </c>
      <c r="E29" s="192">
        <v>13.91</v>
      </c>
      <c r="F29" s="214">
        <v>100</v>
      </c>
      <c r="G29" s="192">
        <v>8</v>
      </c>
      <c r="H29" s="192">
        <v>4.4000000000000004</v>
      </c>
      <c r="I29" s="192">
        <v>43.9</v>
      </c>
      <c r="J29" s="194">
        <v>1.2</v>
      </c>
      <c r="K29" s="195">
        <v>38</v>
      </c>
      <c r="L29" s="195">
        <v>64</v>
      </c>
      <c r="M29" s="195">
        <v>3000</v>
      </c>
      <c r="N29" s="195">
        <v>65</v>
      </c>
      <c r="O29" s="195">
        <v>3600</v>
      </c>
      <c r="P29" s="195" t="s">
        <v>18</v>
      </c>
      <c r="Q29" s="192" t="str">
        <f>IF(Indata!Q33="","",Indata!Q33)</f>
        <v/>
      </c>
      <c r="R29" s="309" t="str">
        <f>IF(Indata!R33="","",Indata!R33)</f>
        <v/>
      </c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</row>
    <row r="30" spans="1:46" s="102" customFormat="1" ht="12" customHeight="1">
      <c r="A30" s="117">
        <v>7</v>
      </c>
      <c r="B30" s="122" t="s">
        <v>254</v>
      </c>
      <c r="C30" s="266">
        <v>45706</v>
      </c>
      <c r="D30" s="192">
        <v>2.1</v>
      </c>
      <c r="E30" s="192">
        <v>14.37</v>
      </c>
      <c r="F30" s="214">
        <v>104</v>
      </c>
      <c r="G30" s="192">
        <v>8.1999999999999993</v>
      </c>
      <c r="H30" s="192">
        <v>2.8</v>
      </c>
      <c r="I30" s="192">
        <v>42.1</v>
      </c>
      <c r="J30" s="194">
        <v>0.9</v>
      </c>
      <c r="K30" s="195">
        <v>43</v>
      </c>
      <c r="L30" s="195">
        <v>61</v>
      </c>
      <c r="M30" s="195">
        <v>3400</v>
      </c>
      <c r="N30" s="195">
        <v>28</v>
      </c>
      <c r="O30" s="195">
        <v>3700</v>
      </c>
      <c r="P30" s="195" t="s">
        <v>18</v>
      </c>
      <c r="Q30" s="192" t="str">
        <f>IF(Indata!Q34="","",Indata!Q34)</f>
        <v/>
      </c>
      <c r="R30" s="309" t="str">
        <f>IF(Indata!R34="","",Indata!R34)</f>
        <v/>
      </c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11"/>
    </row>
    <row r="31" spans="1:46" s="102" customFormat="1" ht="12" customHeight="1">
      <c r="A31" s="117">
        <v>11</v>
      </c>
      <c r="B31" s="102" t="s">
        <v>256</v>
      </c>
      <c r="C31" s="266">
        <v>45706</v>
      </c>
      <c r="D31" s="192">
        <v>1.4</v>
      </c>
      <c r="E31" s="192">
        <v>14.3</v>
      </c>
      <c r="F31" s="214">
        <v>102</v>
      </c>
      <c r="G31" s="192">
        <v>8</v>
      </c>
      <c r="H31" s="192">
        <v>3.5</v>
      </c>
      <c r="I31" s="192">
        <v>56.9</v>
      </c>
      <c r="J31" s="194">
        <v>1.5</v>
      </c>
      <c r="K31" s="195">
        <v>28</v>
      </c>
      <c r="L31" s="195">
        <v>41</v>
      </c>
      <c r="M31" s="195">
        <v>5000</v>
      </c>
      <c r="N31" s="195">
        <v>80</v>
      </c>
      <c r="O31" s="195">
        <v>5500</v>
      </c>
      <c r="P31" s="195" t="s">
        <v>18</v>
      </c>
      <c r="Q31" s="192" t="str">
        <f>IF(Indata!Q35="","",Indata!Q35)</f>
        <v/>
      </c>
      <c r="R31" s="309" t="str">
        <f>IF(Indata!R35="","",Indata!R35)</f>
        <v/>
      </c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</row>
    <row r="32" spans="1:46" s="102" customFormat="1" ht="12" customHeight="1">
      <c r="A32" s="118">
        <v>19</v>
      </c>
      <c r="B32" s="102" t="s">
        <v>260</v>
      </c>
      <c r="C32" s="266">
        <v>45706</v>
      </c>
      <c r="D32" s="192">
        <v>0.5</v>
      </c>
      <c r="E32" s="192">
        <v>14.71</v>
      </c>
      <c r="F32" s="214">
        <v>102</v>
      </c>
      <c r="G32" s="192">
        <v>8.1</v>
      </c>
      <c r="H32" s="192">
        <v>2.5</v>
      </c>
      <c r="I32" s="192">
        <v>61.4</v>
      </c>
      <c r="J32" s="194">
        <v>1.3</v>
      </c>
      <c r="K32" s="195">
        <v>39</v>
      </c>
      <c r="L32" s="195">
        <v>62</v>
      </c>
      <c r="M32" s="195">
        <v>6400</v>
      </c>
      <c r="N32" s="195">
        <v>120</v>
      </c>
      <c r="O32" s="195">
        <v>7000</v>
      </c>
      <c r="P32" s="195" t="s">
        <v>18</v>
      </c>
      <c r="Q32" s="192" t="str">
        <f>IF(Indata!Q36="","",Indata!Q36)</f>
        <v/>
      </c>
      <c r="R32" s="309" t="str">
        <f>IF(Indata!R36="","",Indata!R36)</f>
        <v/>
      </c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</row>
    <row r="33" spans="1:46" s="102" customFormat="1" ht="12" customHeight="1">
      <c r="A33" s="117">
        <v>20</v>
      </c>
      <c r="B33" s="102" t="s">
        <v>267</v>
      </c>
      <c r="C33" s="266">
        <v>45706</v>
      </c>
      <c r="D33" s="192">
        <v>2.4</v>
      </c>
      <c r="E33" s="192">
        <v>14.46</v>
      </c>
      <c r="F33" s="214">
        <v>106</v>
      </c>
      <c r="G33" s="192">
        <v>8</v>
      </c>
      <c r="H33" s="192">
        <v>2</v>
      </c>
      <c r="I33" s="192">
        <v>59.7</v>
      </c>
      <c r="J33" s="194">
        <v>1.3</v>
      </c>
      <c r="K33" s="195">
        <v>32</v>
      </c>
      <c r="L33" s="195">
        <v>52</v>
      </c>
      <c r="M33" s="195">
        <v>6300</v>
      </c>
      <c r="N33" s="195">
        <v>97</v>
      </c>
      <c r="O33" s="195">
        <v>7000</v>
      </c>
      <c r="P33" s="195" t="s">
        <v>18</v>
      </c>
      <c r="Q33" s="192" t="str">
        <f>IF(Indata!Q37="","",Indata!Q37)</f>
        <v/>
      </c>
      <c r="R33" s="309" t="str">
        <f>IF(Indata!R37="","",Indata!R37)</f>
        <v/>
      </c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</row>
    <row r="34" spans="1:46" s="102" customFormat="1" ht="12" customHeight="1">
      <c r="A34" s="117">
        <v>21</v>
      </c>
      <c r="B34" s="102" t="s">
        <v>261</v>
      </c>
      <c r="C34" s="266">
        <v>45706</v>
      </c>
      <c r="D34" s="192">
        <v>0.4</v>
      </c>
      <c r="E34" s="192">
        <v>14.99</v>
      </c>
      <c r="F34" s="214">
        <v>104</v>
      </c>
      <c r="G34" s="192">
        <v>8.1</v>
      </c>
      <c r="H34" s="192">
        <v>4.9000000000000004</v>
      </c>
      <c r="I34" s="192">
        <v>55.6</v>
      </c>
      <c r="J34" s="194">
        <v>1.1000000000000001</v>
      </c>
      <c r="K34" s="195">
        <v>35</v>
      </c>
      <c r="L34" s="195">
        <v>57</v>
      </c>
      <c r="M34" s="195">
        <v>7200</v>
      </c>
      <c r="N34" s="195">
        <v>71</v>
      </c>
      <c r="O34" s="195">
        <v>7600</v>
      </c>
      <c r="P34" s="195" t="s">
        <v>18</v>
      </c>
      <c r="Q34" s="192" t="str">
        <f>IF(Indata!Q38="","",Indata!Q38)</f>
        <v/>
      </c>
      <c r="R34" s="309" t="str">
        <f>IF(Indata!R38="","",Indata!R38)</f>
        <v/>
      </c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</row>
    <row r="35" spans="1:46" s="102" customFormat="1" ht="12" customHeight="1">
      <c r="A35" s="117">
        <v>25</v>
      </c>
      <c r="B35" s="122" t="s">
        <v>263</v>
      </c>
      <c r="C35" s="266">
        <v>45706</v>
      </c>
      <c r="D35" s="192">
        <v>0.9</v>
      </c>
      <c r="E35" s="192">
        <v>13.61</v>
      </c>
      <c r="F35" s="214">
        <v>95</v>
      </c>
      <c r="G35" s="192">
        <v>7.9</v>
      </c>
      <c r="H35" s="192">
        <v>5.5</v>
      </c>
      <c r="I35" s="192">
        <v>41.2</v>
      </c>
      <c r="J35" s="194">
        <v>1.5</v>
      </c>
      <c r="K35" s="195">
        <v>25</v>
      </c>
      <c r="L35" s="195">
        <v>63</v>
      </c>
      <c r="M35" s="195">
        <v>1100</v>
      </c>
      <c r="N35" s="195">
        <v>110</v>
      </c>
      <c r="O35" s="195">
        <v>1900</v>
      </c>
      <c r="P35" s="195" t="s">
        <v>18</v>
      </c>
      <c r="Q35" s="192" t="str">
        <f>IF(Indata!Q39="","",Indata!Q39)</f>
        <v/>
      </c>
      <c r="R35" s="309" t="str">
        <f>IF(Indata!R39="","",Indata!R39)</f>
        <v/>
      </c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</row>
    <row r="36" spans="1:46" s="102" customFormat="1" ht="12" customHeight="1">
      <c r="A36" s="118">
        <v>29</v>
      </c>
      <c r="B36" s="102" t="s">
        <v>295</v>
      </c>
      <c r="C36" s="266" t="s">
        <v>18</v>
      </c>
      <c r="D36" s="192" t="s">
        <v>18</v>
      </c>
      <c r="E36" s="192" t="s">
        <v>18</v>
      </c>
      <c r="F36" s="214" t="s">
        <v>18</v>
      </c>
      <c r="G36" s="192" t="s">
        <v>18</v>
      </c>
      <c r="H36" s="192" t="s">
        <v>18</v>
      </c>
      <c r="I36" s="192" t="s">
        <v>18</v>
      </c>
      <c r="J36" s="194" t="s">
        <v>18</v>
      </c>
      <c r="K36" s="195" t="s">
        <v>18</v>
      </c>
      <c r="L36" s="195" t="s">
        <v>18</v>
      </c>
      <c r="M36" s="195" t="s">
        <v>18</v>
      </c>
      <c r="N36" s="195" t="s">
        <v>18</v>
      </c>
      <c r="O36" s="195" t="s">
        <v>18</v>
      </c>
      <c r="P36" s="195" t="s">
        <v>18</v>
      </c>
      <c r="Q36" s="192" t="str">
        <f>IF(Indata!Q40="","",Indata!Q40)</f>
        <v/>
      </c>
      <c r="R36" s="309" t="str">
        <f>IF(Indata!R40="","",Indata!R40)</f>
        <v>istäckt,  inte möjligt att provta</v>
      </c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</row>
    <row r="37" spans="1:46" s="102" customFormat="1" ht="12" customHeight="1">
      <c r="A37" s="118">
        <v>30</v>
      </c>
      <c r="B37" s="102" t="s">
        <v>296</v>
      </c>
      <c r="C37" s="266" t="s">
        <v>18</v>
      </c>
      <c r="D37" s="192" t="s">
        <v>18</v>
      </c>
      <c r="E37" s="192" t="s">
        <v>18</v>
      </c>
      <c r="F37" s="214" t="s">
        <v>18</v>
      </c>
      <c r="G37" s="192" t="s">
        <v>18</v>
      </c>
      <c r="H37" s="192" t="s">
        <v>18</v>
      </c>
      <c r="I37" s="192" t="s">
        <v>18</v>
      </c>
      <c r="J37" s="194" t="s">
        <v>18</v>
      </c>
      <c r="K37" s="195" t="s">
        <v>18</v>
      </c>
      <c r="L37" s="195" t="s">
        <v>18</v>
      </c>
      <c r="M37" s="195" t="s">
        <v>18</v>
      </c>
      <c r="N37" s="195" t="s">
        <v>18</v>
      </c>
      <c r="O37" s="195" t="s">
        <v>18</v>
      </c>
      <c r="P37" s="195" t="s">
        <v>18</v>
      </c>
      <c r="Q37" s="192" t="str">
        <f>IF(Indata!Q41="","",Indata!Q41)</f>
        <v/>
      </c>
      <c r="R37" s="309" t="str">
        <f>IF(Indata!R41="","",Indata!R41)</f>
        <v>istäckt,  inte möjligt att provta</v>
      </c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</row>
    <row r="38" spans="1:46">
      <c r="A38" s="1">
        <v>200</v>
      </c>
      <c r="B38" s="62"/>
      <c r="C38" s="270"/>
      <c r="D38" s="267"/>
      <c r="E38" s="268"/>
      <c r="F38" s="269"/>
      <c r="G38" s="268"/>
      <c r="H38" s="268"/>
      <c r="I38" s="268"/>
      <c r="J38" s="268"/>
      <c r="K38" s="269"/>
      <c r="L38" s="269"/>
      <c r="M38" s="269"/>
      <c r="N38" s="269"/>
      <c r="O38" s="269"/>
      <c r="P38" s="269"/>
      <c r="Q38" s="268"/>
      <c r="R38" s="307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</row>
    <row r="39" spans="1:46" s="388" customFormat="1" ht="17.25" customHeight="1">
      <c r="A39" s="381">
        <v>250</v>
      </c>
      <c r="B39" s="382" t="s">
        <v>22</v>
      </c>
      <c r="C39" s="383"/>
      <c r="D39" s="384"/>
      <c r="E39" s="384"/>
      <c r="F39" s="385"/>
      <c r="G39" s="384"/>
      <c r="H39" s="384"/>
      <c r="I39" s="384"/>
      <c r="J39" s="384"/>
      <c r="K39" s="386"/>
      <c r="L39" s="386"/>
      <c r="M39" s="386"/>
      <c r="N39" s="386"/>
      <c r="O39" s="386"/>
      <c r="P39" s="386"/>
      <c r="Q39" s="384"/>
      <c r="R39" s="387"/>
    </row>
    <row r="40" spans="1:46" s="102" customFormat="1" ht="12" customHeight="1">
      <c r="A40" s="117">
        <v>3</v>
      </c>
      <c r="B40" s="102" t="s">
        <v>252</v>
      </c>
      <c r="C40" s="266">
        <v>45734</v>
      </c>
      <c r="D40" s="192">
        <v>13.33</v>
      </c>
      <c r="E40" s="192">
        <v>13.33</v>
      </c>
      <c r="F40" s="214">
        <v>91</v>
      </c>
      <c r="G40" s="192">
        <v>8.1</v>
      </c>
      <c r="H40" s="192">
        <v>4.8</v>
      </c>
      <c r="I40" s="192">
        <v>50</v>
      </c>
      <c r="J40" s="194">
        <v>2.4</v>
      </c>
      <c r="K40" s="195">
        <v>6.1</v>
      </c>
      <c r="L40" s="195">
        <v>51</v>
      </c>
      <c r="M40" s="195">
        <v>2700</v>
      </c>
      <c r="N40" s="195" t="s">
        <v>148</v>
      </c>
      <c r="O40" s="195">
        <v>3100</v>
      </c>
      <c r="P40" s="195" t="s">
        <v>18</v>
      </c>
      <c r="Q40" s="192" t="str">
        <f>IF(Indata!Q44="","",Indata!Q44)</f>
        <v/>
      </c>
      <c r="R40" s="309" t="str">
        <f>IF(Indata!R44="","",Indata!R44)</f>
        <v/>
      </c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</row>
    <row r="41" spans="1:46" s="102" customFormat="1" ht="12" customHeight="1">
      <c r="A41" s="117">
        <v>5</v>
      </c>
      <c r="B41" s="102" t="s">
        <v>253</v>
      </c>
      <c r="C41" s="266">
        <v>45734</v>
      </c>
      <c r="D41" s="192">
        <v>11.35</v>
      </c>
      <c r="E41" s="192">
        <v>11.35</v>
      </c>
      <c r="F41" s="214">
        <v>89</v>
      </c>
      <c r="G41" s="192">
        <v>7.8</v>
      </c>
      <c r="H41" s="192">
        <v>5.3</v>
      </c>
      <c r="I41" s="192">
        <v>48.8</v>
      </c>
      <c r="J41" s="194">
        <v>2.2999999999999998</v>
      </c>
      <c r="K41" s="195">
        <v>14</v>
      </c>
      <c r="L41" s="195">
        <v>58</v>
      </c>
      <c r="M41" s="195">
        <v>2100</v>
      </c>
      <c r="N41" s="195">
        <v>89</v>
      </c>
      <c r="O41" s="195">
        <v>2500</v>
      </c>
      <c r="P41" s="195" t="s">
        <v>18</v>
      </c>
      <c r="Q41" s="192" t="str">
        <f>IF(Indata!Q45="","",Indata!Q45)</f>
        <v/>
      </c>
      <c r="R41" s="309" t="str">
        <f>IF(Indata!R45="","",Indata!R45)</f>
        <v/>
      </c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</row>
    <row r="42" spans="1:46" s="102" customFormat="1" ht="12" customHeight="1">
      <c r="A42" s="117">
        <v>6</v>
      </c>
      <c r="B42" s="102" t="s">
        <v>265</v>
      </c>
      <c r="C42" s="266">
        <v>45734</v>
      </c>
      <c r="D42" s="192">
        <v>11.48</v>
      </c>
      <c r="E42" s="192">
        <v>11.48</v>
      </c>
      <c r="F42" s="214">
        <v>90</v>
      </c>
      <c r="G42" s="192">
        <v>7.8</v>
      </c>
      <c r="H42" s="192">
        <v>6.3</v>
      </c>
      <c r="I42" s="192">
        <v>46.5</v>
      </c>
      <c r="J42" s="194">
        <v>2.2999999999999998</v>
      </c>
      <c r="K42" s="195">
        <v>19</v>
      </c>
      <c r="L42" s="195">
        <v>62</v>
      </c>
      <c r="M42" s="195">
        <v>1400</v>
      </c>
      <c r="N42" s="195">
        <v>110</v>
      </c>
      <c r="O42" s="195">
        <v>2000</v>
      </c>
      <c r="P42" s="195" t="s">
        <v>18</v>
      </c>
      <c r="Q42" s="192" t="str">
        <f>IF(Indata!Q46="","",Indata!Q46)</f>
        <v/>
      </c>
      <c r="R42" s="309" t="str">
        <f>IF(Indata!R46="","",Indata!R46)</f>
        <v/>
      </c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</row>
    <row r="43" spans="1:46" s="102" customFormat="1" ht="12" customHeight="1">
      <c r="A43" s="117">
        <v>7</v>
      </c>
      <c r="B43" s="102" t="s">
        <v>254</v>
      </c>
      <c r="C43" s="266">
        <v>45728</v>
      </c>
      <c r="D43" s="192">
        <v>4.5999999999999996</v>
      </c>
      <c r="E43" s="192">
        <v>15.03</v>
      </c>
      <c r="F43" s="214">
        <v>118</v>
      </c>
      <c r="G43" s="192">
        <v>8.5</v>
      </c>
      <c r="H43" s="192">
        <v>4.5999999999999996</v>
      </c>
      <c r="I43" s="192">
        <v>42</v>
      </c>
      <c r="J43" s="194">
        <v>2.8</v>
      </c>
      <c r="K43" s="195">
        <v>3.6</v>
      </c>
      <c r="L43" s="195">
        <v>49</v>
      </c>
      <c r="M43" s="195">
        <v>3000</v>
      </c>
      <c r="N43" s="195" t="s">
        <v>148</v>
      </c>
      <c r="O43" s="195">
        <v>3700</v>
      </c>
      <c r="P43" s="195" t="s">
        <v>18</v>
      </c>
      <c r="Q43" s="192" t="str">
        <f>IF(Indata!Q47="","",Indata!Q47)</f>
        <v/>
      </c>
      <c r="R43" s="309" t="str">
        <f>IF(Indata!R47="","",Indata!R47)</f>
        <v/>
      </c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11"/>
    </row>
    <row r="44" spans="1:46" s="102" customFormat="1" ht="12" customHeight="1">
      <c r="A44" s="117">
        <v>9</v>
      </c>
      <c r="B44" s="102" t="s">
        <v>255</v>
      </c>
      <c r="C44" s="266">
        <v>45728</v>
      </c>
      <c r="D44" s="192">
        <v>5.4</v>
      </c>
      <c r="E44" s="192">
        <v>12.93</v>
      </c>
      <c r="F44" s="214">
        <v>100</v>
      </c>
      <c r="G44" s="192">
        <v>8.4</v>
      </c>
      <c r="H44" s="192">
        <v>4.5999999999999996</v>
      </c>
      <c r="I44" s="192">
        <v>53.4</v>
      </c>
      <c r="J44" s="194">
        <v>3.9</v>
      </c>
      <c r="K44" s="195">
        <v>2.8</v>
      </c>
      <c r="L44" s="195">
        <v>37</v>
      </c>
      <c r="M44" s="195">
        <v>4300</v>
      </c>
      <c r="N44" s="195" t="s">
        <v>148</v>
      </c>
      <c r="O44" s="195">
        <v>5200</v>
      </c>
      <c r="P44" s="195" t="s">
        <v>18</v>
      </c>
      <c r="Q44" s="192" t="str">
        <f>IF(Indata!Q48="","",Indata!Q48)</f>
        <v/>
      </c>
      <c r="R44" s="309" t="str">
        <f>IF(Indata!R48="","",Indata!R48)</f>
        <v/>
      </c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</row>
    <row r="45" spans="1:46" s="102" customFormat="1" ht="12" customHeight="1">
      <c r="A45" s="117">
        <v>11</v>
      </c>
      <c r="B45" s="102" t="s">
        <v>256</v>
      </c>
      <c r="C45" s="266">
        <v>45728</v>
      </c>
      <c r="D45" s="192">
        <v>5.4</v>
      </c>
      <c r="E45" s="192">
        <v>12.25</v>
      </c>
      <c r="F45" s="214">
        <v>97</v>
      </c>
      <c r="G45" s="192">
        <v>8.1</v>
      </c>
      <c r="H45" s="192">
        <v>2.4</v>
      </c>
      <c r="I45" s="192">
        <v>54.1</v>
      </c>
      <c r="J45" s="194">
        <v>1.6</v>
      </c>
      <c r="K45" s="195">
        <v>11</v>
      </c>
      <c r="L45" s="195">
        <v>26</v>
      </c>
      <c r="M45" s="195">
        <v>3600</v>
      </c>
      <c r="N45" s="195">
        <v>24</v>
      </c>
      <c r="O45" s="195">
        <v>4200</v>
      </c>
      <c r="P45" s="195" t="s">
        <v>18</v>
      </c>
      <c r="Q45" s="192" t="str">
        <f>IF(Indata!Q49="","",Indata!Q49)</f>
        <v/>
      </c>
      <c r="R45" s="309" t="str">
        <f>IF(Indata!R49="","",Indata!R49)</f>
        <v/>
      </c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411"/>
    </row>
    <row r="46" spans="1:46" s="102" customFormat="1" ht="12" customHeight="1">
      <c r="A46" s="117">
        <v>13</v>
      </c>
      <c r="B46" s="102" t="s">
        <v>257</v>
      </c>
      <c r="C46" s="266">
        <v>45734</v>
      </c>
      <c r="D46" s="192">
        <v>2.9</v>
      </c>
      <c r="E46" s="192">
        <v>16.53</v>
      </c>
      <c r="F46" s="214">
        <v>123</v>
      </c>
      <c r="G46" s="192">
        <v>8.4</v>
      </c>
      <c r="H46" s="192">
        <v>1.6</v>
      </c>
      <c r="I46" s="192">
        <v>44.6</v>
      </c>
      <c r="J46" s="194">
        <v>2.2000000000000002</v>
      </c>
      <c r="K46" s="195">
        <v>3.4</v>
      </c>
      <c r="L46" s="195">
        <v>32</v>
      </c>
      <c r="M46" s="195">
        <v>3500</v>
      </c>
      <c r="N46" s="195" t="s">
        <v>148</v>
      </c>
      <c r="O46" s="195">
        <v>3800</v>
      </c>
      <c r="P46" s="195" t="s">
        <v>18</v>
      </c>
      <c r="Q46" s="192" t="str">
        <f>IF(Indata!Q50="","",Indata!Q50)</f>
        <v/>
      </c>
      <c r="R46" s="309" t="str">
        <f>IF(Indata!R50="","",Indata!R50)</f>
        <v/>
      </c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</row>
    <row r="47" spans="1:46" s="102" customFormat="1" ht="12" customHeight="1">
      <c r="A47" s="117">
        <v>15</v>
      </c>
      <c r="B47" s="102" t="s">
        <v>258</v>
      </c>
      <c r="C47" s="266">
        <v>45734</v>
      </c>
      <c r="D47" s="192">
        <v>3.2</v>
      </c>
      <c r="E47" s="192">
        <v>14.25</v>
      </c>
      <c r="F47" s="214">
        <v>106</v>
      </c>
      <c r="G47" s="192">
        <v>8.1</v>
      </c>
      <c r="H47" s="192">
        <v>3</v>
      </c>
      <c r="I47" s="192">
        <v>56</v>
      </c>
      <c r="J47" s="194">
        <v>2.2000000000000002</v>
      </c>
      <c r="K47" s="195">
        <v>10</v>
      </c>
      <c r="L47" s="195">
        <v>27</v>
      </c>
      <c r="M47" s="195">
        <v>3400</v>
      </c>
      <c r="N47" s="195">
        <v>120</v>
      </c>
      <c r="O47" s="195">
        <v>3400</v>
      </c>
      <c r="P47" s="195" t="s">
        <v>18</v>
      </c>
      <c r="Q47" s="192" t="str">
        <f>IF(Indata!Q51="","",Indata!Q51)</f>
        <v/>
      </c>
      <c r="R47" s="309" t="str">
        <f>IF(Indata!R51="","",Indata!R51)</f>
        <v/>
      </c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411"/>
    </row>
    <row r="48" spans="1:46" s="102" customFormat="1" ht="12" customHeight="1">
      <c r="A48" s="117">
        <v>17</v>
      </c>
      <c r="B48" s="102" t="s">
        <v>259</v>
      </c>
      <c r="C48" s="266">
        <v>45734</v>
      </c>
      <c r="D48" s="192">
        <v>2.8</v>
      </c>
      <c r="E48" s="192">
        <v>13.88</v>
      </c>
      <c r="F48" s="214">
        <v>103</v>
      </c>
      <c r="G48" s="192">
        <v>8</v>
      </c>
      <c r="H48" s="192">
        <v>3.8</v>
      </c>
      <c r="I48" s="192">
        <v>36.9</v>
      </c>
      <c r="J48" s="194">
        <v>1.3</v>
      </c>
      <c r="K48" s="195">
        <v>14</v>
      </c>
      <c r="L48" s="195">
        <v>35</v>
      </c>
      <c r="M48" s="195">
        <v>1400</v>
      </c>
      <c r="N48" s="195" t="s">
        <v>148</v>
      </c>
      <c r="O48" s="195">
        <v>1800</v>
      </c>
      <c r="P48" s="195" t="s">
        <v>18</v>
      </c>
      <c r="Q48" s="192" t="str">
        <f>IF(Indata!Q52="","",Indata!Q52)</f>
        <v/>
      </c>
      <c r="R48" s="309" t="str">
        <f>IF(Indata!R52="","",Indata!R52)</f>
        <v/>
      </c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1"/>
      <c r="AO48" s="411"/>
      <c r="AP48" s="411"/>
      <c r="AQ48" s="411"/>
      <c r="AR48" s="411"/>
      <c r="AS48" s="411"/>
      <c r="AT48" s="411"/>
    </row>
    <row r="49" spans="1:46" s="102" customFormat="1" ht="12" customHeight="1">
      <c r="A49" s="117">
        <v>18</v>
      </c>
      <c r="B49" s="102" t="s">
        <v>266</v>
      </c>
      <c r="C49" s="266">
        <v>45728</v>
      </c>
      <c r="D49" s="192">
        <v>4.5999999999999996</v>
      </c>
      <c r="E49" s="192">
        <v>13.39</v>
      </c>
      <c r="F49" s="214">
        <v>104</v>
      </c>
      <c r="G49" s="192">
        <v>8.4</v>
      </c>
      <c r="H49" s="192">
        <v>1.5</v>
      </c>
      <c r="I49" s="192">
        <v>57.4</v>
      </c>
      <c r="J49" s="194">
        <v>1.5</v>
      </c>
      <c r="K49" s="195">
        <v>12</v>
      </c>
      <c r="L49" s="195">
        <v>20</v>
      </c>
      <c r="M49" s="195">
        <v>4300</v>
      </c>
      <c r="N49" s="195" t="s">
        <v>148</v>
      </c>
      <c r="O49" s="195">
        <v>5000</v>
      </c>
      <c r="P49" s="195" t="s">
        <v>18</v>
      </c>
      <c r="Q49" s="192" t="str">
        <f>IF(Indata!Q53="","",Indata!Q53)</f>
        <v/>
      </c>
      <c r="R49" s="309" t="str">
        <f>IF(Indata!R53="","",Indata!R53)</f>
        <v/>
      </c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1"/>
      <c r="AI49" s="411"/>
      <c r="AJ49" s="411"/>
      <c r="AK49" s="411"/>
      <c r="AL49" s="411"/>
      <c r="AM49" s="411"/>
      <c r="AN49" s="411"/>
      <c r="AO49" s="411"/>
      <c r="AP49" s="411"/>
      <c r="AQ49" s="411"/>
      <c r="AR49" s="411"/>
      <c r="AS49" s="411"/>
      <c r="AT49" s="411"/>
    </row>
    <row r="50" spans="1:46" s="102" customFormat="1" ht="12" customHeight="1">
      <c r="A50" s="118">
        <v>19</v>
      </c>
      <c r="B50" s="102" t="s">
        <v>260</v>
      </c>
      <c r="C50" s="266">
        <v>45734</v>
      </c>
      <c r="D50" s="192">
        <v>4.5999999999999996</v>
      </c>
      <c r="E50" s="192">
        <v>17.86</v>
      </c>
      <c r="F50" s="214">
        <v>139</v>
      </c>
      <c r="G50" s="192">
        <v>8.5</v>
      </c>
      <c r="H50" s="192">
        <v>1.4</v>
      </c>
      <c r="I50" s="192">
        <v>55.1</v>
      </c>
      <c r="J50" s="194">
        <v>2.7</v>
      </c>
      <c r="K50" s="195">
        <v>5</v>
      </c>
      <c r="L50" s="195">
        <v>30</v>
      </c>
      <c r="M50" s="195">
        <v>4600</v>
      </c>
      <c r="N50" s="195" t="s">
        <v>148</v>
      </c>
      <c r="O50" s="195">
        <v>4800</v>
      </c>
      <c r="P50" s="195" t="s">
        <v>18</v>
      </c>
      <c r="Q50" s="192" t="str">
        <f>IF(Indata!Q54="","",Indata!Q54)</f>
        <v/>
      </c>
      <c r="R50" s="309" t="str">
        <f>IF(Indata!R54="","",Indata!R54)</f>
        <v/>
      </c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411"/>
    </row>
    <row r="51" spans="1:46" s="102" customFormat="1" ht="12" customHeight="1">
      <c r="A51" s="117">
        <v>20</v>
      </c>
      <c r="B51" s="102" t="s">
        <v>267</v>
      </c>
      <c r="C51" s="266">
        <v>45734</v>
      </c>
      <c r="D51" s="192">
        <v>4.7</v>
      </c>
      <c r="E51" s="192">
        <v>16.8</v>
      </c>
      <c r="F51" s="214">
        <v>131</v>
      </c>
      <c r="G51" s="192">
        <v>8.5</v>
      </c>
      <c r="H51" s="192">
        <v>1.8</v>
      </c>
      <c r="I51" s="192">
        <v>56.2</v>
      </c>
      <c r="J51" s="194">
        <v>2.6</v>
      </c>
      <c r="K51" s="195">
        <v>9.3000000000000007</v>
      </c>
      <c r="L51" s="195">
        <v>44</v>
      </c>
      <c r="M51" s="195">
        <v>4500</v>
      </c>
      <c r="N51" s="195">
        <v>110</v>
      </c>
      <c r="O51" s="195">
        <v>4800</v>
      </c>
      <c r="P51" s="195" t="s">
        <v>18</v>
      </c>
      <c r="Q51" s="192" t="str">
        <f>IF(Indata!Q55="","",Indata!Q55)</f>
        <v/>
      </c>
      <c r="R51" s="309" t="str">
        <f>IF(Indata!R55="","",Indata!R55)</f>
        <v/>
      </c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  <c r="AN51" s="411"/>
      <c r="AO51" s="411"/>
      <c r="AP51" s="411"/>
      <c r="AQ51" s="411"/>
      <c r="AR51" s="411"/>
      <c r="AS51" s="411"/>
      <c r="AT51" s="411"/>
    </row>
    <row r="52" spans="1:46" s="102" customFormat="1" ht="12" customHeight="1">
      <c r="A52" s="117">
        <v>21</v>
      </c>
      <c r="B52" s="102" t="s">
        <v>261</v>
      </c>
      <c r="C52" s="266">
        <v>45734</v>
      </c>
      <c r="D52" s="192">
        <v>4.4000000000000004</v>
      </c>
      <c r="E52" s="192">
        <v>16.05</v>
      </c>
      <c r="F52" s="214">
        <v>124</v>
      </c>
      <c r="G52" s="192">
        <v>8.5</v>
      </c>
      <c r="H52" s="192">
        <v>1.5</v>
      </c>
      <c r="I52" s="192">
        <v>47.3</v>
      </c>
      <c r="J52" s="194">
        <v>2.2000000000000002</v>
      </c>
      <c r="K52" s="195">
        <v>7</v>
      </c>
      <c r="L52" s="195">
        <v>27</v>
      </c>
      <c r="M52" s="195">
        <v>4900</v>
      </c>
      <c r="N52" s="195" t="s">
        <v>148</v>
      </c>
      <c r="O52" s="195">
        <v>4900</v>
      </c>
      <c r="P52" s="195" t="s">
        <v>18</v>
      </c>
      <c r="Q52" s="192" t="str">
        <f>IF(Indata!Q56="","",Indata!Q56)</f>
        <v/>
      </c>
      <c r="R52" s="309" t="str">
        <f>IF(Indata!R56="","",Indata!R56)</f>
        <v/>
      </c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</row>
    <row r="53" spans="1:46" s="102" customFormat="1" ht="12" customHeight="1">
      <c r="A53" s="117">
        <v>22</v>
      </c>
      <c r="B53" s="102" t="s">
        <v>268</v>
      </c>
      <c r="C53" s="266">
        <v>45734</v>
      </c>
      <c r="D53" s="192">
        <v>3</v>
      </c>
      <c r="E53" s="192">
        <v>14.05</v>
      </c>
      <c r="F53" s="214">
        <v>104</v>
      </c>
      <c r="G53" s="192">
        <v>8.1</v>
      </c>
      <c r="H53" s="192">
        <v>1.9</v>
      </c>
      <c r="I53" s="192">
        <v>39.200000000000003</v>
      </c>
      <c r="J53" s="194">
        <v>1.6</v>
      </c>
      <c r="K53" s="195">
        <v>21</v>
      </c>
      <c r="L53" s="195">
        <v>40</v>
      </c>
      <c r="M53" s="195">
        <v>3600</v>
      </c>
      <c r="N53" s="195" t="s">
        <v>148</v>
      </c>
      <c r="O53" s="195">
        <v>3600</v>
      </c>
      <c r="P53" s="195" t="s">
        <v>18</v>
      </c>
      <c r="Q53" s="192" t="str">
        <f>IF(Indata!Q57="","",Indata!Q57)</f>
        <v/>
      </c>
      <c r="R53" s="309" t="str">
        <f>IF(Indata!R57="","",Indata!R57)</f>
        <v/>
      </c>
      <c r="S53" s="411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1"/>
      <c r="AL53" s="411"/>
      <c r="AM53" s="411"/>
      <c r="AN53" s="411"/>
      <c r="AO53" s="411"/>
      <c r="AP53" s="411"/>
      <c r="AQ53" s="411"/>
      <c r="AR53" s="411"/>
      <c r="AS53" s="411"/>
      <c r="AT53" s="411"/>
    </row>
    <row r="54" spans="1:46" s="102" customFormat="1" ht="12" customHeight="1">
      <c r="A54" s="117">
        <v>23</v>
      </c>
      <c r="B54" s="122" t="s">
        <v>297</v>
      </c>
      <c r="C54" s="266">
        <v>45734</v>
      </c>
      <c r="D54" s="192">
        <v>5.7</v>
      </c>
      <c r="E54" s="192">
        <v>15.4</v>
      </c>
      <c r="F54" s="214">
        <v>123</v>
      </c>
      <c r="G54" s="192">
        <v>8.1999999999999993</v>
      </c>
      <c r="H54" s="192">
        <v>2.4</v>
      </c>
      <c r="I54" s="192">
        <v>62.5</v>
      </c>
      <c r="J54" s="194">
        <v>2</v>
      </c>
      <c r="K54" s="195">
        <v>14</v>
      </c>
      <c r="L54" s="195">
        <v>37</v>
      </c>
      <c r="M54" s="195">
        <v>4400</v>
      </c>
      <c r="N54" s="195">
        <v>49</v>
      </c>
      <c r="O54" s="195">
        <v>4700</v>
      </c>
      <c r="P54" s="195" t="s">
        <v>18</v>
      </c>
      <c r="Q54" s="192" t="str">
        <f>IF(Indata!Q58="","",Indata!Q58)</f>
        <v/>
      </c>
      <c r="R54" s="309" t="str">
        <f>IF(Indata!R58="","",Indata!R58)</f>
        <v/>
      </c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411"/>
      <c r="AI54" s="411"/>
      <c r="AJ54" s="411"/>
      <c r="AK54" s="411"/>
      <c r="AL54" s="411"/>
      <c r="AM54" s="411"/>
      <c r="AN54" s="411"/>
      <c r="AO54" s="411"/>
      <c r="AP54" s="411"/>
      <c r="AQ54" s="411"/>
      <c r="AR54" s="411"/>
      <c r="AS54" s="411"/>
      <c r="AT54" s="411"/>
    </row>
    <row r="55" spans="1:46" s="102" customFormat="1" ht="12" customHeight="1">
      <c r="A55" s="117">
        <v>24</v>
      </c>
      <c r="B55" s="102" t="s">
        <v>269</v>
      </c>
      <c r="C55" s="266">
        <v>45734</v>
      </c>
      <c r="D55" s="192">
        <v>4.3</v>
      </c>
      <c r="E55" s="192">
        <v>16.57</v>
      </c>
      <c r="F55" s="214">
        <v>128</v>
      </c>
      <c r="G55" s="192">
        <v>8.4</v>
      </c>
      <c r="H55" s="192">
        <v>1.8</v>
      </c>
      <c r="I55" s="192">
        <v>60.7</v>
      </c>
      <c r="J55" s="194">
        <v>1.8</v>
      </c>
      <c r="K55" s="195">
        <v>8.1</v>
      </c>
      <c r="L55" s="195">
        <v>26</v>
      </c>
      <c r="M55" s="195">
        <v>2800</v>
      </c>
      <c r="N55" s="195" t="s">
        <v>148</v>
      </c>
      <c r="O55" s="195">
        <v>3000</v>
      </c>
      <c r="P55" s="195" t="s">
        <v>18</v>
      </c>
      <c r="Q55" s="192" t="str">
        <f>IF(Indata!Q59="","",Indata!Q59)</f>
        <v/>
      </c>
      <c r="R55" s="309" t="str">
        <f>IF(Indata!R59="","",Indata!R59)</f>
        <v/>
      </c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11"/>
      <c r="AJ55" s="411"/>
      <c r="AK55" s="411"/>
      <c r="AL55" s="411"/>
      <c r="AM55" s="411"/>
      <c r="AN55" s="411"/>
      <c r="AO55" s="411"/>
      <c r="AP55" s="411"/>
      <c r="AQ55" s="411"/>
      <c r="AR55" s="411"/>
      <c r="AS55" s="411"/>
      <c r="AT55" s="411"/>
    </row>
    <row r="56" spans="1:46" s="102" customFormat="1" ht="12" customHeight="1">
      <c r="A56" s="117">
        <v>25</v>
      </c>
      <c r="B56" s="102" t="s">
        <v>263</v>
      </c>
      <c r="C56" s="266">
        <v>45728</v>
      </c>
      <c r="D56" s="192">
        <v>5.7</v>
      </c>
      <c r="E56" s="192">
        <v>12.3</v>
      </c>
      <c r="F56" s="214">
        <v>98</v>
      </c>
      <c r="G56" s="192">
        <v>8</v>
      </c>
      <c r="H56" s="192">
        <v>5.6</v>
      </c>
      <c r="I56" s="192">
        <v>42.7</v>
      </c>
      <c r="J56" s="194">
        <v>2.7</v>
      </c>
      <c r="K56" s="195">
        <v>9.6999999999999993</v>
      </c>
      <c r="L56" s="195">
        <v>48</v>
      </c>
      <c r="M56" s="195">
        <v>850</v>
      </c>
      <c r="N56" s="195">
        <v>27</v>
      </c>
      <c r="O56" s="195">
        <v>1400</v>
      </c>
      <c r="P56" s="195" t="s">
        <v>18</v>
      </c>
      <c r="Q56" s="192" t="str">
        <f>IF(Indata!Q60="","",Indata!Q60)</f>
        <v/>
      </c>
      <c r="R56" s="309" t="str">
        <f>IF(Indata!R60="","",Indata!R60)</f>
        <v/>
      </c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  <c r="AI56" s="411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1"/>
    </row>
    <row r="57" spans="1:46" s="102" customFormat="1" ht="12" customHeight="1">
      <c r="A57" s="117">
        <v>27</v>
      </c>
      <c r="B57" s="102" t="s">
        <v>264</v>
      </c>
      <c r="C57" s="266">
        <v>45734</v>
      </c>
      <c r="D57" s="192">
        <v>4.7</v>
      </c>
      <c r="E57" s="192">
        <v>14.25</v>
      </c>
      <c r="F57" s="214">
        <v>111</v>
      </c>
      <c r="G57" s="192">
        <v>8.5</v>
      </c>
      <c r="H57" s="192">
        <v>1.9</v>
      </c>
      <c r="I57" s="192">
        <v>33.799999999999997</v>
      </c>
      <c r="J57" s="194">
        <v>3</v>
      </c>
      <c r="K57" s="195" t="s">
        <v>149</v>
      </c>
      <c r="L57" s="195">
        <v>28</v>
      </c>
      <c r="M57" s="195">
        <v>780</v>
      </c>
      <c r="N57" s="195">
        <v>16</v>
      </c>
      <c r="O57" s="195">
        <v>1300</v>
      </c>
      <c r="P57" s="195" t="s">
        <v>18</v>
      </c>
      <c r="Q57" s="192" t="str">
        <f>IF(Indata!Q61="","",Indata!Q61)</f>
        <v/>
      </c>
      <c r="R57" s="309" t="str">
        <f>IF(Indata!R61="","",Indata!R61)</f>
        <v/>
      </c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  <c r="AI57" s="411"/>
      <c r="AJ57" s="411"/>
      <c r="AK57" s="411"/>
      <c r="AL57" s="411"/>
      <c r="AM57" s="411"/>
      <c r="AN57" s="411"/>
      <c r="AO57" s="411"/>
      <c r="AP57" s="411"/>
      <c r="AQ57" s="411"/>
      <c r="AR57" s="411"/>
      <c r="AS57" s="411"/>
      <c r="AT57" s="411"/>
    </row>
    <row r="58" spans="1:46" s="102" customFormat="1" ht="12" customHeight="1">
      <c r="A58" s="118">
        <v>29</v>
      </c>
      <c r="B58" s="102" t="s">
        <v>295</v>
      </c>
      <c r="C58" s="266">
        <v>45728</v>
      </c>
      <c r="D58" s="192">
        <v>4.3</v>
      </c>
      <c r="E58" s="192">
        <v>14.6</v>
      </c>
      <c r="F58" s="214">
        <v>112</v>
      </c>
      <c r="G58" s="192">
        <v>8.4</v>
      </c>
      <c r="H58" s="192">
        <v>2.7</v>
      </c>
      <c r="I58" s="192">
        <v>42.2</v>
      </c>
      <c r="J58" s="194" t="s">
        <v>18</v>
      </c>
      <c r="K58" s="195">
        <v>4.8</v>
      </c>
      <c r="L58" s="195">
        <v>48</v>
      </c>
      <c r="M58" s="195">
        <v>3100</v>
      </c>
      <c r="N58" s="195" t="s">
        <v>148</v>
      </c>
      <c r="O58" s="195">
        <v>3700</v>
      </c>
      <c r="P58" s="195" t="s">
        <v>18</v>
      </c>
      <c r="Q58" s="192">
        <f>IF(Indata!Q62="","",Indata!Q62)</f>
        <v>1.6</v>
      </c>
      <c r="R58" s="309" t="str">
        <f>IF(Indata!R62="","",Indata!R62)</f>
        <v/>
      </c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1"/>
      <c r="AO58" s="411"/>
      <c r="AP58" s="411"/>
      <c r="AQ58" s="411"/>
      <c r="AR58" s="411"/>
      <c r="AS58" s="411"/>
      <c r="AT58" s="411"/>
    </row>
    <row r="59" spans="1:46" s="102" customFormat="1" ht="12" customHeight="1">
      <c r="A59" s="118">
        <v>30</v>
      </c>
      <c r="B59" s="102" t="s">
        <v>296</v>
      </c>
      <c r="C59" s="266">
        <v>45728</v>
      </c>
      <c r="D59" s="192">
        <v>4.7</v>
      </c>
      <c r="E59" s="192">
        <v>14.55</v>
      </c>
      <c r="F59" s="214">
        <v>113</v>
      </c>
      <c r="G59" s="192" t="s">
        <v>18</v>
      </c>
      <c r="H59" s="192" t="s">
        <v>18</v>
      </c>
      <c r="I59" s="192" t="s">
        <v>18</v>
      </c>
      <c r="J59" s="194" t="s">
        <v>18</v>
      </c>
      <c r="K59" s="195">
        <v>9.6999999999999993</v>
      </c>
      <c r="L59" s="195">
        <v>51</v>
      </c>
      <c r="M59" s="195">
        <v>3100</v>
      </c>
      <c r="N59" s="195" t="s">
        <v>148</v>
      </c>
      <c r="O59" s="195">
        <v>3800</v>
      </c>
      <c r="P59" s="195" t="s">
        <v>18</v>
      </c>
      <c r="Q59" s="192" t="str">
        <f>IF(Indata!Q63="","",Indata!Q63)</f>
        <v/>
      </c>
      <c r="R59" s="309" t="str">
        <f>IF(Indata!R63="","",Indata!R63)</f>
        <v/>
      </c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411"/>
      <c r="AI59" s="411"/>
      <c r="AJ59" s="411"/>
      <c r="AK59" s="411"/>
      <c r="AL59" s="411"/>
      <c r="AM59" s="411"/>
      <c r="AN59" s="411"/>
      <c r="AO59" s="411"/>
      <c r="AP59" s="411"/>
      <c r="AQ59" s="411"/>
      <c r="AR59" s="411"/>
      <c r="AS59" s="411"/>
      <c r="AT59" s="411"/>
    </row>
    <row r="60" spans="1:46">
      <c r="A60" s="1">
        <v>200</v>
      </c>
      <c r="B60" s="62"/>
      <c r="C60" s="266"/>
      <c r="D60" s="192"/>
      <c r="E60" s="192"/>
      <c r="F60" s="214"/>
      <c r="G60" s="192"/>
      <c r="H60" s="192"/>
      <c r="I60" s="192"/>
      <c r="J60" s="194"/>
      <c r="K60" s="195"/>
      <c r="L60" s="195"/>
      <c r="M60" s="195"/>
      <c r="N60" s="195"/>
      <c r="O60" s="195"/>
      <c r="P60" s="195"/>
      <c r="Q60" s="192"/>
      <c r="R60" s="309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8"/>
      <c r="AT60" s="388"/>
    </row>
    <row r="61" spans="1:46" s="388" customFormat="1" ht="17.25" customHeight="1">
      <c r="A61" s="381">
        <v>250</v>
      </c>
      <c r="B61" s="382" t="s">
        <v>23</v>
      </c>
      <c r="C61" s="408"/>
      <c r="D61" s="384"/>
      <c r="E61" s="384"/>
      <c r="F61" s="385"/>
      <c r="G61" s="384"/>
      <c r="H61" s="384"/>
      <c r="I61" s="384"/>
      <c r="J61" s="384"/>
      <c r="K61" s="386"/>
      <c r="L61" s="386"/>
      <c r="M61" s="386"/>
      <c r="N61" s="386"/>
      <c r="O61" s="386"/>
      <c r="P61" s="386"/>
      <c r="Q61" s="384"/>
      <c r="R61" s="387"/>
    </row>
    <row r="62" spans="1:46" s="110" customFormat="1" ht="12" customHeight="1">
      <c r="A62" s="117">
        <v>3</v>
      </c>
      <c r="B62" s="102" t="s">
        <v>252</v>
      </c>
      <c r="C62" s="266">
        <v>45761</v>
      </c>
      <c r="D62" s="192">
        <v>11.5</v>
      </c>
      <c r="E62" s="192">
        <v>9.98</v>
      </c>
      <c r="F62" s="214">
        <v>92</v>
      </c>
      <c r="G62" s="192">
        <v>8</v>
      </c>
      <c r="H62" s="192">
        <v>2.6</v>
      </c>
      <c r="I62" s="192">
        <v>57.6</v>
      </c>
      <c r="J62" s="194">
        <v>1.7</v>
      </c>
      <c r="K62" s="195">
        <v>14</v>
      </c>
      <c r="L62" s="195">
        <v>45</v>
      </c>
      <c r="M62" s="195">
        <v>1800</v>
      </c>
      <c r="N62" s="195">
        <v>30</v>
      </c>
      <c r="O62" s="195">
        <v>2500</v>
      </c>
      <c r="P62" s="195" t="s">
        <v>18</v>
      </c>
      <c r="Q62" s="192" t="str">
        <f>IF(Indata!Q66="","",Indata!Q66)</f>
        <v/>
      </c>
      <c r="R62" s="309" t="str">
        <f>IF(Indata!R66="","",Indata!R66)</f>
        <v/>
      </c>
      <c r="S62" s="412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2"/>
    </row>
    <row r="63" spans="1:46" s="110" customFormat="1" ht="12" customHeight="1">
      <c r="A63" s="117">
        <v>6</v>
      </c>
      <c r="B63" s="102" t="s">
        <v>265</v>
      </c>
      <c r="C63" s="266">
        <v>45761</v>
      </c>
      <c r="D63" s="192">
        <v>11.8</v>
      </c>
      <c r="E63" s="192">
        <v>8.5399999999999991</v>
      </c>
      <c r="F63" s="214">
        <v>79</v>
      </c>
      <c r="G63" s="192">
        <v>7.8</v>
      </c>
      <c r="H63" s="192">
        <v>3.5</v>
      </c>
      <c r="I63" s="192">
        <v>49.7</v>
      </c>
      <c r="J63" s="194">
        <v>1.9</v>
      </c>
      <c r="K63" s="195">
        <v>21</v>
      </c>
      <c r="L63" s="195">
        <v>59</v>
      </c>
      <c r="M63" s="195">
        <v>1200</v>
      </c>
      <c r="N63" s="195">
        <v>130</v>
      </c>
      <c r="O63" s="195">
        <v>1800</v>
      </c>
      <c r="P63" s="195" t="s">
        <v>18</v>
      </c>
      <c r="Q63" s="192" t="str">
        <f>IF(Indata!Q67="","",Indata!Q67)</f>
        <v/>
      </c>
      <c r="R63" s="309" t="str">
        <f>IF(Indata!R67="","",Indata!R67)</f>
        <v/>
      </c>
      <c r="S63" s="412"/>
      <c r="T63" s="412"/>
      <c r="U63" s="412"/>
      <c r="V63" s="412"/>
      <c r="W63" s="412"/>
      <c r="X63" s="412"/>
      <c r="Y63" s="412"/>
      <c r="Z63" s="412"/>
      <c r="AA63" s="412"/>
      <c r="AB63" s="41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2"/>
    </row>
    <row r="64" spans="1:46" s="110" customFormat="1" ht="12" customHeight="1">
      <c r="A64" s="117">
        <v>7</v>
      </c>
      <c r="B64" s="102" t="s">
        <v>254</v>
      </c>
      <c r="C64" s="266">
        <v>45761</v>
      </c>
      <c r="D64" s="192">
        <v>10.199999999999999</v>
      </c>
      <c r="E64" s="192">
        <v>11.89</v>
      </c>
      <c r="F64" s="214">
        <v>106</v>
      </c>
      <c r="G64" s="192">
        <v>8.6999999999999993</v>
      </c>
      <c r="H64" s="192">
        <v>1.1000000000000001</v>
      </c>
      <c r="I64" s="192">
        <v>41.5</v>
      </c>
      <c r="J64" s="194">
        <v>2</v>
      </c>
      <c r="K64" s="195" t="s">
        <v>149</v>
      </c>
      <c r="L64" s="195">
        <v>25</v>
      </c>
      <c r="M64" s="195">
        <v>2400</v>
      </c>
      <c r="N64" s="195">
        <v>33</v>
      </c>
      <c r="O64" s="195">
        <v>3000</v>
      </c>
      <c r="P64" s="195" t="s">
        <v>18</v>
      </c>
      <c r="Q64" s="192" t="str">
        <f>IF(Indata!Q68="","",Indata!Q68)</f>
        <v/>
      </c>
      <c r="R64" s="309" t="str">
        <f>IF(Indata!R68="","",Indata!R68)</f>
        <v/>
      </c>
      <c r="S64" s="412"/>
      <c r="T64" s="412"/>
      <c r="U64" s="412"/>
      <c r="V64" s="412"/>
      <c r="W64" s="412"/>
      <c r="X64" s="412"/>
      <c r="Y64" s="412"/>
      <c r="Z64" s="412"/>
      <c r="AA64" s="412"/>
      <c r="AB64" s="412"/>
      <c r="AC64" s="412"/>
      <c r="AD64" s="412"/>
      <c r="AE64" s="412"/>
      <c r="AF64" s="412"/>
      <c r="AG64" s="412"/>
      <c r="AH64" s="412"/>
      <c r="AI64" s="412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2"/>
    </row>
    <row r="65" spans="1:46" s="102" customFormat="1" ht="12" customHeight="1">
      <c r="A65" s="117">
        <v>11</v>
      </c>
      <c r="B65" s="102" t="s">
        <v>256</v>
      </c>
      <c r="C65" s="266">
        <v>45761</v>
      </c>
      <c r="D65" s="192">
        <v>10.7</v>
      </c>
      <c r="E65" s="192">
        <v>10.88</v>
      </c>
      <c r="F65" s="214">
        <v>98</v>
      </c>
      <c r="G65" s="192">
        <v>8.1</v>
      </c>
      <c r="H65" s="192">
        <v>1.5</v>
      </c>
      <c r="I65" s="192">
        <v>53.4</v>
      </c>
      <c r="J65" s="194">
        <v>2</v>
      </c>
      <c r="K65" s="195">
        <v>2.5</v>
      </c>
      <c r="L65" s="195">
        <v>25</v>
      </c>
      <c r="M65" s="195">
        <v>2200</v>
      </c>
      <c r="N65" s="195">
        <v>28</v>
      </c>
      <c r="O65" s="195">
        <v>2700</v>
      </c>
      <c r="P65" s="195" t="s">
        <v>18</v>
      </c>
      <c r="Q65" s="192" t="str">
        <f>IF(Indata!Q69="","",Indata!Q69)</f>
        <v/>
      </c>
      <c r="R65" s="309" t="str">
        <f>IF(Indata!R69="","",Indata!R69)</f>
        <v/>
      </c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</row>
    <row r="66" spans="1:46" s="102" customFormat="1" ht="12" customHeight="1">
      <c r="A66" s="118">
        <v>19</v>
      </c>
      <c r="B66" s="102" t="s">
        <v>260</v>
      </c>
      <c r="C66" s="266">
        <v>45761</v>
      </c>
      <c r="D66" s="192">
        <v>11.3</v>
      </c>
      <c r="E66" s="192">
        <v>10.5</v>
      </c>
      <c r="F66" s="214">
        <v>96</v>
      </c>
      <c r="G66" s="192">
        <v>8.1</v>
      </c>
      <c r="H66" s="192">
        <v>1.4</v>
      </c>
      <c r="I66" s="192">
        <v>70.099999999999994</v>
      </c>
      <c r="J66" s="194">
        <v>2.6</v>
      </c>
      <c r="K66" s="195">
        <v>13</v>
      </c>
      <c r="L66" s="195">
        <v>50</v>
      </c>
      <c r="M66" s="195">
        <v>2300</v>
      </c>
      <c r="N66" s="195">
        <v>26</v>
      </c>
      <c r="O66" s="195">
        <v>3000</v>
      </c>
      <c r="P66" s="195" t="s">
        <v>18</v>
      </c>
      <c r="Q66" s="192" t="str">
        <f>IF(Indata!Q70="","",Indata!Q70)</f>
        <v/>
      </c>
      <c r="R66" s="309" t="str">
        <f>IF(Indata!R70="","",Indata!R70)</f>
        <v/>
      </c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</row>
    <row r="67" spans="1:46" s="102" customFormat="1" ht="12" customHeight="1">
      <c r="A67" s="117">
        <v>20</v>
      </c>
      <c r="B67" s="102" t="s">
        <v>267</v>
      </c>
      <c r="C67" s="266">
        <v>45761</v>
      </c>
      <c r="D67" s="192">
        <v>12</v>
      </c>
      <c r="E67" s="192">
        <v>12.59</v>
      </c>
      <c r="F67" s="214">
        <v>117</v>
      </c>
      <c r="G67" s="192">
        <v>8.1999999999999993</v>
      </c>
      <c r="H67" s="192">
        <v>1.5</v>
      </c>
      <c r="I67" s="192">
        <v>70</v>
      </c>
      <c r="J67" s="194">
        <v>2.5</v>
      </c>
      <c r="K67" s="195">
        <v>16</v>
      </c>
      <c r="L67" s="195">
        <v>54</v>
      </c>
      <c r="M67" s="195">
        <v>2500</v>
      </c>
      <c r="N67" s="195">
        <v>34</v>
      </c>
      <c r="O67" s="195">
        <v>3200</v>
      </c>
      <c r="P67" s="195" t="s">
        <v>18</v>
      </c>
      <c r="Q67" s="192" t="str">
        <f>IF(Indata!Q71="","",Indata!Q71)</f>
        <v/>
      </c>
      <c r="R67" s="309" t="str">
        <f>IF(Indata!R71="","",Indata!R71)</f>
        <v/>
      </c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11"/>
      <c r="AS67" s="411"/>
      <c r="AT67" s="411"/>
    </row>
    <row r="68" spans="1:46" s="102" customFormat="1" ht="12" customHeight="1">
      <c r="A68" s="117">
        <v>21</v>
      </c>
      <c r="B68" s="102" t="s">
        <v>261</v>
      </c>
      <c r="C68" s="266">
        <v>45761</v>
      </c>
      <c r="D68" s="192">
        <v>10.8</v>
      </c>
      <c r="E68" s="192">
        <v>12.15</v>
      </c>
      <c r="F68" s="214">
        <v>110</v>
      </c>
      <c r="G68" s="192">
        <v>8.3000000000000007</v>
      </c>
      <c r="H68" s="192">
        <v>1.6</v>
      </c>
      <c r="I68" s="192">
        <v>51.7</v>
      </c>
      <c r="J68" s="194">
        <v>2.2000000000000002</v>
      </c>
      <c r="K68" s="195">
        <v>8.1999999999999993</v>
      </c>
      <c r="L68" s="195">
        <v>28</v>
      </c>
      <c r="M68" s="195">
        <v>2600</v>
      </c>
      <c r="N68" s="195">
        <v>15</v>
      </c>
      <c r="O68" s="195">
        <v>3200</v>
      </c>
      <c r="P68" s="195" t="s">
        <v>18</v>
      </c>
      <c r="Q68" s="192" t="str">
        <f>IF(Indata!Q72="","",Indata!Q72)</f>
        <v/>
      </c>
      <c r="R68" s="309" t="str">
        <f>IF(Indata!R72="","",Indata!R72)</f>
        <v/>
      </c>
      <c r="S68" s="411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1"/>
      <c r="AH68" s="411"/>
      <c r="AI68" s="411"/>
      <c r="AJ68" s="411"/>
      <c r="AK68" s="411"/>
      <c r="AL68" s="411"/>
      <c r="AM68" s="411"/>
      <c r="AN68" s="411"/>
      <c r="AO68" s="411"/>
      <c r="AP68" s="411"/>
      <c r="AQ68" s="411"/>
      <c r="AR68" s="411"/>
      <c r="AS68" s="411"/>
      <c r="AT68" s="411"/>
    </row>
    <row r="69" spans="1:46" s="102" customFormat="1" ht="12" customHeight="1">
      <c r="A69" s="117">
        <v>25</v>
      </c>
      <c r="B69" s="102" t="s">
        <v>263</v>
      </c>
      <c r="C69" s="266">
        <v>45761</v>
      </c>
      <c r="D69" s="192">
        <v>11.2</v>
      </c>
      <c r="E69" s="192">
        <v>11.58</v>
      </c>
      <c r="F69" s="214">
        <v>106</v>
      </c>
      <c r="G69" s="192">
        <v>8</v>
      </c>
      <c r="H69" s="192">
        <v>4.3</v>
      </c>
      <c r="I69" s="192">
        <v>43.1</v>
      </c>
      <c r="J69" s="194">
        <v>1.8</v>
      </c>
      <c r="K69" s="195">
        <v>16</v>
      </c>
      <c r="L69" s="195">
        <v>52</v>
      </c>
      <c r="M69" s="195">
        <v>490</v>
      </c>
      <c r="N69" s="195">
        <v>31</v>
      </c>
      <c r="O69" s="195">
        <v>1100</v>
      </c>
      <c r="P69" s="195" t="s">
        <v>18</v>
      </c>
      <c r="Q69" s="192" t="str">
        <f>IF(Indata!Q73="","",Indata!Q73)</f>
        <v/>
      </c>
      <c r="R69" s="309" t="str">
        <f>IF(Indata!R73="","",Indata!R73)</f>
        <v/>
      </c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</row>
    <row r="70" spans="1:46" s="102" customFormat="1" ht="12" customHeight="1">
      <c r="A70" s="118">
        <v>29</v>
      </c>
      <c r="B70" s="102" t="s">
        <v>295</v>
      </c>
      <c r="C70" s="266">
        <v>45761</v>
      </c>
      <c r="D70" s="192">
        <v>9.4</v>
      </c>
      <c r="E70" s="192">
        <v>11.78</v>
      </c>
      <c r="F70" s="214">
        <v>103</v>
      </c>
      <c r="G70" s="192">
        <v>8.6999999999999993</v>
      </c>
      <c r="H70" s="192">
        <v>1.6</v>
      </c>
      <c r="I70" s="192">
        <v>41.2</v>
      </c>
      <c r="J70" s="194" t="s">
        <v>18</v>
      </c>
      <c r="K70" s="195" t="s">
        <v>149</v>
      </c>
      <c r="L70" s="195">
        <v>23</v>
      </c>
      <c r="M70" s="195">
        <v>2400</v>
      </c>
      <c r="N70" s="195">
        <v>52</v>
      </c>
      <c r="O70" s="195">
        <v>2900</v>
      </c>
      <c r="P70" s="195">
        <v>2.2999999999999998</v>
      </c>
      <c r="Q70" s="192">
        <f>IF(Indata!Q74="","",Indata!Q74)</f>
        <v>3.4</v>
      </c>
      <c r="R70" s="309" t="str">
        <f>IF(Indata!R74="","",Indata!R74)</f>
        <v/>
      </c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411"/>
      <c r="AS70" s="411"/>
      <c r="AT70" s="411"/>
    </row>
    <row r="71" spans="1:46" s="102" customFormat="1" ht="12" customHeight="1">
      <c r="A71" s="118">
        <v>30</v>
      </c>
      <c r="B71" s="102" t="s">
        <v>296</v>
      </c>
      <c r="C71" s="266">
        <v>45761</v>
      </c>
      <c r="D71" s="192">
        <v>9.5</v>
      </c>
      <c r="E71" s="192">
        <v>11.41</v>
      </c>
      <c r="F71" s="214">
        <v>100</v>
      </c>
      <c r="G71" s="192" t="s">
        <v>18</v>
      </c>
      <c r="H71" s="192" t="s">
        <v>18</v>
      </c>
      <c r="I71" s="192" t="s">
        <v>18</v>
      </c>
      <c r="J71" s="194" t="s">
        <v>18</v>
      </c>
      <c r="K71" s="195" t="s">
        <v>149</v>
      </c>
      <c r="L71" s="195">
        <v>26</v>
      </c>
      <c r="M71" s="195">
        <v>2300</v>
      </c>
      <c r="N71" s="195">
        <v>72</v>
      </c>
      <c r="O71" s="195">
        <v>3000</v>
      </c>
      <c r="P71" s="195" t="s">
        <v>18</v>
      </c>
      <c r="Q71" s="192" t="str">
        <f>IF(Indata!Q75="","",Indata!Q75)</f>
        <v/>
      </c>
      <c r="R71" s="309" t="str">
        <f>IF(Indata!R75="","",Indata!R75)</f>
        <v/>
      </c>
      <c r="S71" s="411"/>
      <c r="T71" s="411"/>
      <c r="U71" s="411"/>
      <c r="V71" s="411"/>
      <c r="W71" s="411"/>
      <c r="X71" s="411"/>
      <c r="Y71" s="411"/>
      <c r="Z71" s="411"/>
      <c r="AA71" s="411"/>
      <c r="AB71" s="411"/>
      <c r="AC71" s="411"/>
      <c r="AD71" s="411"/>
      <c r="AE71" s="411"/>
      <c r="AF71" s="411"/>
      <c r="AG71" s="411"/>
      <c r="AH71" s="411"/>
      <c r="AI71" s="411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1"/>
    </row>
    <row r="72" spans="1:46">
      <c r="A72" s="1">
        <v>200</v>
      </c>
      <c r="B72" s="62"/>
      <c r="C72" s="271"/>
      <c r="D72" s="267"/>
      <c r="E72" s="268"/>
      <c r="F72" s="269"/>
      <c r="G72" s="268"/>
      <c r="H72" s="268"/>
      <c r="I72" s="268"/>
      <c r="J72" s="268"/>
      <c r="K72" s="269"/>
      <c r="L72" s="269"/>
      <c r="M72" s="269"/>
      <c r="N72" s="269"/>
      <c r="O72" s="269"/>
      <c r="P72" s="269"/>
      <c r="Q72" s="268"/>
      <c r="R72" s="307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  <c r="AD72" s="388"/>
      <c r="AE72" s="388"/>
      <c r="AF72" s="388"/>
      <c r="AG72" s="388"/>
      <c r="AH72" s="388"/>
      <c r="AI72" s="388"/>
      <c r="AJ72" s="388"/>
      <c r="AK72" s="388"/>
      <c r="AL72" s="388"/>
      <c r="AM72" s="388"/>
      <c r="AN72" s="388"/>
      <c r="AO72" s="388"/>
      <c r="AP72" s="388"/>
      <c r="AQ72" s="388"/>
      <c r="AR72" s="388"/>
      <c r="AS72" s="388"/>
      <c r="AT72" s="388"/>
    </row>
    <row r="73" spans="1:46" s="388" customFormat="1" ht="17.25" customHeight="1">
      <c r="A73" s="381">
        <v>250</v>
      </c>
      <c r="B73" s="382" t="s">
        <v>24</v>
      </c>
      <c r="C73" s="408"/>
      <c r="D73" s="384"/>
      <c r="E73" s="384"/>
      <c r="F73" s="385"/>
      <c r="G73" s="384"/>
      <c r="H73" s="384"/>
      <c r="I73" s="384"/>
      <c r="J73" s="384"/>
      <c r="K73" s="386"/>
      <c r="L73" s="386"/>
      <c r="M73" s="386"/>
      <c r="N73" s="386"/>
      <c r="O73" s="386"/>
      <c r="P73" s="386"/>
      <c r="Q73" s="384"/>
      <c r="R73" s="387"/>
    </row>
    <row r="74" spans="1:46" s="102" customFormat="1" ht="12" customHeight="1">
      <c r="A74" s="117">
        <v>3</v>
      </c>
      <c r="B74" s="102" t="s">
        <v>252</v>
      </c>
      <c r="C74" s="266" t="s">
        <v>435</v>
      </c>
      <c r="D74" s="192">
        <v>15.4</v>
      </c>
      <c r="E74" s="192">
        <v>9.42</v>
      </c>
      <c r="F74" s="214">
        <v>94</v>
      </c>
      <c r="G74" s="192">
        <v>7.9</v>
      </c>
      <c r="H74" s="192">
        <v>1.7</v>
      </c>
      <c r="I74" s="192">
        <v>55.1</v>
      </c>
      <c r="J74" s="194">
        <v>1</v>
      </c>
      <c r="K74" s="195">
        <v>20</v>
      </c>
      <c r="L74" s="195">
        <v>51</v>
      </c>
      <c r="M74" s="195">
        <v>1100</v>
      </c>
      <c r="N74" s="195">
        <v>28</v>
      </c>
      <c r="O74" s="195">
        <v>1800</v>
      </c>
      <c r="P74" s="195" t="s">
        <v>18</v>
      </c>
      <c r="Q74" s="192" t="str">
        <f>IF(Indata!Q78="","",Indata!Q78)</f>
        <v/>
      </c>
      <c r="R74" s="309" t="str">
        <f>IF(Indata!R78="","",Indata!R78)</f>
        <v/>
      </c>
      <c r="S74" s="411"/>
      <c r="T74" s="411"/>
      <c r="U74" s="411"/>
      <c r="V74" s="411"/>
      <c r="W74" s="411"/>
      <c r="X74" s="411"/>
      <c r="Y74" s="411"/>
      <c r="Z74" s="411"/>
      <c r="AA74" s="411"/>
      <c r="AB74" s="411"/>
      <c r="AC74" s="411"/>
      <c r="AD74" s="411"/>
      <c r="AE74" s="411"/>
      <c r="AF74" s="411"/>
      <c r="AG74" s="411"/>
      <c r="AH74" s="411"/>
      <c r="AI74" s="411"/>
      <c r="AJ74" s="411"/>
      <c r="AK74" s="411"/>
      <c r="AL74" s="411"/>
      <c r="AM74" s="411"/>
      <c r="AN74" s="411"/>
      <c r="AO74" s="411"/>
      <c r="AP74" s="411"/>
      <c r="AQ74" s="411"/>
      <c r="AR74" s="411"/>
      <c r="AS74" s="411"/>
      <c r="AT74" s="411"/>
    </row>
    <row r="75" spans="1:46" s="102" customFormat="1" ht="12" customHeight="1">
      <c r="A75" s="117">
        <v>5</v>
      </c>
      <c r="B75" s="102" t="s">
        <v>253</v>
      </c>
      <c r="C75" s="266" t="s">
        <v>435</v>
      </c>
      <c r="D75" s="192">
        <v>15.5</v>
      </c>
      <c r="E75" s="192">
        <v>9.59</v>
      </c>
      <c r="F75" s="214">
        <v>96</v>
      </c>
      <c r="G75" s="192">
        <v>7.9</v>
      </c>
      <c r="H75" s="192">
        <v>2.4</v>
      </c>
      <c r="I75" s="192">
        <v>48.6</v>
      </c>
      <c r="J75" s="194">
        <v>1.3</v>
      </c>
      <c r="K75" s="195">
        <v>9.5</v>
      </c>
      <c r="L75" s="195">
        <v>43</v>
      </c>
      <c r="M75" s="195">
        <v>940</v>
      </c>
      <c r="N75" s="195">
        <v>36</v>
      </c>
      <c r="O75" s="195">
        <v>1500</v>
      </c>
      <c r="P75" s="195" t="s">
        <v>18</v>
      </c>
      <c r="Q75" s="192" t="str">
        <f>IF(Indata!Q79="","",Indata!Q79)</f>
        <v/>
      </c>
      <c r="R75" s="309" t="str">
        <f>IF(Indata!R79="","",Indata!R79)</f>
        <v/>
      </c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1"/>
      <c r="AH75" s="411"/>
      <c r="AI75" s="411"/>
      <c r="AJ75" s="411"/>
      <c r="AK75" s="411"/>
      <c r="AL75" s="411"/>
      <c r="AM75" s="411"/>
      <c r="AN75" s="411"/>
      <c r="AO75" s="411"/>
      <c r="AP75" s="411"/>
      <c r="AQ75" s="411"/>
      <c r="AR75" s="411"/>
      <c r="AS75" s="411"/>
      <c r="AT75" s="411"/>
    </row>
    <row r="76" spans="1:46" s="102" customFormat="1" ht="12" customHeight="1">
      <c r="A76" s="117">
        <v>6</v>
      </c>
      <c r="B76" s="102" t="s">
        <v>265</v>
      </c>
      <c r="C76" s="266" t="s">
        <v>435</v>
      </c>
      <c r="D76" s="192">
        <v>15.4</v>
      </c>
      <c r="E76" s="192">
        <v>10.39</v>
      </c>
      <c r="F76" s="214">
        <v>104</v>
      </c>
      <c r="G76" s="192">
        <v>7.9</v>
      </c>
      <c r="H76" s="192">
        <v>2.7</v>
      </c>
      <c r="I76" s="192">
        <v>46.7</v>
      </c>
      <c r="J76" s="194">
        <v>1.5</v>
      </c>
      <c r="K76" s="195">
        <v>18</v>
      </c>
      <c r="L76" s="195">
        <v>52</v>
      </c>
      <c r="M76" s="195">
        <v>920</v>
      </c>
      <c r="N76" s="195">
        <v>70</v>
      </c>
      <c r="O76" s="195">
        <v>1500</v>
      </c>
      <c r="P76" s="195" t="s">
        <v>18</v>
      </c>
      <c r="Q76" s="192" t="str">
        <f>IF(Indata!Q80="","",Indata!Q80)</f>
        <v/>
      </c>
      <c r="R76" s="309" t="str">
        <f>IF(Indata!R80="","",Indata!R80)</f>
        <v/>
      </c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411"/>
      <c r="AH76" s="411"/>
      <c r="AI76" s="411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1"/>
    </row>
    <row r="77" spans="1:46" s="102" customFormat="1" ht="12" customHeight="1">
      <c r="A77" s="117">
        <v>7</v>
      </c>
      <c r="B77" s="102" t="s">
        <v>254</v>
      </c>
      <c r="C77" s="266" t="s">
        <v>435</v>
      </c>
      <c r="D77" s="192">
        <v>14</v>
      </c>
      <c r="E77" s="192">
        <v>13.05</v>
      </c>
      <c r="F77" s="214">
        <v>127</v>
      </c>
      <c r="G77" s="192">
        <v>8.6</v>
      </c>
      <c r="H77" s="192">
        <v>2</v>
      </c>
      <c r="I77" s="192">
        <v>41.2</v>
      </c>
      <c r="J77" s="194">
        <v>2.8</v>
      </c>
      <c r="K77" s="195" t="s">
        <v>149</v>
      </c>
      <c r="L77" s="195">
        <v>32</v>
      </c>
      <c r="M77" s="195">
        <v>1800</v>
      </c>
      <c r="N77" s="195">
        <v>46</v>
      </c>
      <c r="O77" s="195">
        <v>2600</v>
      </c>
      <c r="P77" s="195" t="s">
        <v>18</v>
      </c>
      <c r="Q77" s="192" t="str">
        <f>IF(Indata!Q81="","",Indata!Q81)</f>
        <v/>
      </c>
      <c r="R77" s="309" t="str">
        <f>IF(Indata!R81="","",Indata!R81)</f>
        <v/>
      </c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  <c r="AH77" s="411"/>
      <c r="AI77" s="411"/>
      <c r="AJ77" s="411"/>
      <c r="AK77" s="411"/>
      <c r="AL77" s="411"/>
      <c r="AM77" s="411"/>
      <c r="AN77" s="411"/>
      <c r="AO77" s="411"/>
      <c r="AP77" s="411"/>
      <c r="AQ77" s="411"/>
      <c r="AR77" s="411"/>
      <c r="AS77" s="411"/>
      <c r="AT77" s="411"/>
    </row>
    <row r="78" spans="1:46" s="102" customFormat="1" ht="12" customHeight="1">
      <c r="A78" s="117">
        <v>9</v>
      </c>
      <c r="B78" s="102" t="s">
        <v>255</v>
      </c>
      <c r="C78" s="266" t="s">
        <v>436</v>
      </c>
      <c r="D78" s="192">
        <v>11.4</v>
      </c>
      <c r="E78" s="192">
        <v>8.43</v>
      </c>
      <c r="F78" s="214">
        <v>77</v>
      </c>
      <c r="G78" s="192">
        <v>7.7</v>
      </c>
      <c r="H78" s="192">
        <v>3.1</v>
      </c>
      <c r="I78" s="192">
        <v>46.9</v>
      </c>
      <c r="J78" s="194">
        <v>4.4000000000000004</v>
      </c>
      <c r="K78" s="195">
        <v>25</v>
      </c>
      <c r="L78" s="195">
        <v>100</v>
      </c>
      <c r="M78" s="195">
        <v>590</v>
      </c>
      <c r="N78" s="195">
        <v>130</v>
      </c>
      <c r="O78" s="195">
        <v>1500</v>
      </c>
      <c r="P78" s="195" t="s">
        <v>18</v>
      </c>
      <c r="Q78" s="192" t="str">
        <f>IF(Indata!Q82="","",Indata!Q82)</f>
        <v/>
      </c>
      <c r="R78" s="309" t="str">
        <f>IF(Indata!R82="","",Indata!R82)</f>
        <v/>
      </c>
      <c r="S78" s="411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E78" s="411"/>
      <c r="AF78" s="411"/>
      <c r="AG78" s="411"/>
      <c r="AH78" s="411"/>
      <c r="AI78" s="411"/>
      <c r="AJ78" s="411"/>
      <c r="AK78" s="411"/>
      <c r="AL78" s="411"/>
      <c r="AM78" s="411"/>
      <c r="AN78" s="411"/>
      <c r="AO78" s="411"/>
      <c r="AP78" s="411"/>
      <c r="AQ78" s="411"/>
      <c r="AR78" s="411"/>
      <c r="AS78" s="411"/>
      <c r="AT78" s="411"/>
    </row>
    <row r="79" spans="1:46" s="102" customFormat="1" ht="12" customHeight="1">
      <c r="A79" s="117">
        <v>11</v>
      </c>
      <c r="B79" s="102" t="s">
        <v>256</v>
      </c>
      <c r="C79" s="266" t="s">
        <v>435</v>
      </c>
      <c r="D79" s="192">
        <v>13</v>
      </c>
      <c r="E79" s="192">
        <v>10.52</v>
      </c>
      <c r="F79" s="214">
        <v>100</v>
      </c>
      <c r="G79" s="192">
        <v>8.1</v>
      </c>
      <c r="H79" s="192">
        <v>1.2</v>
      </c>
      <c r="I79" s="192">
        <v>53.3</v>
      </c>
      <c r="J79" s="194">
        <v>1.2</v>
      </c>
      <c r="K79" s="195">
        <v>9.1999999999999993</v>
      </c>
      <c r="L79" s="195">
        <v>26</v>
      </c>
      <c r="M79" s="195">
        <v>1600</v>
      </c>
      <c r="N79" s="195">
        <v>22</v>
      </c>
      <c r="O79" s="195">
        <v>2200</v>
      </c>
      <c r="P79" s="195" t="s">
        <v>18</v>
      </c>
      <c r="Q79" s="192" t="str">
        <f>IF(Indata!Q83="","",Indata!Q83)</f>
        <v/>
      </c>
      <c r="R79" s="309" t="str">
        <f>IF(Indata!R83="","",Indata!R83)</f>
        <v/>
      </c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1"/>
      <c r="AH79" s="411"/>
      <c r="AI79" s="411"/>
      <c r="AJ79" s="411"/>
      <c r="AK79" s="411"/>
      <c r="AL79" s="411"/>
      <c r="AM79" s="411"/>
      <c r="AN79" s="411"/>
      <c r="AO79" s="411"/>
      <c r="AP79" s="411"/>
      <c r="AQ79" s="411"/>
      <c r="AR79" s="411"/>
      <c r="AS79" s="411"/>
      <c r="AT79" s="411"/>
    </row>
    <row r="80" spans="1:46" s="102" customFormat="1" ht="12" customHeight="1">
      <c r="A80" s="117">
        <v>13</v>
      </c>
      <c r="B80" s="102" t="s">
        <v>257</v>
      </c>
      <c r="C80" s="266" t="s">
        <v>435</v>
      </c>
      <c r="D80" s="192">
        <v>13.4</v>
      </c>
      <c r="E80" s="192">
        <v>10.88</v>
      </c>
      <c r="F80" s="214">
        <v>105</v>
      </c>
      <c r="G80" s="192">
        <v>8.1</v>
      </c>
      <c r="H80" s="192">
        <v>1.8</v>
      </c>
      <c r="I80" s="192">
        <v>47.8</v>
      </c>
      <c r="J80" s="194">
        <v>1.8</v>
      </c>
      <c r="K80" s="195">
        <v>14</v>
      </c>
      <c r="L80" s="195">
        <v>39</v>
      </c>
      <c r="M80" s="195">
        <v>1500</v>
      </c>
      <c r="N80" s="195">
        <v>20</v>
      </c>
      <c r="O80" s="195">
        <v>2200</v>
      </c>
      <c r="P80" s="195" t="s">
        <v>18</v>
      </c>
      <c r="Q80" s="192" t="str">
        <f>IF(Indata!Q84="","",Indata!Q84)</f>
        <v/>
      </c>
      <c r="R80" s="309" t="str">
        <f>IF(Indata!R84="","",Indata!R84)</f>
        <v/>
      </c>
      <c r="S80" s="411"/>
      <c r="T80" s="411"/>
      <c r="U80" s="411"/>
      <c r="V80" s="411"/>
      <c r="W80" s="411"/>
      <c r="X80" s="411"/>
      <c r="Y80" s="411"/>
      <c r="Z80" s="411"/>
      <c r="AA80" s="411"/>
      <c r="AB80" s="411"/>
      <c r="AC80" s="411"/>
      <c r="AD80" s="411"/>
      <c r="AE80" s="411"/>
      <c r="AF80" s="411"/>
      <c r="AG80" s="411"/>
      <c r="AH80" s="411"/>
      <c r="AI80" s="411"/>
      <c r="AJ80" s="411"/>
      <c r="AK80" s="411"/>
      <c r="AL80" s="411"/>
      <c r="AM80" s="411"/>
      <c r="AN80" s="411"/>
      <c r="AO80" s="411"/>
      <c r="AP80" s="411"/>
      <c r="AQ80" s="411"/>
      <c r="AR80" s="411"/>
      <c r="AS80" s="411"/>
      <c r="AT80" s="411"/>
    </row>
    <row r="81" spans="1:46" s="102" customFormat="1" ht="12" customHeight="1">
      <c r="A81" s="117">
        <v>15</v>
      </c>
      <c r="B81" s="102" t="s">
        <v>258</v>
      </c>
      <c r="C81" s="266" t="s">
        <v>435</v>
      </c>
      <c r="D81" s="192">
        <v>13.8</v>
      </c>
      <c r="E81" s="192">
        <v>10.98</v>
      </c>
      <c r="F81" s="214">
        <v>106</v>
      </c>
      <c r="G81" s="192">
        <v>8.1999999999999993</v>
      </c>
      <c r="H81" s="192">
        <v>3.5</v>
      </c>
      <c r="I81" s="192">
        <v>57.9</v>
      </c>
      <c r="J81" s="194">
        <v>1.7</v>
      </c>
      <c r="K81" s="195">
        <v>17</v>
      </c>
      <c r="L81" s="195">
        <v>47</v>
      </c>
      <c r="M81" s="195">
        <v>2000</v>
      </c>
      <c r="N81" s="195">
        <v>28</v>
      </c>
      <c r="O81" s="195">
        <v>2600</v>
      </c>
      <c r="P81" s="195" t="s">
        <v>18</v>
      </c>
      <c r="Q81" s="192" t="str">
        <f>IF(Indata!Q85="","",Indata!Q85)</f>
        <v/>
      </c>
      <c r="R81" s="309" t="str">
        <f>IF(Indata!R85="","",Indata!R85)</f>
        <v/>
      </c>
      <c r="S81" s="411"/>
      <c r="T81" s="411"/>
      <c r="U81" s="411"/>
      <c r="V81" s="411"/>
      <c r="W81" s="411"/>
      <c r="X81" s="411"/>
      <c r="Y81" s="411"/>
      <c r="Z81" s="411"/>
      <c r="AA81" s="411"/>
      <c r="AB81" s="411"/>
      <c r="AC81" s="411"/>
      <c r="AD81" s="411"/>
      <c r="AE81" s="411"/>
      <c r="AF81" s="411"/>
      <c r="AG81" s="411"/>
      <c r="AH81" s="411"/>
      <c r="AI81" s="411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1"/>
    </row>
    <row r="82" spans="1:46" s="102" customFormat="1" ht="12" customHeight="1">
      <c r="A82" s="117">
        <v>17</v>
      </c>
      <c r="B82" s="102" t="s">
        <v>259</v>
      </c>
      <c r="C82" s="266" t="s">
        <v>435</v>
      </c>
      <c r="D82" s="192">
        <v>13.9</v>
      </c>
      <c r="E82" s="192">
        <v>11.03</v>
      </c>
      <c r="F82" s="214">
        <v>107</v>
      </c>
      <c r="G82" s="192">
        <v>8.1</v>
      </c>
      <c r="H82" s="192">
        <v>8.3000000000000007</v>
      </c>
      <c r="I82" s="192">
        <v>40.9</v>
      </c>
      <c r="J82" s="194">
        <v>1.45</v>
      </c>
      <c r="K82" s="195">
        <v>13</v>
      </c>
      <c r="L82" s="195">
        <v>110</v>
      </c>
      <c r="M82" s="195">
        <v>770</v>
      </c>
      <c r="N82" s="195" t="s">
        <v>148</v>
      </c>
      <c r="O82" s="195">
        <v>1400</v>
      </c>
      <c r="P82" s="195" t="s">
        <v>18</v>
      </c>
      <c r="Q82" s="192" t="str">
        <f>IF(Indata!Q86="","",Indata!Q86)</f>
        <v/>
      </c>
      <c r="R82" s="309" t="str">
        <f>IF(Indata!R86="","",Indata!R86)</f>
        <v/>
      </c>
      <c r="S82" s="411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E82" s="411"/>
      <c r="AF82" s="411"/>
      <c r="AG82" s="411"/>
      <c r="AH82" s="411"/>
      <c r="AI82" s="411"/>
      <c r="AJ82" s="411"/>
      <c r="AK82" s="411"/>
      <c r="AL82" s="411"/>
      <c r="AM82" s="411"/>
      <c r="AN82" s="411"/>
      <c r="AO82" s="411"/>
      <c r="AP82" s="411"/>
      <c r="AQ82" s="411"/>
      <c r="AR82" s="411"/>
      <c r="AS82" s="411"/>
      <c r="AT82" s="411"/>
    </row>
    <row r="83" spans="1:46" s="102" customFormat="1" ht="12" customHeight="1">
      <c r="A83" s="117">
        <v>18</v>
      </c>
      <c r="B83" s="102" t="s">
        <v>266</v>
      </c>
      <c r="C83" s="266" t="s">
        <v>436</v>
      </c>
      <c r="D83" s="192">
        <v>10.199999999999999</v>
      </c>
      <c r="E83" s="192">
        <v>11.53</v>
      </c>
      <c r="F83" s="214">
        <v>103</v>
      </c>
      <c r="G83" s="192">
        <v>8.3000000000000007</v>
      </c>
      <c r="H83" s="192">
        <v>4.3</v>
      </c>
      <c r="I83" s="192">
        <v>55</v>
      </c>
      <c r="J83" s="194">
        <v>1.4</v>
      </c>
      <c r="K83" s="195">
        <v>26</v>
      </c>
      <c r="L83" s="195">
        <v>58</v>
      </c>
      <c r="M83" s="195">
        <v>1100</v>
      </c>
      <c r="N83" s="195" t="s">
        <v>148</v>
      </c>
      <c r="O83" s="195">
        <v>1800</v>
      </c>
      <c r="P83" s="195" t="s">
        <v>18</v>
      </c>
      <c r="Q83" s="192" t="str">
        <f>IF(Indata!Q87="","",Indata!Q87)</f>
        <v/>
      </c>
      <c r="R83" s="309" t="str">
        <f>IF(Indata!R87="","",Indata!R87)</f>
        <v/>
      </c>
      <c r="S83" s="411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E83" s="411"/>
      <c r="AF83" s="411"/>
      <c r="AG83" s="411"/>
      <c r="AH83" s="411"/>
      <c r="AI83" s="411"/>
      <c r="AJ83" s="411"/>
      <c r="AK83" s="411"/>
      <c r="AL83" s="411"/>
      <c r="AM83" s="411"/>
      <c r="AN83" s="411"/>
      <c r="AO83" s="411"/>
      <c r="AP83" s="411"/>
      <c r="AQ83" s="411"/>
      <c r="AR83" s="411"/>
      <c r="AS83" s="411"/>
      <c r="AT83" s="411"/>
    </row>
    <row r="84" spans="1:46" s="102" customFormat="1" ht="12" customHeight="1">
      <c r="A84" s="118">
        <v>19</v>
      </c>
      <c r="B84" s="102" t="s">
        <v>260</v>
      </c>
      <c r="C84" s="266" t="s">
        <v>435</v>
      </c>
      <c r="D84" s="192">
        <v>14.5</v>
      </c>
      <c r="E84" s="192">
        <v>10.050000000000001</v>
      </c>
      <c r="F84" s="214">
        <v>99</v>
      </c>
      <c r="G84" s="192">
        <v>8</v>
      </c>
      <c r="H84" s="192">
        <v>1.6</v>
      </c>
      <c r="I84" s="192">
        <v>76.099999999999994</v>
      </c>
      <c r="J84" s="194">
        <v>1.6</v>
      </c>
      <c r="K84" s="195">
        <v>58</v>
      </c>
      <c r="L84" s="195">
        <v>99</v>
      </c>
      <c r="M84" s="195">
        <v>2400</v>
      </c>
      <c r="N84" s="195">
        <v>52</v>
      </c>
      <c r="O84" s="195">
        <v>3200</v>
      </c>
      <c r="P84" s="195" t="s">
        <v>18</v>
      </c>
      <c r="Q84" s="192" t="str">
        <f>IF(Indata!Q88="","",Indata!Q88)</f>
        <v/>
      </c>
      <c r="R84" s="309" t="str">
        <f>IF(Indata!R88="","",Indata!R88)</f>
        <v/>
      </c>
      <c r="S84" s="411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E84" s="411"/>
      <c r="AF84" s="411"/>
      <c r="AG84" s="411"/>
      <c r="AH84" s="411"/>
      <c r="AI84" s="411"/>
      <c r="AJ84" s="411"/>
      <c r="AK84" s="411"/>
      <c r="AL84" s="411"/>
      <c r="AM84" s="411"/>
      <c r="AN84" s="411"/>
      <c r="AO84" s="411"/>
      <c r="AP84" s="411"/>
      <c r="AQ84" s="411"/>
      <c r="AR84" s="411"/>
      <c r="AS84" s="411"/>
      <c r="AT84" s="411"/>
    </row>
    <row r="85" spans="1:46" s="102" customFormat="1" ht="12" customHeight="1">
      <c r="A85" s="117">
        <v>20</v>
      </c>
      <c r="B85" s="102" t="s">
        <v>267</v>
      </c>
      <c r="C85" s="266" t="s">
        <v>435</v>
      </c>
      <c r="D85" s="192">
        <v>15.5</v>
      </c>
      <c r="E85" s="192">
        <v>10.1</v>
      </c>
      <c r="F85" s="214">
        <v>102</v>
      </c>
      <c r="G85" s="192">
        <v>7.9</v>
      </c>
      <c r="H85" s="192">
        <v>1.8</v>
      </c>
      <c r="I85" s="192">
        <v>76.400000000000006</v>
      </c>
      <c r="J85" s="194">
        <v>2.1</v>
      </c>
      <c r="K85" s="195">
        <v>44</v>
      </c>
      <c r="L85" s="195">
        <v>100</v>
      </c>
      <c r="M85" s="195">
        <v>2000</v>
      </c>
      <c r="N85" s="195">
        <v>54</v>
      </c>
      <c r="O85" s="195">
        <v>3000</v>
      </c>
      <c r="P85" s="195" t="s">
        <v>18</v>
      </c>
      <c r="Q85" s="192" t="str">
        <f>IF(Indata!Q89="","",Indata!Q89)</f>
        <v/>
      </c>
      <c r="R85" s="309" t="str">
        <f>IF(Indata!R89="","",Indata!R89)</f>
        <v/>
      </c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1"/>
      <c r="AF85" s="411"/>
      <c r="AG85" s="411"/>
      <c r="AH85" s="411"/>
      <c r="AI85" s="411"/>
      <c r="AJ85" s="411"/>
      <c r="AK85" s="411"/>
      <c r="AL85" s="411"/>
      <c r="AM85" s="411"/>
      <c r="AN85" s="411"/>
      <c r="AO85" s="411"/>
      <c r="AP85" s="411"/>
      <c r="AQ85" s="411"/>
      <c r="AR85" s="411"/>
      <c r="AS85" s="411"/>
      <c r="AT85" s="411"/>
    </row>
    <row r="86" spans="1:46" s="102" customFormat="1" ht="12" customHeight="1">
      <c r="A86" s="117">
        <v>21</v>
      </c>
      <c r="B86" s="102" t="s">
        <v>261</v>
      </c>
      <c r="C86" s="266" t="s">
        <v>435</v>
      </c>
      <c r="D86" s="192">
        <v>13.8</v>
      </c>
      <c r="E86" s="192">
        <v>11.59</v>
      </c>
      <c r="F86" s="214">
        <v>112</v>
      </c>
      <c r="G86" s="192">
        <v>8.1999999999999993</v>
      </c>
      <c r="H86" s="192">
        <v>1.7</v>
      </c>
      <c r="I86" s="192">
        <v>52.1</v>
      </c>
      <c r="J86" s="194">
        <v>1.9</v>
      </c>
      <c r="K86" s="195">
        <v>37</v>
      </c>
      <c r="L86" s="195">
        <v>79</v>
      </c>
      <c r="M86" s="195">
        <v>1500</v>
      </c>
      <c r="N86" s="195">
        <v>32</v>
      </c>
      <c r="O86" s="195">
        <v>2200</v>
      </c>
      <c r="P86" s="195" t="s">
        <v>18</v>
      </c>
      <c r="Q86" s="192" t="str">
        <f>IF(Indata!Q90="","",Indata!Q90)</f>
        <v/>
      </c>
      <c r="R86" s="309" t="str">
        <f>IF(Indata!R90="","",Indata!R90)</f>
        <v/>
      </c>
      <c r="S86" s="411"/>
      <c r="T86" s="411"/>
      <c r="U86" s="411"/>
      <c r="V86" s="411"/>
      <c r="W86" s="411"/>
      <c r="X86" s="411"/>
      <c r="Y86" s="411"/>
      <c r="Z86" s="411"/>
      <c r="AA86" s="411"/>
      <c r="AB86" s="411"/>
      <c r="AC86" s="411"/>
      <c r="AD86" s="411"/>
      <c r="AE86" s="411"/>
      <c r="AF86" s="411"/>
      <c r="AG86" s="411"/>
      <c r="AH86" s="411"/>
      <c r="AI86" s="411"/>
      <c r="AJ86" s="411"/>
      <c r="AK86" s="411"/>
      <c r="AL86" s="411"/>
      <c r="AM86" s="411"/>
      <c r="AN86" s="411"/>
      <c r="AO86" s="411"/>
      <c r="AP86" s="411"/>
      <c r="AQ86" s="411"/>
      <c r="AR86" s="411"/>
      <c r="AS86" s="411"/>
      <c r="AT86" s="411"/>
    </row>
    <row r="87" spans="1:46" s="102" customFormat="1" ht="12" customHeight="1">
      <c r="A87" s="117">
        <v>22</v>
      </c>
      <c r="B87" s="102" t="s">
        <v>268</v>
      </c>
      <c r="C87" s="266" t="s">
        <v>435</v>
      </c>
      <c r="D87" s="192">
        <v>13.1</v>
      </c>
      <c r="E87" s="192">
        <v>10.73</v>
      </c>
      <c r="F87" s="214">
        <v>102</v>
      </c>
      <c r="G87" s="192">
        <v>8.1</v>
      </c>
      <c r="H87" s="192">
        <v>1.3</v>
      </c>
      <c r="I87" s="192">
        <v>42.8</v>
      </c>
      <c r="J87" s="194">
        <v>1.7</v>
      </c>
      <c r="K87" s="195">
        <v>25</v>
      </c>
      <c r="L87" s="195">
        <v>59</v>
      </c>
      <c r="M87" s="195">
        <v>1100</v>
      </c>
      <c r="N87" s="195">
        <v>26</v>
      </c>
      <c r="O87" s="195">
        <v>1800</v>
      </c>
      <c r="P87" s="195" t="s">
        <v>18</v>
      </c>
      <c r="Q87" s="192" t="str">
        <f>IF(Indata!Q91="","",Indata!Q91)</f>
        <v/>
      </c>
      <c r="R87" s="309" t="str">
        <f>IF(Indata!R91="","",Indata!R91)</f>
        <v/>
      </c>
      <c r="S87" s="411"/>
      <c r="T87" s="411"/>
      <c r="U87" s="411"/>
      <c r="V87" s="411"/>
      <c r="W87" s="411"/>
      <c r="X87" s="411"/>
      <c r="Y87" s="411"/>
      <c r="Z87" s="411"/>
      <c r="AA87" s="411"/>
      <c r="AB87" s="411"/>
      <c r="AC87" s="411"/>
      <c r="AD87" s="411"/>
      <c r="AE87" s="411"/>
      <c r="AF87" s="411"/>
      <c r="AG87" s="411"/>
      <c r="AH87" s="411"/>
      <c r="AI87" s="411"/>
      <c r="AJ87" s="411"/>
      <c r="AK87" s="411"/>
      <c r="AL87" s="411"/>
      <c r="AM87" s="411"/>
      <c r="AN87" s="411"/>
      <c r="AO87" s="411"/>
      <c r="AP87" s="411"/>
      <c r="AQ87" s="411"/>
      <c r="AR87" s="411"/>
      <c r="AS87" s="411"/>
      <c r="AT87" s="411"/>
    </row>
    <row r="88" spans="1:46" s="102" customFormat="1" ht="12" customHeight="1">
      <c r="A88" s="117">
        <v>23</v>
      </c>
      <c r="B88" s="122" t="s">
        <v>297</v>
      </c>
      <c r="C88" s="266" t="s">
        <v>435</v>
      </c>
      <c r="D88" s="192">
        <v>15.5</v>
      </c>
      <c r="E88" s="192">
        <v>11.5</v>
      </c>
      <c r="F88" s="214">
        <v>116</v>
      </c>
      <c r="G88" s="192">
        <v>8</v>
      </c>
      <c r="H88" s="192">
        <v>3.8</v>
      </c>
      <c r="I88" s="192">
        <v>68.099999999999994</v>
      </c>
      <c r="J88" s="194">
        <v>2.2999999999999998</v>
      </c>
      <c r="K88" s="195">
        <v>29</v>
      </c>
      <c r="L88" s="195">
        <v>130</v>
      </c>
      <c r="M88" s="195">
        <v>4000</v>
      </c>
      <c r="N88" s="195">
        <v>91</v>
      </c>
      <c r="O88" s="195">
        <v>4500</v>
      </c>
      <c r="P88" s="195" t="s">
        <v>18</v>
      </c>
      <c r="Q88" s="192" t="str">
        <f>IF(Indata!Q92="","",Indata!Q92)</f>
        <v/>
      </c>
      <c r="R88" s="309" t="str">
        <f>IF(Indata!R92="","",Indata!R92)</f>
        <v/>
      </c>
      <c r="S88" s="411"/>
      <c r="T88" s="411"/>
      <c r="U88" s="411"/>
      <c r="V88" s="411"/>
      <c r="W88" s="411"/>
      <c r="X88" s="411"/>
      <c r="Y88" s="411"/>
      <c r="Z88" s="411"/>
      <c r="AA88" s="411"/>
      <c r="AB88" s="411"/>
      <c r="AC88" s="411"/>
      <c r="AD88" s="411"/>
      <c r="AE88" s="411"/>
      <c r="AF88" s="411"/>
      <c r="AG88" s="411"/>
      <c r="AH88" s="411"/>
      <c r="AI88" s="411"/>
      <c r="AJ88" s="411"/>
      <c r="AK88" s="411"/>
      <c r="AL88" s="411"/>
      <c r="AM88" s="411"/>
      <c r="AN88" s="411"/>
      <c r="AO88" s="411"/>
      <c r="AP88" s="411"/>
      <c r="AQ88" s="411"/>
      <c r="AR88" s="411"/>
      <c r="AS88" s="411"/>
      <c r="AT88" s="411"/>
    </row>
    <row r="89" spans="1:46" s="102" customFormat="1" ht="12" customHeight="1">
      <c r="A89" s="117">
        <v>24</v>
      </c>
      <c r="B89" s="102" t="s">
        <v>269</v>
      </c>
      <c r="C89" s="266" t="s">
        <v>435</v>
      </c>
      <c r="D89" s="192">
        <v>14</v>
      </c>
      <c r="E89" s="192">
        <v>12.1</v>
      </c>
      <c r="F89" s="214">
        <v>118</v>
      </c>
      <c r="G89" s="192">
        <v>8.1999999999999993</v>
      </c>
      <c r="H89" s="192">
        <v>3</v>
      </c>
      <c r="I89" s="192">
        <v>67.900000000000006</v>
      </c>
      <c r="J89" s="194">
        <v>1.6</v>
      </c>
      <c r="K89" s="195">
        <v>25</v>
      </c>
      <c r="L89" s="195">
        <v>66</v>
      </c>
      <c r="M89" s="195">
        <v>1700</v>
      </c>
      <c r="N89" s="195" t="s">
        <v>148</v>
      </c>
      <c r="O89" s="195">
        <v>2200</v>
      </c>
      <c r="P89" s="195" t="s">
        <v>18</v>
      </c>
      <c r="Q89" s="192" t="str">
        <f>IF(Indata!Q93="","",Indata!Q93)</f>
        <v/>
      </c>
      <c r="R89" s="309" t="str">
        <f>IF(Indata!R93="","",Indata!R93)</f>
        <v/>
      </c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  <c r="AS89" s="411"/>
      <c r="AT89" s="411"/>
    </row>
    <row r="90" spans="1:46" s="102" customFormat="1" ht="12" customHeight="1">
      <c r="A90" s="117">
        <v>25</v>
      </c>
      <c r="B90" s="102" t="s">
        <v>263</v>
      </c>
      <c r="C90" s="266" t="s">
        <v>435</v>
      </c>
      <c r="D90" s="192">
        <v>13.1</v>
      </c>
      <c r="E90" s="192">
        <v>9.8800000000000008</v>
      </c>
      <c r="F90" s="214">
        <v>94</v>
      </c>
      <c r="G90" s="192">
        <v>8</v>
      </c>
      <c r="H90" s="192">
        <v>3.8</v>
      </c>
      <c r="I90" s="192">
        <v>44.1</v>
      </c>
      <c r="J90" s="194">
        <v>0.98</v>
      </c>
      <c r="K90" s="195">
        <v>15</v>
      </c>
      <c r="L90" s="195">
        <v>43</v>
      </c>
      <c r="M90" s="195">
        <v>270</v>
      </c>
      <c r="N90" s="195">
        <v>28</v>
      </c>
      <c r="O90" s="195">
        <v>930</v>
      </c>
      <c r="P90" s="195" t="s">
        <v>18</v>
      </c>
      <c r="Q90" s="192" t="str">
        <f>IF(Indata!Q94="","",Indata!Q94)</f>
        <v/>
      </c>
      <c r="R90" s="309" t="str">
        <f>IF(Indata!R94="","",Indata!R94)</f>
        <v/>
      </c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1"/>
      <c r="AH90" s="411"/>
      <c r="AI90" s="411"/>
      <c r="AJ90" s="411"/>
      <c r="AK90" s="411"/>
      <c r="AL90" s="411"/>
      <c r="AM90" s="411"/>
      <c r="AN90" s="411"/>
      <c r="AO90" s="411"/>
      <c r="AP90" s="411"/>
      <c r="AQ90" s="411"/>
      <c r="AR90" s="411"/>
      <c r="AS90" s="411"/>
      <c r="AT90" s="411"/>
    </row>
    <row r="91" spans="1:46" s="102" customFormat="1" ht="12" customHeight="1">
      <c r="A91" s="117">
        <v>27</v>
      </c>
      <c r="B91" s="102" t="s">
        <v>264</v>
      </c>
      <c r="C91" s="266" t="s">
        <v>435</v>
      </c>
      <c r="D91" s="192">
        <v>15.2</v>
      </c>
      <c r="E91" s="192">
        <v>10.3</v>
      </c>
      <c r="F91" s="214">
        <v>103</v>
      </c>
      <c r="G91" s="192">
        <v>8.1999999999999993</v>
      </c>
      <c r="H91" s="192">
        <v>2.8</v>
      </c>
      <c r="I91" s="192">
        <v>36.200000000000003</v>
      </c>
      <c r="J91" s="194">
        <v>2</v>
      </c>
      <c r="K91" s="195">
        <v>6.5</v>
      </c>
      <c r="L91" s="195">
        <v>30</v>
      </c>
      <c r="M91" s="195">
        <v>57</v>
      </c>
      <c r="N91" s="195">
        <v>61</v>
      </c>
      <c r="O91" s="195">
        <v>970</v>
      </c>
      <c r="P91" s="195" t="s">
        <v>18</v>
      </c>
      <c r="Q91" s="192" t="str">
        <f>IF(Indata!Q95="","",Indata!Q95)</f>
        <v/>
      </c>
      <c r="R91" s="309" t="str">
        <f>IF(Indata!R95="","",Indata!R95)</f>
        <v/>
      </c>
      <c r="S91" s="411"/>
      <c r="T91" s="411"/>
      <c r="U91" s="411"/>
      <c r="V91" s="411"/>
      <c r="W91" s="411"/>
      <c r="X91" s="411"/>
      <c r="Y91" s="411"/>
      <c r="Z91" s="411"/>
      <c r="AA91" s="411"/>
      <c r="AB91" s="411"/>
      <c r="AC91" s="411"/>
      <c r="AD91" s="411"/>
      <c r="AE91" s="411"/>
      <c r="AF91" s="411"/>
      <c r="AG91" s="411"/>
      <c r="AH91" s="411"/>
      <c r="AI91" s="411"/>
      <c r="AJ91" s="411"/>
      <c r="AK91" s="411"/>
      <c r="AL91" s="411"/>
      <c r="AM91" s="411"/>
      <c r="AN91" s="411"/>
      <c r="AO91" s="411"/>
      <c r="AP91" s="411"/>
      <c r="AQ91" s="411"/>
      <c r="AR91" s="411"/>
      <c r="AS91" s="411"/>
      <c r="AT91" s="411"/>
    </row>
    <row r="92" spans="1:46" s="102" customFormat="1" ht="12" customHeight="1">
      <c r="A92" s="118">
        <v>29</v>
      </c>
      <c r="B92" s="102" t="s">
        <v>295</v>
      </c>
      <c r="C92" s="266" t="s">
        <v>436</v>
      </c>
      <c r="D92" s="192">
        <v>12</v>
      </c>
      <c r="E92" s="192">
        <v>10.79</v>
      </c>
      <c r="F92" s="214">
        <v>100</v>
      </c>
      <c r="G92" s="192">
        <v>8.6</v>
      </c>
      <c r="H92" s="192">
        <v>1.9</v>
      </c>
      <c r="I92" s="192">
        <v>40.5</v>
      </c>
      <c r="J92" s="194" t="s">
        <v>18</v>
      </c>
      <c r="K92" s="195" t="s">
        <v>149</v>
      </c>
      <c r="L92" s="195">
        <v>22</v>
      </c>
      <c r="M92" s="195">
        <v>1800</v>
      </c>
      <c r="N92" s="195">
        <v>39</v>
      </c>
      <c r="O92" s="195">
        <v>2600</v>
      </c>
      <c r="P92" s="195">
        <v>13</v>
      </c>
      <c r="Q92" s="192">
        <f>IF(Indata!Q96="","",Indata!Q96)</f>
        <v>1.8</v>
      </c>
      <c r="R92" s="309" t="str">
        <f>IF(Indata!R96="","",Indata!R96)</f>
        <v/>
      </c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E92" s="411"/>
      <c r="AF92" s="411"/>
      <c r="AG92" s="411"/>
      <c r="AH92" s="411"/>
      <c r="AI92" s="411"/>
      <c r="AJ92" s="411"/>
      <c r="AK92" s="411"/>
      <c r="AL92" s="411"/>
      <c r="AM92" s="411"/>
      <c r="AN92" s="411"/>
      <c r="AO92" s="411"/>
      <c r="AP92" s="411"/>
      <c r="AQ92" s="411"/>
      <c r="AR92" s="411"/>
      <c r="AS92" s="411"/>
      <c r="AT92" s="411"/>
    </row>
    <row r="93" spans="1:46" s="102" customFormat="1" ht="12" customHeight="1">
      <c r="A93" s="118">
        <v>30</v>
      </c>
      <c r="B93" s="102" t="s">
        <v>296</v>
      </c>
      <c r="C93" s="266" t="s">
        <v>436</v>
      </c>
      <c r="D93" s="192">
        <v>11.4</v>
      </c>
      <c r="E93" s="192">
        <v>10.52</v>
      </c>
      <c r="F93" s="214">
        <v>97</v>
      </c>
      <c r="G93" s="192" t="s">
        <v>18</v>
      </c>
      <c r="H93" s="192" t="s">
        <v>18</v>
      </c>
      <c r="I93" s="192" t="s">
        <v>18</v>
      </c>
      <c r="J93" s="194" t="s">
        <v>18</v>
      </c>
      <c r="K93" s="195" t="s">
        <v>149</v>
      </c>
      <c r="L93" s="195">
        <v>25</v>
      </c>
      <c r="M93" s="195">
        <v>2000</v>
      </c>
      <c r="N93" s="195">
        <v>44</v>
      </c>
      <c r="O93" s="195">
        <v>2500</v>
      </c>
      <c r="P93" s="195" t="s">
        <v>18</v>
      </c>
      <c r="Q93" s="192" t="str">
        <f>IF(Indata!Q97="","",Indata!Q97)</f>
        <v/>
      </c>
      <c r="R93" s="309" t="str">
        <f>IF(Indata!R97="","",Indata!R97)</f>
        <v>Pga kraftiga vindar togs provet på 8,5 m djup</v>
      </c>
      <c r="S93" s="411"/>
      <c r="T93" s="411"/>
      <c r="U93" s="411"/>
      <c r="V93" s="411"/>
      <c r="W93" s="411"/>
      <c r="X93" s="411"/>
      <c r="Y93" s="411"/>
      <c r="Z93" s="411"/>
      <c r="AA93" s="411"/>
      <c r="AB93" s="411"/>
      <c r="AC93" s="411"/>
      <c r="AD93" s="411"/>
      <c r="AE93" s="411"/>
      <c r="AF93" s="411"/>
      <c r="AG93" s="411"/>
      <c r="AH93" s="411"/>
      <c r="AI93" s="411"/>
      <c r="AJ93" s="411"/>
      <c r="AK93" s="411"/>
      <c r="AL93" s="411"/>
      <c r="AM93" s="411"/>
      <c r="AN93" s="411"/>
      <c r="AO93" s="411"/>
      <c r="AP93" s="411"/>
      <c r="AQ93" s="411"/>
      <c r="AR93" s="411"/>
      <c r="AS93" s="411"/>
      <c r="AT93" s="411"/>
    </row>
    <row r="94" spans="1:46">
      <c r="A94" s="1">
        <v>200</v>
      </c>
      <c r="B94" s="62"/>
      <c r="C94" s="270"/>
      <c r="D94" s="267"/>
      <c r="E94" s="268"/>
      <c r="F94" s="269"/>
      <c r="G94" s="268"/>
      <c r="H94" s="268"/>
      <c r="I94" s="268"/>
      <c r="J94" s="268"/>
      <c r="K94" s="269"/>
      <c r="L94" s="269"/>
      <c r="M94" s="269"/>
      <c r="N94" s="269"/>
      <c r="O94" s="269"/>
      <c r="P94" s="269"/>
      <c r="Q94" s="268"/>
      <c r="R94" s="307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8"/>
      <c r="AG94" s="388"/>
      <c r="AH94" s="388"/>
      <c r="AI94" s="388"/>
      <c r="AJ94" s="388"/>
      <c r="AK94" s="388"/>
      <c r="AL94" s="388"/>
      <c r="AM94" s="388"/>
      <c r="AN94" s="388"/>
      <c r="AO94" s="388"/>
      <c r="AP94" s="388"/>
      <c r="AQ94" s="388"/>
      <c r="AR94" s="388"/>
      <c r="AS94" s="388"/>
      <c r="AT94" s="388"/>
    </row>
    <row r="95" spans="1:46" s="388" customFormat="1" ht="17.25" customHeight="1">
      <c r="A95" s="381">
        <v>250</v>
      </c>
      <c r="B95" s="382" t="s">
        <v>25</v>
      </c>
      <c r="C95" s="407"/>
      <c r="D95" s="384"/>
      <c r="E95" s="384"/>
      <c r="F95" s="385"/>
      <c r="G95" s="384"/>
      <c r="H95" s="384"/>
      <c r="I95" s="384"/>
      <c r="J95" s="384"/>
      <c r="K95" s="386"/>
      <c r="L95" s="386"/>
      <c r="M95" s="386"/>
      <c r="N95" s="386"/>
      <c r="O95" s="386"/>
      <c r="P95" s="386"/>
      <c r="Q95" s="384"/>
      <c r="R95" s="387"/>
    </row>
    <row r="96" spans="1:46" s="102" customFormat="1" ht="12" customHeight="1">
      <c r="A96" s="117">
        <v>3</v>
      </c>
      <c r="B96" s="122" t="s">
        <v>252</v>
      </c>
      <c r="C96" s="266">
        <v>45826</v>
      </c>
      <c r="D96" s="192">
        <v>20.5</v>
      </c>
      <c r="E96" s="192">
        <v>8.3800000000000008</v>
      </c>
      <c r="F96" s="214">
        <v>93</v>
      </c>
      <c r="G96" s="192">
        <v>7.9</v>
      </c>
      <c r="H96" s="192">
        <v>1.2</v>
      </c>
      <c r="I96" s="192">
        <v>52.1</v>
      </c>
      <c r="J96" s="194">
        <v>0.89</v>
      </c>
      <c r="K96" s="195">
        <v>48</v>
      </c>
      <c r="L96" s="195">
        <v>68</v>
      </c>
      <c r="M96" s="195">
        <v>1000</v>
      </c>
      <c r="N96" s="195">
        <v>44</v>
      </c>
      <c r="O96" s="195">
        <v>1900</v>
      </c>
      <c r="P96" s="195" t="s">
        <v>18</v>
      </c>
      <c r="Q96" s="192" t="str">
        <f>IF(Indata!Q100="","",Indata!Q100)</f>
        <v/>
      </c>
      <c r="R96" s="309" t="str">
        <f>IF(Indata!R100="","",Indata!R100)</f>
        <v/>
      </c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1"/>
      <c r="AO96" s="411"/>
      <c r="AP96" s="411"/>
      <c r="AQ96" s="411"/>
      <c r="AR96" s="411"/>
      <c r="AS96" s="411"/>
      <c r="AT96" s="411"/>
    </row>
    <row r="97" spans="1:46" s="102" customFormat="1" ht="12" customHeight="1">
      <c r="A97" s="117">
        <v>6</v>
      </c>
      <c r="B97" s="102" t="s">
        <v>265</v>
      </c>
      <c r="C97" s="266">
        <v>45826</v>
      </c>
      <c r="D97" s="192">
        <v>19.8</v>
      </c>
      <c r="E97" s="192">
        <v>9.4700000000000006</v>
      </c>
      <c r="F97" s="214">
        <v>104</v>
      </c>
      <c r="G97" s="192">
        <v>7.9</v>
      </c>
      <c r="H97" s="192">
        <v>1.2</v>
      </c>
      <c r="I97" s="192">
        <v>47.3</v>
      </c>
      <c r="J97" s="194">
        <v>1.2</v>
      </c>
      <c r="K97" s="195">
        <v>14</v>
      </c>
      <c r="L97" s="195">
        <v>37</v>
      </c>
      <c r="M97" s="195">
        <v>490</v>
      </c>
      <c r="N97" s="195">
        <v>36</v>
      </c>
      <c r="O97" s="195">
        <v>1200</v>
      </c>
      <c r="P97" s="195" t="s">
        <v>18</v>
      </c>
      <c r="Q97" s="192" t="str">
        <f>IF(Indata!Q101="","",Indata!Q101)</f>
        <v/>
      </c>
      <c r="R97" s="309" t="str">
        <f>IF(Indata!R101="","",Indata!R101)</f>
        <v/>
      </c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1"/>
      <c r="AH97" s="411"/>
      <c r="AI97" s="411"/>
      <c r="AJ97" s="411"/>
      <c r="AK97" s="411"/>
      <c r="AL97" s="411"/>
      <c r="AM97" s="411"/>
      <c r="AN97" s="411"/>
      <c r="AO97" s="411"/>
      <c r="AP97" s="411"/>
      <c r="AQ97" s="411"/>
      <c r="AR97" s="411"/>
      <c r="AS97" s="411"/>
      <c r="AT97" s="411"/>
    </row>
    <row r="98" spans="1:46" s="102" customFormat="1" ht="12" customHeight="1">
      <c r="A98" s="117">
        <v>7</v>
      </c>
      <c r="B98" s="102" t="s">
        <v>254</v>
      </c>
      <c r="C98" s="266">
        <v>45826</v>
      </c>
      <c r="D98" s="192">
        <v>17.8</v>
      </c>
      <c r="E98" s="192">
        <v>9.8699999999999992</v>
      </c>
      <c r="F98" s="214">
        <v>104</v>
      </c>
      <c r="G98" s="192">
        <v>8.3000000000000007</v>
      </c>
      <c r="H98" s="192">
        <v>4.4000000000000004</v>
      </c>
      <c r="I98" s="192">
        <v>39.799999999999997</v>
      </c>
      <c r="J98" s="194">
        <v>1.7</v>
      </c>
      <c r="K98" s="195" t="s">
        <v>149</v>
      </c>
      <c r="L98" s="195">
        <v>31</v>
      </c>
      <c r="M98" s="195">
        <v>890</v>
      </c>
      <c r="N98" s="195">
        <v>47</v>
      </c>
      <c r="O98" s="195">
        <v>1600</v>
      </c>
      <c r="P98" s="195" t="s">
        <v>18</v>
      </c>
      <c r="Q98" s="192" t="str">
        <f>IF(Indata!Q102="","",Indata!Q102)</f>
        <v/>
      </c>
      <c r="R98" s="309" t="str">
        <f>IF(Indata!R102="","",Indata!R102)</f>
        <v/>
      </c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1"/>
      <c r="AG98" s="411"/>
      <c r="AH98" s="411"/>
      <c r="AI98" s="411"/>
      <c r="AJ98" s="411"/>
      <c r="AK98" s="411"/>
      <c r="AL98" s="411"/>
      <c r="AM98" s="411"/>
      <c r="AN98" s="411"/>
      <c r="AO98" s="411"/>
      <c r="AP98" s="411"/>
      <c r="AQ98" s="411"/>
      <c r="AR98" s="411"/>
      <c r="AS98" s="411"/>
      <c r="AT98" s="411"/>
    </row>
    <row r="99" spans="1:46" s="102" customFormat="1" ht="12" customHeight="1">
      <c r="A99" s="117">
        <v>11</v>
      </c>
      <c r="B99" s="102" t="s">
        <v>256</v>
      </c>
      <c r="C99" s="266">
        <v>45826</v>
      </c>
      <c r="D99" s="192">
        <v>17.2</v>
      </c>
      <c r="E99" s="192">
        <v>9.0299999999999994</v>
      </c>
      <c r="F99" s="214">
        <v>94</v>
      </c>
      <c r="G99" s="192">
        <v>8</v>
      </c>
      <c r="H99" s="192">
        <v>1.9</v>
      </c>
      <c r="I99" s="192">
        <v>55.6</v>
      </c>
      <c r="J99" s="194">
        <v>1</v>
      </c>
      <c r="K99" s="195">
        <v>35</v>
      </c>
      <c r="L99" s="195">
        <v>58</v>
      </c>
      <c r="M99" s="195">
        <v>1500</v>
      </c>
      <c r="N99" s="195">
        <v>37</v>
      </c>
      <c r="O99" s="195">
        <v>2300</v>
      </c>
      <c r="P99" s="195" t="s">
        <v>18</v>
      </c>
      <c r="Q99" s="192" t="str">
        <f>IF(Indata!Q103="","",Indata!Q103)</f>
        <v/>
      </c>
      <c r="R99" s="309" t="str">
        <f>IF(Indata!R103="","",Indata!R103)</f>
        <v/>
      </c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E99" s="411"/>
      <c r="AF99" s="411"/>
      <c r="AG99" s="411"/>
      <c r="AH99" s="411"/>
      <c r="AI99" s="411"/>
      <c r="AJ99" s="411"/>
      <c r="AK99" s="411"/>
      <c r="AL99" s="411"/>
      <c r="AM99" s="411"/>
      <c r="AN99" s="411"/>
      <c r="AO99" s="411"/>
      <c r="AP99" s="411"/>
      <c r="AQ99" s="411"/>
      <c r="AR99" s="411"/>
      <c r="AS99" s="411"/>
      <c r="AT99" s="411"/>
    </row>
    <row r="100" spans="1:46" s="102" customFormat="1" ht="12" customHeight="1">
      <c r="A100" s="118">
        <v>19</v>
      </c>
      <c r="B100" s="102" t="s">
        <v>260</v>
      </c>
      <c r="C100" s="266">
        <v>45826</v>
      </c>
      <c r="D100" s="192">
        <v>18.7</v>
      </c>
      <c r="E100" s="192">
        <v>7.31</v>
      </c>
      <c r="F100" s="214">
        <v>78</v>
      </c>
      <c r="G100" s="192">
        <v>7.8</v>
      </c>
      <c r="H100" s="192">
        <v>1.8</v>
      </c>
      <c r="I100" s="192">
        <v>65.7</v>
      </c>
      <c r="J100" s="194">
        <v>1.2</v>
      </c>
      <c r="K100" s="195">
        <v>74</v>
      </c>
      <c r="L100" s="195">
        <v>110</v>
      </c>
      <c r="M100" s="195">
        <v>3800</v>
      </c>
      <c r="N100" s="195">
        <v>55</v>
      </c>
      <c r="O100" s="195">
        <v>3800</v>
      </c>
      <c r="P100" s="195" t="s">
        <v>18</v>
      </c>
      <c r="Q100" s="192" t="str">
        <f>IF(Indata!Q104="","",Indata!Q104)</f>
        <v/>
      </c>
      <c r="R100" s="309" t="str">
        <f>IF(Indata!R104="","",Indata!R104)</f>
        <v/>
      </c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E100" s="411"/>
      <c r="AF100" s="411"/>
      <c r="AG100" s="411"/>
      <c r="AH100" s="411"/>
      <c r="AI100" s="411"/>
      <c r="AJ100" s="411"/>
      <c r="AK100" s="411"/>
      <c r="AL100" s="411"/>
      <c r="AM100" s="411"/>
      <c r="AN100" s="411"/>
      <c r="AO100" s="411"/>
      <c r="AP100" s="411"/>
      <c r="AQ100" s="411"/>
      <c r="AR100" s="411"/>
      <c r="AS100" s="411"/>
      <c r="AT100" s="411"/>
    </row>
    <row r="101" spans="1:46" s="102" customFormat="1" ht="12" customHeight="1">
      <c r="A101" s="117">
        <v>20</v>
      </c>
      <c r="B101" s="102" t="s">
        <v>267</v>
      </c>
      <c r="C101" s="266">
        <v>45826</v>
      </c>
      <c r="D101" s="192">
        <v>18.600000000000001</v>
      </c>
      <c r="E101" s="192">
        <v>9.52</v>
      </c>
      <c r="F101" s="214">
        <v>102</v>
      </c>
      <c r="G101" s="192">
        <v>8</v>
      </c>
      <c r="H101" s="192">
        <v>2.4</v>
      </c>
      <c r="I101" s="192">
        <v>65</v>
      </c>
      <c r="J101" s="194">
        <v>1.3</v>
      </c>
      <c r="K101" s="195">
        <v>75</v>
      </c>
      <c r="L101" s="195">
        <v>110</v>
      </c>
      <c r="M101" s="195">
        <v>3100</v>
      </c>
      <c r="N101" s="195">
        <v>60</v>
      </c>
      <c r="O101" s="195">
        <v>3600</v>
      </c>
      <c r="P101" s="195" t="s">
        <v>18</v>
      </c>
      <c r="Q101" s="192" t="str">
        <f>IF(Indata!Q105="","",Indata!Q105)</f>
        <v/>
      </c>
      <c r="R101" s="309" t="str">
        <f>IF(Indata!R105="","",Indata!R105)</f>
        <v/>
      </c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411"/>
      <c r="AO101" s="411"/>
      <c r="AP101" s="411"/>
      <c r="AQ101" s="411"/>
      <c r="AR101" s="411"/>
      <c r="AS101" s="411"/>
      <c r="AT101" s="411"/>
    </row>
    <row r="102" spans="1:46" s="102" customFormat="1" ht="12" customHeight="1">
      <c r="A102" s="117">
        <v>21</v>
      </c>
      <c r="B102" s="102" t="s">
        <v>261</v>
      </c>
      <c r="C102" s="266">
        <v>45826</v>
      </c>
      <c r="D102" s="192">
        <v>17.7</v>
      </c>
      <c r="E102" s="192">
        <v>9.89</v>
      </c>
      <c r="F102" s="214">
        <v>104</v>
      </c>
      <c r="G102" s="192">
        <v>8.1</v>
      </c>
      <c r="H102" s="192">
        <v>1.3</v>
      </c>
      <c r="I102" s="192">
        <v>51.7</v>
      </c>
      <c r="J102" s="194">
        <v>1.3</v>
      </c>
      <c r="K102" s="195">
        <v>88</v>
      </c>
      <c r="L102" s="195">
        <v>120</v>
      </c>
      <c r="M102" s="195">
        <v>580</v>
      </c>
      <c r="N102" s="195">
        <v>40</v>
      </c>
      <c r="O102" s="195">
        <v>1200</v>
      </c>
      <c r="P102" s="195" t="s">
        <v>18</v>
      </c>
      <c r="Q102" s="192" t="str">
        <f>IF(Indata!Q106="","",Indata!Q106)</f>
        <v/>
      </c>
      <c r="R102" s="309" t="str">
        <f>IF(Indata!R106="","",Indata!R106)</f>
        <v/>
      </c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411"/>
      <c r="AO102" s="411"/>
      <c r="AP102" s="411"/>
      <c r="AQ102" s="411"/>
      <c r="AR102" s="411"/>
      <c r="AS102" s="411"/>
      <c r="AT102" s="411"/>
    </row>
    <row r="103" spans="1:46" s="102" customFormat="1" ht="12" customHeight="1">
      <c r="A103" s="117">
        <v>25</v>
      </c>
      <c r="B103" s="102" t="s">
        <v>263</v>
      </c>
      <c r="C103" s="266">
        <v>45826</v>
      </c>
      <c r="D103" s="192">
        <v>19.600000000000001</v>
      </c>
      <c r="E103" s="192">
        <v>9.08</v>
      </c>
      <c r="F103" s="214">
        <v>99</v>
      </c>
      <c r="G103" s="192">
        <v>8</v>
      </c>
      <c r="H103" s="192">
        <v>5.5</v>
      </c>
      <c r="I103" s="192">
        <v>44.7</v>
      </c>
      <c r="J103" s="194">
        <v>1.3</v>
      </c>
      <c r="K103" s="195">
        <v>22</v>
      </c>
      <c r="L103" s="195">
        <v>55</v>
      </c>
      <c r="M103" s="195">
        <v>340</v>
      </c>
      <c r="N103" s="195">
        <v>67</v>
      </c>
      <c r="O103" s="195">
        <v>1100</v>
      </c>
      <c r="P103" s="195" t="s">
        <v>18</v>
      </c>
      <c r="Q103" s="192" t="str">
        <f>IF(Indata!Q107="","",Indata!Q107)</f>
        <v/>
      </c>
      <c r="R103" s="309" t="str">
        <f>IF(Indata!R107="","",Indata!R107)</f>
        <v/>
      </c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E103" s="411"/>
      <c r="AF103" s="411"/>
      <c r="AG103" s="411"/>
      <c r="AH103" s="411"/>
      <c r="AI103" s="411"/>
      <c r="AJ103" s="411"/>
      <c r="AK103" s="411"/>
      <c r="AL103" s="411"/>
      <c r="AM103" s="411"/>
      <c r="AN103" s="411"/>
      <c r="AO103" s="411"/>
      <c r="AP103" s="411"/>
      <c r="AQ103" s="411"/>
      <c r="AR103" s="411"/>
      <c r="AS103" s="411"/>
      <c r="AT103" s="411"/>
    </row>
    <row r="104" spans="1:46" s="102" customFormat="1" ht="12" customHeight="1">
      <c r="A104" s="118">
        <v>29</v>
      </c>
      <c r="B104" s="102" t="s">
        <v>295</v>
      </c>
      <c r="C104" s="266" t="s">
        <v>18</v>
      </c>
      <c r="D104" s="192" t="s">
        <v>18</v>
      </c>
      <c r="E104" s="192" t="s">
        <v>18</v>
      </c>
      <c r="F104" s="214" t="s">
        <v>18</v>
      </c>
      <c r="G104" s="192" t="s">
        <v>18</v>
      </c>
      <c r="H104" s="192" t="s">
        <v>18</v>
      </c>
      <c r="I104" s="192" t="s">
        <v>18</v>
      </c>
      <c r="J104" s="194" t="s">
        <v>18</v>
      </c>
      <c r="K104" s="195" t="s">
        <v>18</v>
      </c>
      <c r="L104" s="195" t="s">
        <v>18</v>
      </c>
      <c r="M104" s="195" t="s">
        <v>18</v>
      </c>
      <c r="N104" s="195" t="s">
        <v>18</v>
      </c>
      <c r="O104" s="195" t="s">
        <v>18</v>
      </c>
      <c r="P104" s="195" t="s">
        <v>18</v>
      </c>
      <c r="Q104" s="192" t="str">
        <f>IF(Indata!Q108="","",Indata!Q108)</f>
        <v/>
      </c>
      <c r="R104" s="309" t="str">
        <f>IF(Indata!R108="","",Indata!R108)</f>
        <v>Pga kraftiga vindar var provtagning ej möjlig</v>
      </c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1"/>
      <c r="AE104" s="411"/>
      <c r="AF104" s="411"/>
      <c r="AG104" s="411"/>
      <c r="AH104" s="411"/>
      <c r="AI104" s="411"/>
      <c r="AJ104" s="411"/>
      <c r="AK104" s="411"/>
      <c r="AL104" s="411"/>
      <c r="AM104" s="411"/>
      <c r="AN104" s="411"/>
      <c r="AO104" s="411"/>
      <c r="AP104" s="411"/>
      <c r="AQ104" s="411"/>
      <c r="AR104" s="411"/>
      <c r="AS104" s="411"/>
      <c r="AT104" s="411"/>
    </row>
    <row r="105" spans="1:46" s="102" customFormat="1" ht="12" customHeight="1">
      <c r="A105" s="118">
        <v>30</v>
      </c>
      <c r="B105" s="102" t="s">
        <v>296</v>
      </c>
      <c r="C105" s="266" t="s">
        <v>18</v>
      </c>
      <c r="D105" s="192" t="s">
        <v>18</v>
      </c>
      <c r="E105" s="192" t="s">
        <v>18</v>
      </c>
      <c r="F105" s="214" t="s">
        <v>18</v>
      </c>
      <c r="G105" s="192" t="s">
        <v>18</v>
      </c>
      <c r="H105" s="192" t="s">
        <v>18</v>
      </c>
      <c r="I105" s="192" t="s">
        <v>18</v>
      </c>
      <c r="J105" s="194" t="s">
        <v>18</v>
      </c>
      <c r="K105" s="195" t="s">
        <v>18</v>
      </c>
      <c r="L105" s="195" t="s">
        <v>18</v>
      </c>
      <c r="M105" s="195" t="s">
        <v>18</v>
      </c>
      <c r="N105" s="195" t="s">
        <v>18</v>
      </c>
      <c r="O105" s="195" t="s">
        <v>18</v>
      </c>
      <c r="P105" s="195" t="s">
        <v>18</v>
      </c>
      <c r="Q105" s="192" t="str">
        <f>IF(Indata!Q109="","",Indata!Q109)</f>
        <v/>
      </c>
      <c r="R105" s="309" t="str">
        <f>IF(Indata!R109="","",Indata!R109)</f>
        <v>Pga kraftiga vindar var provtagning ej möjlig</v>
      </c>
      <c r="S105" s="411"/>
      <c r="T105" s="411"/>
      <c r="U105" s="411"/>
      <c r="V105" s="411"/>
      <c r="W105" s="411"/>
      <c r="X105" s="411"/>
      <c r="Y105" s="411"/>
      <c r="Z105" s="411"/>
      <c r="AA105" s="411"/>
      <c r="AB105" s="411"/>
      <c r="AC105" s="411"/>
      <c r="AD105" s="411"/>
      <c r="AE105" s="411"/>
      <c r="AF105" s="411"/>
      <c r="AG105" s="411"/>
      <c r="AH105" s="411"/>
      <c r="AI105" s="411"/>
      <c r="AJ105" s="411"/>
      <c r="AK105" s="411"/>
      <c r="AL105" s="411"/>
      <c r="AM105" s="411"/>
      <c r="AN105" s="411"/>
      <c r="AO105" s="411"/>
      <c r="AP105" s="411"/>
      <c r="AQ105" s="411"/>
      <c r="AR105" s="411"/>
      <c r="AS105" s="411"/>
      <c r="AT105" s="411"/>
    </row>
    <row r="106" spans="1:46">
      <c r="A106" s="1">
        <v>200</v>
      </c>
      <c r="B106" s="62"/>
      <c r="C106" s="270"/>
      <c r="D106" s="267"/>
      <c r="E106" s="268"/>
      <c r="F106" s="269"/>
      <c r="G106" s="268"/>
      <c r="H106" s="268"/>
      <c r="I106" s="268"/>
      <c r="J106" s="268"/>
      <c r="K106" s="269"/>
      <c r="L106" s="269"/>
      <c r="M106" s="269"/>
      <c r="N106" s="269"/>
      <c r="O106" s="269"/>
      <c r="P106" s="269"/>
      <c r="Q106" s="268"/>
      <c r="R106" s="307"/>
      <c r="S106" s="388"/>
      <c r="T106" s="388"/>
      <c r="U106" s="388"/>
      <c r="V106" s="388"/>
      <c r="W106" s="388"/>
      <c r="X106" s="388"/>
      <c r="Y106" s="388"/>
      <c r="Z106" s="388"/>
      <c r="AA106" s="388"/>
      <c r="AB106" s="388"/>
      <c r="AC106" s="388"/>
      <c r="AD106" s="388"/>
      <c r="AE106" s="388"/>
      <c r="AF106" s="388"/>
      <c r="AG106" s="388"/>
      <c r="AH106" s="388"/>
      <c r="AI106" s="388"/>
      <c r="AJ106" s="388"/>
      <c r="AK106" s="388"/>
      <c r="AL106" s="388"/>
      <c r="AM106" s="388"/>
      <c r="AN106" s="388"/>
      <c r="AO106" s="388"/>
      <c r="AP106" s="388"/>
      <c r="AQ106" s="388"/>
      <c r="AR106" s="388"/>
      <c r="AS106" s="388"/>
      <c r="AT106" s="388"/>
    </row>
    <row r="107" spans="1:46" s="388" customFormat="1" ht="17.25" customHeight="1">
      <c r="A107" s="381">
        <v>250</v>
      </c>
      <c r="B107" s="382" t="s">
        <v>26</v>
      </c>
      <c r="C107" s="407"/>
      <c r="D107" s="384"/>
      <c r="E107" s="384"/>
      <c r="F107" s="385"/>
      <c r="G107" s="384"/>
      <c r="H107" s="384"/>
      <c r="I107" s="384"/>
      <c r="J107" s="384"/>
      <c r="K107" s="386"/>
      <c r="L107" s="386"/>
      <c r="M107" s="386"/>
      <c r="N107" s="386"/>
      <c r="O107" s="386"/>
      <c r="P107" s="386"/>
      <c r="Q107" s="384"/>
      <c r="R107" s="387"/>
    </row>
    <row r="108" spans="1:46" s="102" customFormat="1" ht="12" customHeight="1">
      <c r="A108" s="117">
        <v>3</v>
      </c>
      <c r="B108" s="102" t="s">
        <v>252</v>
      </c>
      <c r="C108" s="266">
        <v>45848</v>
      </c>
      <c r="D108" s="192">
        <v>20.5</v>
      </c>
      <c r="E108" s="192">
        <v>7.6</v>
      </c>
      <c r="F108" s="214">
        <v>84</v>
      </c>
      <c r="G108" s="192">
        <v>7.8</v>
      </c>
      <c r="H108" s="192">
        <v>0.78</v>
      </c>
      <c r="I108" s="192">
        <v>52.3</v>
      </c>
      <c r="J108" s="194">
        <v>0.62</v>
      </c>
      <c r="K108" s="195">
        <v>57</v>
      </c>
      <c r="L108" s="195">
        <v>78</v>
      </c>
      <c r="M108" s="195">
        <v>1100</v>
      </c>
      <c r="N108" s="195">
        <v>34</v>
      </c>
      <c r="O108" s="195">
        <v>1300</v>
      </c>
      <c r="P108" s="195" t="s">
        <v>18</v>
      </c>
      <c r="Q108" s="192" t="str">
        <f>IF(Indata!Q112="","",Indata!Q112)</f>
        <v/>
      </c>
      <c r="R108" s="309" t="str">
        <f>IF(Indata!R112="","",Indata!R112)</f>
        <v/>
      </c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1"/>
      <c r="AI108" s="411"/>
      <c r="AJ108" s="411"/>
      <c r="AK108" s="411"/>
      <c r="AL108" s="411"/>
      <c r="AM108" s="411"/>
      <c r="AN108" s="411"/>
      <c r="AO108" s="411"/>
      <c r="AP108" s="411"/>
      <c r="AQ108" s="411"/>
      <c r="AR108" s="411"/>
      <c r="AS108" s="411"/>
      <c r="AT108" s="411"/>
    </row>
    <row r="109" spans="1:46" s="102" customFormat="1" ht="12" customHeight="1">
      <c r="A109" s="117">
        <v>5</v>
      </c>
      <c r="B109" s="102" t="s">
        <v>253</v>
      </c>
      <c r="C109" s="266">
        <v>45848</v>
      </c>
      <c r="D109" s="192">
        <v>22</v>
      </c>
      <c r="E109" s="192">
        <v>8.33</v>
      </c>
      <c r="F109" s="214">
        <v>95</v>
      </c>
      <c r="G109" s="192">
        <v>7.8</v>
      </c>
      <c r="H109" s="192">
        <v>1.1000000000000001</v>
      </c>
      <c r="I109" s="192">
        <v>47.5</v>
      </c>
      <c r="J109" s="194">
        <v>1.2</v>
      </c>
      <c r="K109" s="195">
        <v>21</v>
      </c>
      <c r="L109" s="195">
        <v>47</v>
      </c>
      <c r="M109" s="195">
        <v>380</v>
      </c>
      <c r="N109" s="195">
        <v>36</v>
      </c>
      <c r="O109" s="195">
        <v>870</v>
      </c>
      <c r="P109" s="195" t="s">
        <v>18</v>
      </c>
      <c r="Q109" s="192" t="str">
        <f>IF(Indata!Q113="","",Indata!Q113)</f>
        <v/>
      </c>
      <c r="R109" s="309" t="str">
        <f>IF(Indata!R113="","",Indata!R113)</f>
        <v/>
      </c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E109" s="411"/>
      <c r="AF109" s="411"/>
      <c r="AG109" s="411"/>
      <c r="AH109" s="411"/>
      <c r="AI109" s="411"/>
      <c r="AJ109" s="411"/>
      <c r="AK109" s="411"/>
      <c r="AL109" s="411"/>
      <c r="AM109" s="411"/>
      <c r="AN109" s="411"/>
      <c r="AO109" s="411"/>
      <c r="AP109" s="411"/>
      <c r="AQ109" s="411"/>
      <c r="AR109" s="411"/>
      <c r="AS109" s="411"/>
      <c r="AT109" s="411"/>
    </row>
    <row r="110" spans="1:46" s="102" customFormat="1" ht="12" customHeight="1">
      <c r="A110" s="117">
        <v>6</v>
      </c>
      <c r="B110" s="102" t="s">
        <v>265</v>
      </c>
      <c r="C110" s="266">
        <v>45848</v>
      </c>
      <c r="D110" s="192">
        <v>21.2</v>
      </c>
      <c r="E110" s="192">
        <v>7.99</v>
      </c>
      <c r="F110" s="214">
        <v>90</v>
      </c>
      <c r="G110" s="192">
        <v>7.6</v>
      </c>
      <c r="H110" s="192">
        <v>2.8</v>
      </c>
      <c r="I110" s="192">
        <v>40.1</v>
      </c>
      <c r="J110" s="194">
        <v>1.9</v>
      </c>
      <c r="K110" s="195">
        <v>21</v>
      </c>
      <c r="L110" s="195">
        <v>58</v>
      </c>
      <c r="M110" s="195">
        <v>760</v>
      </c>
      <c r="N110" s="195">
        <v>100</v>
      </c>
      <c r="O110" s="195">
        <v>1300</v>
      </c>
      <c r="P110" s="195" t="s">
        <v>18</v>
      </c>
      <c r="Q110" s="192" t="str">
        <f>IF(Indata!Q114="","",Indata!Q114)</f>
        <v/>
      </c>
      <c r="R110" s="309" t="str">
        <f>IF(Indata!R114="","",Indata!R114)</f>
        <v/>
      </c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1"/>
      <c r="AE110" s="411"/>
      <c r="AF110" s="411"/>
      <c r="AG110" s="411"/>
      <c r="AH110" s="411"/>
      <c r="AI110" s="411"/>
      <c r="AJ110" s="411"/>
      <c r="AK110" s="411"/>
      <c r="AL110" s="411"/>
      <c r="AM110" s="411"/>
      <c r="AN110" s="411"/>
      <c r="AO110" s="411"/>
      <c r="AP110" s="411"/>
      <c r="AQ110" s="411"/>
      <c r="AR110" s="411"/>
      <c r="AS110" s="411"/>
      <c r="AT110" s="411"/>
    </row>
    <row r="111" spans="1:46" s="102" customFormat="1" ht="12" customHeight="1">
      <c r="A111" s="117">
        <v>7</v>
      </c>
      <c r="B111" s="102" t="s">
        <v>254</v>
      </c>
      <c r="C111" s="266">
        <v>45848</v>
      </c>
      <c r="D111" s="192">
        <v>20.2</v>
      </c>
      <c r="E111" s="192">
        <v>9.5399999999999991</v>
      </c>
      <c r="F111" s="214">
        <v>105</v>
      </c>
      <c r="G111" s="192">
        <v>8.3000000000000007</v>
      </c>
      <c r="H111" s="192">
        <v>6.3</v>
      </c>
      <c r="I111" s="192">
        <v>36.200000000000003</v>
      </c>
      <c r="J111" s="194">
        <v>2.6</v>
      </c>
      <c r="K111" s="195" t="s">
        <v>149</v>
      </c>
      <c r="L111" s="195">
        <v>36</v>
      </c>
      <c r="M111" s="195">
        <v>110</v>
      </c>
      <c r="N111" s="195">
        <v>15</v>
      </c>
      <c r="O111" s="195">
        <v>710</v>
      </c>
      <c r="P111" s="195" t="s">
        <v>18</v>
      </c>
      <c r="Q111" s="192" t="str">
        <f>IF(Indata!Q115="","",Indata!Q115)</f>
        <v/>
      </c>
      <c r="R111" s="309" t="str">
        <f>IF(Indata!R115="","",Indata!R115)</f>
        <v/>
      </c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E111" s="411"/>
      <c r="AF111" s="411"/>
      <c r="AG111" s="411"/>
      <c r="AH111" s="411"/>
      <c r="AI111" s="411"/>
      <c r="AJ111" s="411"/>
      <c r="AK111" s="411"/>
      <c r="AL111" s="411"/>
      <c r="AM111" s="411"/>
      <c r="AN111" s="411"/>
      <c r="AO111" s="411"/>
      <c r="AP111" s="411"/>
      <c r="AQ111" s="411"/>
      <c r="AR111" s="411"/>
      <c r="AS111" s="411"/>
      <c r="AT111" s="411"/>
    </row>
    <row r="112" spans="1:46" s="102" customFormat="1" ht="12" customHeight="1">
      <c r="A112" s="117">
        <v>9</v>
      </c>
      <c r="B112" s="102" t="s">
        <v>255</v>
      </c>
      <c r="C112" s="266">
        <v>45848</v>
      </c>
      <c r="D112" s="192">
        <v>16.399999999999999</v>
      </c>
      <c r="E112" s="192">
        <v>6.95</v>
      </c>
      <c r="F112" s="214">
        <v>71</v>
      </c>
      <c r="G112" s="192">
        <v>7.6</v>
      </c>
      <c r="H112" s="192">
        <v>2.5</v>
      </c>
      <c r="I112" s="192">
        <v>41.1</v>
      </c>
      <c r="J112" s="194">
        <v>2.5</v>
      </c>
      <c r="K112" s="195">
        <v>310</v>
      </c>
      <c r="L112" s="195">
        <v>370</v>
      </c>
      <c r="M112" s="195">
        <v>560</v>
      </c>
      <c r="N112" s="195">
        <v>150</v>
      </c>
      <c r="O112" s="195">
        <v>1300</v>
      </c>
      <c r="P112" s="195" t="s">
        <v>18</v>
      </c>
      <c r="Q112" s="192" t="str">
        <f>IF(Indata!Q116="","",Indata!Q116)</f>
        <v/>
      </c>
      <c r="R112" s="309" t="str">
        <f>IF(Indata!R116="","",Indata!R116)</f>
        <v/>
      </c>
      <c r="S112" s="411"/>
      <c r="T112" s="411"/>
      <c r="U112" s="411"/>
      <c r="V112" s="411"/>
      <c r="W112" s="411"/>
      <c r="X112" s="411"/>
      <c r="Y112" s="411"/>
      <c r="Z112" s="411"/>
      <c r="AA112" s="411"/>
      <c r="AB112" s="411"/>
      <c r="AC112" s="411"/>
      <c r="AD112" s="411"/>
      <c r="AE112" s="411"/>
      <c r="AF112" s="411"/>
      <c r="AG112" s="411"/>
      <c r="AH112" s="411"/>
      <c r="AI112" s="411"/>
      <c r="AJ112" s="411"/>
      <c r="AK112" s="411"/>
      <c r="AL112" s="411"/>
      <c r="AM112" s="411"/>
      <c r="AN112" s="411"/>
      <c r="AO112" s="411"/>
      <c r="AP112" s="411"/>
      <c r="AQ112" s="411"/>
      <c r="AR112" s="411"/>
      <c r="AS112" s="411"/>
      <c r="AT112" s="411"/>
    </row>
    <row r="113" spans="1:46" s="102" customFormat="1" ht="12" customHeight="1">
      <c r="A113" s="117">
        <v>11</v>
      </c>
      <c r="B113" s="102" t="s">
        <v>256</v>
      </c>
      <c r="C113" s="266">
        <v>45848</v>
      </c>
      <c r="D113" s="192">
        <v>17.2</v>
      </c>
      <c r="E113" s="192">
        <v>8.89</v>
      </c>
      <c r="F113" s="214">
        <v>93</v>
      </c>
      <c r="G113" s="192">
        <v>8</v>
      </c>
      <c r="H113" s="192">
        <v>2.4</v>
      </c>
      <c r="I113" s="192">
        <v>55</v>
      </c>
      <c r="J113" s="194">
        <v>1.2</v>
      </c>
      <c r="K113" s="195">
        <v>37</v>
      </c>
      <c r="L113" s="195">
        <v>57</v>
      </c>
      <c r="M113" s="195">
        <v>1900</v>
      </c>
      <c r="N113" s="195">
        <v>28</v>
      </c>
      <c r="O113" s="195">
        <v>2100</v>
      </c>
      <c r="P113" s="195" t="s">
        <v>18</v>
      </c>
      <c r="Q113" s="192" t="str">
        <f>IF(Indata!Q117="","",Indata!Q117)</f>
        <v/>
      </c>
      <c r="R113" s="309" t="str">
        <f>IF(Indata!R117="","",Indata!R117)</f>
        <v/>
      </c>
      <c r="S113" s="411"/>
      <c r="T113" s="411"/>
      <c r="U113" s="411"/>
      <c r="V113" s="411"/>
      <c r="W113" s="411"/>
      <c r="X113" s="411"/>
      <c r="Y113" s="411"/>
      <c r="Z113" s="411"/>
      <c r="AA113" s="411"/>
      <c r="AB113" s="411"/>
      <c r="AC113" s="411"/>
      <c r="AD113" s="411"/>
      <c r="AE113" s="411"/>
      <c r="AF113" s="411"/>
      <c r="AG113" s="411"/>
      <c r="AH113" s="411"/>
      <c r="AI113" s="411"/>
      <c r="AJ113" s="411"/>
      <c r="AK113" s="411"/>
      <c r="AL113" s="411"/>
      <c r="AM113" s="411"/>
      <c r="AN113" s="411"/>
      <c r="AO113" s="411"/>
      <c r="AP113" s="411"/>
      <c r="AQ113" s="411"/>
      <c r="AR113" s="411"/>
      <c r="AS113" s="411"/>
      <c r="AT113" s="411"/>
    </row>
    <row r="114" spans="1:46" s="102" customFormat="1" ht="12" customHeight="1">
      <c r="A114" s="117">
        <v>13</v>
      </c>
      <c r="B114" s="102" t="s">
        <v>257</v>
      </c>
      <c r="C114" s="266">
        <v>45848</v>
      </c>
      <c r="D114" s="192">
        <v>19</v>
      </c>
      <c r="E114" s="192">
        <v>9.58</v>
      </c>
      <c r="F114" s="214">
        <v>103</v>
      </c>
      <c r="G114" s="192">
        <v>8.1</v>
      </c>
      <c r="H114" s="192">
        <v>1.8</v>
      </c>
      <c r="I114" s="192">
        <v>45.6</v>
      </c>
      <c r="J114" s="194">
        <v>1.3</v>
      </c>
      <c r="K114" s="195">
        <v>110</v>
      </c>
      <c r="L114" s="195">
        <v>140</v>
      </c>
      <c r="M114" s="195">
        <v>900</v>
      </c>
      <c r="N114" s="195" t="s">
        <v>290</v>
      </c>
      <c r="O114" s="195">
        <v>1400</v>
      </c>
      <c r="P114" s="195" t="s">
        <v>18</v>
      </c>
      <c r="Q114" s="192" t="str">
        <f>IF(Indata!Q118="","",Indata!Q118)</f>
        <v/>
      </c>
      <c r="R114" s="309" t="str">
        <f>IF(Indata!R118="","",Indata!R118)</f>
        <v>Förhöjd rapporteringsgräns för ammoniumkväve, NH4-N, 
på grund av störningar från andra ämnen i provet.</v>
      </c>
      <c r="S114" s="411"/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1"/>
      <c r="AK114" s="411"/>
      <c r="AL114" s="411"/>
      <c r="AM114" s="411"/>
      <c r="AN114" s="411"/>
      <c r="AO114" s="411"/>
      <c r="AP114" s="411"/>
      <c r="AQ114" s="411"/>
      <c r="AR114" s="411"/>
      <c r="AS114" s="411"/>
      <c r="AT114" s="411"/>
    </row>
    <row r="115" spans="1:46" s="102" customFormat="1" ht="12" customHeight="1">
      <c r="A115" s="117">
        <v>15</v>
      </c>
      <c r="B115" s="102" t="s">
        <v>258</v>
      </c>
      <c r="C115" s="266">
        <v>45848</v>
      </c>
      <c r="D115" s="192">
        <v>16.8</v>
      </c>
      <c r="E115" s="192">
        <v>9.5399999999999991</v>
      </c>
      <c r="F115" s="214">
        <v>99</v>
      </c>
      <c r="G115" s="192">
        <v>7.8</v>
      </c>
      <c r="H115" s="192">
        <v>2.8</v>
      </c>
      <c r="I115" s="192">
        <v>58.4</v>
      </c>
      <c r="J115" s="194">
        <v>0.89</v>
      </c>
      <c r="K115" s="195">
        <v>31</v>
      </c>
      <c r="L115" s="195">
        <v>52</v>
      </c>
      <c r="M115" s="195">
        <v>790</v>
      </c>
      <c r="N115" s="195">
        <v>23</v>
      </c>
      <c r="O115" s="195">
        <v>940</v>
      </c>
      <c r="P115" s="195" t="s">
        <v>18</v>
      </c>
      <c r="Q115" s="192" t="str">
        <f>IF(Indata!Q119="","",Indata!Q119)</f>
        <v/>
      </c>
      <c r="R115" s="309" t="str">
        <f>IF(Indata!R119="","",Indata!R119)</f>
        <v/>
      </c>
      <c r="S115" s="411"/>
      <c r="T115" s="411"/>
      <c r="U115" s="411"/>
      <c r="V115" s="411"/>
      <c r="W115" s="411"/>
      <c r="X115" s="411"/>
      <c r="Y115" s="411"/>
      <c r="Z115" s="411"/>
      <c r="AA115" s="411"/>
      <c r="AB115" s="411"/>
      <c r="AC115" s="411"/>
      <c r="AD115" s="411"/>
      <c r="AE115" s="411"/>
      <c r="AF115" s="411"/>
      <c r="AG115" s="411"/>
      <c r="AH115" s="411"/>
      <c r="AI115" s="411"/>
      <c r="AJ115" s="411"/>
      <c r="AK115" s="411"/>
      <c r="AL115" s="411"/>
      <c r="AM115" s="411"/>
      <c r="AN115" s="411"/>
      <c r="AO115" s="411"/>
      <c r="AP115" s="411"/>
      <c r="AQ115" s="411"/>
      <c r="AR115" s="411"/>
      <c r="AS115" s="411"/>
      <c r="AT115" s="411"/>
    </row>
    <row r="116" spans="1:46" s="102" customFormat="1" ht="12" customHeight="1">
      <c r="A116" s="117">
        <v>17</v>
      </c>
      <c r="B116" s="102" t="s">
        <v>259</v>
      </c>
      <c r="C116" s="266">
        <v>45848</v>
      </c>
      <c r="D116" s="192">
        <v>18.8</v>
      </c>
      <c r="E116" s="192">
        <v>9.49</v>
      </c>
      <c r="F116" s="214">
        <v>102</v>
      </c>
      <c r="G116" s="192">
        <v>8</v>
      </c>
      <c r="H116" s="192">
        <v>3.3</v>
      </c>
      <c r="I116" s="192">
        <v>38.799999999999997</v>
      </c>
      <c r="J116" s="194">
        <v>1.1000000000000001</v>
      </c>
      <c r="K116" s="195">
        <v>33</v>
      </c>
      <c r="L116" s="195">
        <v>59</v>
      </c>
      <c r="M116" s="195">
        <v>710</v>
      </c>
      <c r="N116" s="195">
        <v>30</v>
      </c>
      <c r="O116" s="195">
        <v>1100</v>
      </c>
      <c r="P116" s="195" t="s">
        <v>18</v>
      </c>
      <c r="Q116" s="192" t="str">
        <f>IF(Indata!Q120="","",Indata!Q120)</f>
        <v/>
      </c>
      <c r="R116" s="309" t="str">
        <f>IF(Indata!R120="","",Indata!R120)</f>
        <v/>
      </c>
      <c r="S116" s="411"/>
      <c r="T116" s="411"/>
      <c r="U116" s="411"/>
      <c r="V116" s="411"/>
      <c r="W116" s="411"/>
      <c r="X116" s="411"/>
      <c r="Y116" s="411"/>
      <c r="Z116" s="411"/>
      <c r="AA116" s="411"/>
      <c r="AB116" s="411"/>
      <c r="AC116" s="411"/>
      <c r="AD116" s="411"/>
      <c r="AE116" s="411"/>
      <c r="AF116" s="411"/>
      <c r="AG116" s="411"/>
      <c r="AH116" s="411"/>
      <c r="AI116" s="411"/>
      <c r="AJ116" s="411"/>
      <c r="AK116" s="411"/>
      <c r="AL116" s="411"/>
      <c r="AM116" s="411"/>
      <c r="AN116" s="411"/>
      <c r="AO116" s="411"/>
      <c r="AP116" s="411"/>
      <c r="AQ116" s="411"/>
      <c r="AR116" s="411"/>
      <c r="AS116" s="411"/>
      <c r="AT116" s="411"/>
    </row>
    <row r="117" spans="1:46" s="102" customFormat="1" ht="12" customHeight="1">
      <c r="A117" s="117">
        <v>18</v>
      </c>
      <c r="B117" s="102" t="s">
        <v>266</v>
      </c>
      <c r="C117" s="266">
        <v>45848</v>
      </c>
      <c r="D117" s="192">
        <v>15.7</v>
      </c>
      <c r="E117" s="192">
        <v>9.7799999999999994</v>
      </c>
      <c r="F117" s="214">
        <v>99</v>
      </c>
      <c r="G117" s="192">
        <v>8.1</v>
      </c>
      <c r="H117" s="192">
        <v>18</v>
      </c>
      <c r="I117" s="192">
        <v>36.9</v>
      </c>
      <c r="J117" s="194">
        <v>2.8</v>
      </c>
      <c r="K117" s="195">
        <v>120</v>
      </c>
      <c r="L117" s="195">
        <v>190</v>
      </c>
      <c r="M117" s="195">
        <v>4700</v>
      </c>
      <c r="N117" s="195">
        <v>16</v>
      </c>
      <c r="O117" s="195">
        <v>5000</v>
      </c>
      <c r="P117" s="195" t="s">
        <v>18</v>
      </c>
      <c r="Q117" s="192" t="str">
        <f>IF(Indata!Q121="","",Indata!Q121)</f>
        <v/>
      </c>
      <c r="R117" s="309" t="str">
        <f>IF(Indata!R121="","",Indata!R121)</f>
        <v/>
      </c>
      <c r="S117" s="411"/>
      <c r="T117" s="411"/>
      <c r="U117" s="411"/>
      <c r="V117" s="411"/>
      <c r="W117" s="411"/>
      <c r="X117" s="411"/>
      <c r="Y117" s="411"/>
      <c r="Z117" s="411"/>
      <c r="AA117" s="411"/>
      <c r="AB117" s="411"/>
      <c r="AC117" s="411"/>
      <c r="AD117" s="411"/>
      <c r="AE117" s="411"/>
      <c r="AF117" s="411"/>
      <c r="AG117" s="411"/>
      <c r="AH117" s="411"/>
      <c r="AI117" s="411"/>
      <c r="AJ117" s="411"/>
      <c r="AK117" s="411"/>
      <c r="AL117" s="411"/>
      <c r="AM117" s="411"/>
      <c r="AN117" s="411"/>
      <c r="AO117" s="411"/>
      <c r="AP117" s="411"/>
      <c r="AQ117" s="411"/>
      <c r="AR117" s="411"/>
      <c r="AS117" s="411"/>
      <c r="AT117" s="411"/>
    </row>
    <row r="118" spans="1:46" s="102" customFormat="1" ht="12" customHeight="1">
      <c r="A118" s="118">
        <v>19</v>
      </c>
      <c r="B118" s="102" t="s">
        <v>260</v>
      </c>
      <c r="C118" s="266">
        <v>45848</v>
      </c>
      <c r="D118" s="192">
        <v>19.5</v>
      </c>
      <c r="E118" s="192">
        <v>7.23</v>
      </c>
      <c r="F118" s="214">
        <v>79</v>
      </c>
      <c r="G118" s="192">
        <v>7.7</v>
      </c>
      <c r="H118" s="192">
        <v>2.4</v>
      </c>
      <c r="I118" s="192">
        <v>60.1</v>
      </c>
      <c r="J118" s="194">
        <v>1.1000000000000001</v>
      </c>
      <c r="K118" s="195">
        <v>91</v>
      </c>
      <c r="L118" s="195">
        <v>120</v>
      </c>
      <c r="M118" s="195">
        <v>1100</v>
      </c>
      <c r="N118" s="195">
        <v>43</v>
      </c>
      <c r="O118" s="195">
        <v>1600</v>
      </c>
      <c r="P118" s="195" t="s">
        <v>18</v>
      </c>
      <c r="Q118" s="192" t="str">
        <f>IF(Indata!Q122="","",Indata!Q122)</f>
        <v/>
      </c>
      <c r="R118" s="309" t="str">
        <f>IF(Indata!R122="","",Indata!R122)</f>
        <v/>
      </c>
      <c r="S118" s="411"/>
      <c r="T118" s="411"/>
      <c r="U118" s="411"/>
      <c r="V118" s="411"/>
      <c r="W118" s="411"/>
      <c r="X118" s="411"/>
      <c r="Y118" s="411"/>
      <c r="Z118" s="411"/>
      <c r="AA118" s="411"/>
      <c r="AB118" s="411"/>
      <c r="AC118" s="411"/>
      <c r="AD118" s="411"/>
      <c r="AE118" s="411"/>
      <c r="AF118" s="411"/>
      <c r="AG118" s="411"/>
      <c r="AH118" s="411"/>
      <c r="AI118" s="411"/>
      <c r="AJ118" s="411"/>
      <c r="AK118" s="411"/>
      <c r="AL118" s="411"/>
      <c r="AM118" s="411"/>
      <c r="AN118" s="411"/>
      <c r="AO118" s="411"/>
      <c r="AP118" s="411"/>
      <c r="AQ118" s="411"/>
      <c r="AR118" s="411"/>
      <c r="AS118" s="411"/>
      <c r="AT118" s="411"/>
    </row>
    <row r="119" spans="1:46" s="102" customFormat="1" ht="12" customHeight="1">
      <c r="A119" s="117">
        <v>20</v>
      </c>
      <c r="B119" s="102" t="s">
        <v>267</v>
      </c>
      <c r="C119" s="266">
        <v>45848</v>
      </c>
      <c r="D119" s="192">
        <v>19.399999999999999</v>
      </c>
      <c r="E119" s="192">
        <v>9.32</v>
      </c>
      <c r="F119" s="214">
        <v>101</v>
      </c>
      <c r="G119" s="192">
        <v>7.7</v>
      </c>
      <c r="H119" s="192">
        <v>4</v>
      </c>
      <c r="I119" s="192">
        <v>69.2</v>
      </c>
      <c r="J119" s="194">
        <v>3.1</v>
      </c>
      <c r="K119" s="195">
        <v>31</v>
      </c>
      <c r="L119" s="195">
        <v>110</v>
      </c>
      <c r="M119" s="195">
        <v>250</v>
      </c>
      <c r="N119" s="195">
        <v>21</v>
      </c>
      <c r="O119" s="195">
        <v>1100</v>
      </c>
      <c r="P119" s="195" t="s">
        <v>18</v>
      </c>
      <c r="Q119" s="192" t="str">
        <f>IF(Indata!Q123="","",Indata!Q123)</f>
        <v/>
      </c>
      <c r="R119" s="309" t="str">
        <f>IF(Indata!R123="","",Indata!R123)</f>
        <v/>
      </c>
      <c r="S119" s="411"/>
      <c r="T119" s="411"/>
      <c r="U119" s="411"/>
      <c r="V119" s="411"/>
      <c r="W119" s="411"/>
      <c r="X119" s="411"/>
      <c r="Y119" s="411"/>
      <c r="Z119" s="411"/>
      <c r="AA119" s="411"/>
      <c r="AB119" s="411"/>
      <c r="AC119" s="411"/>
      <c r="AD119" s="411"/>
      <c r="AE119" s="411"/>
      <c r="AF119" s="411"/>
      <c r="AG119" s="411"/>
      <c r="AH119" s="411"/>
      <c r="AI119" s="411"/>
      <c r="AJ119" s="411"/>
      <c r="AK119" s="411"/>
      <c r="AL119" s="411"/>
      <c r="AM119" s="411"/>
      <c r="AN119" s="411"/>
      <c r="AO119" s="411"/>
      <c r="AP119" s="411"/>
      <c r="AQ119" s="411"/>
      <c r="AR119" s="411"/>
      <c r="AS119" s="411"/>
      <c r="AT119" s="411"/>
    </row>
    <row r="120" spans="1:46" s="102" customFormat="1" ht="12" customHeight="1">
      <c r="A120" s="117">
        <v>21</v>
      </c>
      <c r="B120" s="102" t="s">
        <v>261</v>
      </c>
      <c r="C120" s="266">
        <v>45848</v>
      </c>
      <c r="D120" s="192">
        <v>18</v>
      </c>
      <c r="E120" s="192">
        <v>9.34</v>
      </c>
      <c r="F120" s="214">
        <v>99</v>
      </c>
      <c r="G120" s="192">
        <v>8.1</v>
      </c>
      <c r="H120" s="192">
        <v>1.9</v>
      </c>
      <c r="I120" s="192">
        <v>57.1</v>
      </c>
      <c r="J120" s="194">
        <v>1</v>
      </c>
      <c r="K120" s="195">
        <v>100</v>
      </c>
      <c r="L120" s="195">
        <v>130</v>
      </c>
      <c r="M120" s="195">
        <v>420</v>
      </c>
      <c r="N120" s="195">
        <v>27</v>
      </c>
      <c r="O120" s="195">
        <v>890</v>
      </c>
      <c r="P120" s="195" t="s">
        <v>18</v>
      </c>
      <c r="Q120" s="192" t="str">
        <f>IF(Indata!Q124="","",Indata!Q124)</f>
        <v/>
      </c>
      <c r="R120" s="309" t="str">
        <f>IF(Indata!R124="","",Indata!R124)</f>
        <v/>
      </c>
      <c r="S120" s="411"/>
      <c r="T120" s="411"/>
      <c r="U120" s="411"/>
      <c r="V120" s="411"/>
      <c r="W120" s="411"/>
      <c r="X120" s="411"/>
      <c r="Y120" s="411"/>
      <c r="Z120" s="411"/>
      <c r="AA120" s="411"/>
      <c r="AB120" s="411"/>
      <c r="AC120" s="411"/>
      <c r="AD120" s="411"/>
      <c r="AE120" s="411"/>
      <c r="AF120" s="411"/>
      <c r="AG120" s="411"/>
      <c r="AH120" s="411"/>
      <c r="AI120" s="411"/>
      <c r="AJ120" s="411"/>
      <c r="AK120" s="411"/>
      <c r="AL120" s="411"/>
      <c r="AM120" s="411"/>
      <c r="AN120" s="411"/>
      <c r="AO120" s="411"/>
      <c r="AP120" s="411"/>
      <c r="AQ120" s="411"/>
      <c r="AR120" s="411"/>
      <c r="AS120" s="411"/>
      <c r="AT120" s="411"/>
    </row>
    <row r="121" spans="1:46" s="102" customFormat="1" ht="12" customHeight="1">
      <c r="A121" s="117">
        <v>22</v>
      </c>
      <c r="B121" s="102" t="s">
        <v>268</v>
      </c>
      <c r="C121" s="266">
        <v>45848</v>
      </c>
      <c r="D121" s="192">
        <v>17.2</v>
      </c>
      <c r="E121" s="192">
        <v>7.69</v>
      </c>
      <c r="F121" s="214">
        <v>80</v>
      </c>
      <c r="G121" s="192">
        <v>7.9</v>
      </c>
      <c r="H121" s="192">
        <v>1.5</v>
      </c>
      <c r="I121" s="192">
        <v>41.6</v>
      </c>
      <c r="J121" s="194">
        <v>1.2</v>
      </c>
      <c r="K121" s="195">
        <v>110</v>
      </c>
      <c r="L121" s="195">
        <v>150</v>
      </c>
      <c r="M121" s="195">
        <v>880</v>
      </c>
      <c r="N121" s="195">
        <v>32</v>
      </c>
      <c r="O121" s="195">
        <v>1400</v>
      </c>
      <c r="P121" s="195" t="s">
        <v>18</v>
      </c>
      <c r="Q121" s="192" t="str">
        <f>IF(Indata!Q125="","",Indata!Q125)</f>
        <v/>
      </c>
      <c r="R121" s="309" t="str">
        <f>IF(Indata!R125="","",Indata!R125)</f>
        <v/>
      </c>
      <c r="S121" s="411"/>
      <c r="T121" s="411"/>
      <c r="U121" s="411"/>
      <c r="V121" s="411"/>
      <c r="W121" s="411"/>
      <c r="X121" s="411"/>
      <c r="Y121" s="411"/>
      <c r="Z121" s="411"/>
      <c r="AA121" s="411"/>
      <c r="AB121" s="411"/>
      <c r="AC121" s="411"/>
      <c r="AD121" s="411"/>
      <c r="AE121" s="411"/>
      <c r="AF121" s="411"/>
      <c r="AG121" s="411"/>
      <c r="AH121" s="411"/>
      <c r="AI121" s="411"/>
      <c r="AJ121" s="411"/>
      <c r="AK121" s="411"/>
      <c r="AL121" s="411"/>
      <c r="AM121" s="411"/>
      <c r="AN121" s="411"/>
      <c r="AO121" s="411"/>
      <c r="AP121" s="411"/>
      <c r="AQ121" s="411"/>
      <c r="AR121" s="411"/>
      <c r="AS121" s="411"/>
      <c r="AT121" s="411"/>
    </row>
    <row r="122" spans="1:46" s="102" customFormat="1" ht="12" customHeight="1">
      <c r="A122" s="117">
        <v>23</v>
      </c>
      <c r="B122" s="122" t="s">
        <v>297</v>
      </c>
      <c r="C122" s="266">
        <v>45848</v>
      </c>
      <c r="D122" s="192">
        <v>19.2</v>
      </c>
      <c r="E122" s="192">
        <v>8.02</v>
      </c>
      <c r="F122" s="214">
        <v>87</v>
      </c>
      <c r="G122" s="192">
        <v>7.7</v>
      </c>
      <c r="H122" s="192">
        <v>9</v>
      </c>
      <c r="I122" s="192">
        <v>55</v>
      </c>
      <c r="J122" s="194">
        <v>1.9</v>
      </c>
      <c r="K122" s="195">
        <v>45</v>
      </c>
      <c r="L122" s="195">
        <v>86</v>
      </c>
      <c r="M122" s="195">
        <v>2500</v>
      </c>
      <c r="N122" s="195">
        <v>100</v>
      </c>
      <c r="O122" s="195">
        <v>3000</v>
      </c>
      <c r="P122" s="195" t="s">
        <v>18</v>
      </c>
      <c r="Q122" s="192" t="str">
        <f>IF(Indata!Q126="","",Indata!Q126)</f>
        <v/>
      </c>
      <c r="R122" s="309" t="str">
        <f>IF(Indata!R126="","",Indata!R126)</f>
        <v/>
      </c>
      <c r="S122" s="411"/>
      <c r="T122" s="411"/>
      <c r="U122" s="411"/>
      <c r="V122" s="411"/>
      <c r="W122" s="411"/>
      <c r="X122" s="411"/>
      <c r="Y122" s="411"/>
      <c r="Z122" s="411"/>
      <c r="AA122" s="411"/>
      <c r="AB122" s="411"/>
      <c r="AC122" s="411"/>
      <c r="AD122" s="411"/>
      <c r="AE122" s="411"/>
      <c r="AF122" s="411"/>
      <c r="AG122" s="411"/>
      <c r="AH122" s="411"/>
      <c r="AI122" s="411"/>
      <c r="AJ122" s="411"/>
      <c r="AK122" s="411"/>
      <c r="AL122" s="411"/>
      <c r="AM122" s="411"/>
      <c r="AN122" s="411"/>
      <c r="AO122" s="411"/>
      <c r="AP122" s="411"/>
      <c r="AQ122" s="411"/>
      <c r="AR122" s="411"/>
      <c r="AS122" s="411"/>
      <c r="AT122" s="411"/>
    </row>
    <row r="123" spans="1:46" s="102" customFormat="1" ht="12" customHeight="1">
      <c r="A123" s="117">
        <v>24</v>
      </c>
      <c r="B123" s="102" t="s">
        <v>269</v>
      </c>
      <c r="C123" s="266">
        <v>45848</v>
      </c>
      <c r="D123" s="192">
        <v>18.2</v>
      </c>
      <c r="E123" s="192">
        <v>8.02</v>
      </c>
      <c r="F123" s="214">
        <v>85</v>
      </c>
      <c r="G123" s="192">
        <v>7.8</v>
      </c>
      <c r="H123" s="192">
        <v>12</v>
      </c>
      <c r="I123" s="192">
        <v>53.6</v>
      </c>
      <c r="J123" s="194">
        <v>1.5</v>
      </c>
      <c r="K123" s="195">
        <v>49</v>
      </c>
      <c r="L123" s="195">
        <v>110</v>
      </c>
      <c r="M123" s="195">
        <v>1100</v>
      </c>
      <c r="N123" s="195">
        <v>56</v>
      </c>
      <c r="O123" s="195">
        <v>1400</v>
      </c>
      <c r="P123" s="195" t="s">
        <v>18</v>
      </c>
      <c r="Q123" s="192" t="str">
        <f>IF(Indata!Q127="","",Indata!Q127)</f>
        <v/>
      </c>
      <c r="R123" s="309" t="str">
        <f>IF(Indata!R127="","",Indata!R127)</f>
        <v/>
      </c>
      <c r="S123" s="411"/>
      <c r="T123" s="411"/>
      <c r="U123" s="411"/>
      <c r="V123" s="411"/>
      <c r="W123" s="411"/>
      <c r="X123" s="411"/>
      <c r="Y123" s="411"/>
      <c r="Z123" s="411"/>
      <c r="AA123" s="411"/>
      <c r="AB123" s="411"/>
      <c r="AC123" s="411"/>
      <c r="AD123" s="411"/>
      <c r="AE123" s="411"/>
      <c r="AF123" s="411"/>
      <c r="AG123" s="411"/>
      <c r="AH123" s="411"/>
      <c r="AI123" s="411"/>
      <c r="AJ123" s="411"/>
      <c r="AK123" s="411"/>
      <c r="AL123" s="411"/>
      <c r="AM123" s="411"/>
      <c r="AN123" s="411"/>
      <c r="AO123" s="411"/>
      <c r="AP123" s="411"/>
      <c r="AQ123" s="411"/>
      <c r="AR123" s="411"/>
      <c r="AS123" s="411"/>
      <c r="AT123" s="411"/>
    </row>
    <row r="124" spans="1:46" s="102" customFormat="1" ht="12" customHeight="1">
      <c r="A124" s="117">
        <v>25</v>
      </c>
      <c r="B124" s="102" t="s">
        <v>263</v>
      </c>
      <c r="C124" s="266">
        <v>45848</v>
      </c>
      <c r="D124" s="192">
        <v>17.899999999999999</v>
      </c>
      <c r="E124" s="192">
        <v>8.4700000000000006</v>
      </c>
      <c r="F124" s="214">
        <v>89</v>
      </c>
      <c r="G124" s="192">
        <v>7.8</v>
      </c>
      <c r="H124" s="192">
        <v>3.5</v>
      </c>
      <c r="I124" s="192">
        <v>43.1</v>
      </c>
      <c r="J124" s="194">
        <v>1.1000000000000001</v>
      </c>
      <c r="K124" s="195">
        <v>17</v>
      </c>
      <c r="L124" s="195">
        <v>38</v>
      </c>
      <c r="M124" s="195">
        <v>170</v>
      </c>
      <c r="N124" s="195">
        <v>24</v>
      </c>
      <c r="O124" s="195">
        <v>650</v>
      </c>
      <c r="P124" s="195" t="s">
        <v>18</v>
      </c>
      <c r="Q124" s="192" t="str">
        <f>IF(Indata!Q128="","",Indata!Q128)</f>
        <v/>
      </c>
      <c r="R124" s="309" t="str">
        <f>IF(Indata!R128="","",Indata!R128)</f>
        <v/>
      </c>
      <c r="S124" s="411"/>
      <c r="T124" s="411"/>
      <c r="U124" s="411"/>
      <c r="V124" s="411"/>
      <c r="W124" s="411"/>
      <c r="X124" s="411"/>
      <c r="Y124" s="411"/>
      <c r="Z124" s="411"/>
      <c r="AA124" s="411"/>
      <c r="AB124" s="411"/>
      <c r="AC124" s="411"/>
      <c r="AD124" s="411"/>
      <c r="AE124" s="411"/>
      <c r="AF124" s="411"/>
      <c r="AG124" s="411"/>
      <c r="AH124" s="411"/>
      <c r="AI124" s="411"/>
      <c r="AJ124" s="411"/>
      <c r="AK124" s="411"/>
      <c r="AL124" s="411"/>
      <c r="AM124" s="411"/>
      <c r="AN124" s="411"/>
      <c r="AO124" s="411"/>
      <c r="AP124" s="411"/>
      <c r="AQ124" s="411"/>
      <c r="AR124" s="411"/>
      <c r="AS124" s="411"/>
      <c r="AT124" s="411"/>
    </row>
    <row r="125" spans="1:46" s="102" customFormat="1" ht="12" customHeight="1">
      <c r="A125" s="117">
        <v>27</v>
      </c>
      <c r="B125" s="102" t="s">
        <v>264</v>
      </c>
      <c r="C125" s="266">
        <v>45848</v>
      </c>
      <c r="D125" s="192">
        <v>20</v>
      </c>
      <c r="E125" s="192">
        <v>7.88</v>
      </c>
      <c r="F125" s="214">
        <v>87</v>
      </c>
      <c r="G125" s="192">
        <v>8.1999999999999993</v>
      </c>
      <c r="H125" s="192">
        <v>6.4</v>
      </c>
      <c r="I125" s="192">
        <v>35.5</v>
      </c>
      <c r="J125" s="194">
        <v>3.6</v>
      </c>
      <c r="K125" s="195">
        <v>3.9</v>
      </c>
      <c r="L125" s="195">
        <v>66</v>
      </c>
      <c r="M125" s="195">
        <v>31</v>
      </c>
      <c r="N125" s="195">
        <v>100</v>
      </c>
      <c r="O125" s="195">
        <v>970</v>
      </c>
      <c r="P125" s="195" t="s">
        <v>18</v>
      </c>
      <c r="Q125" s="192" t="str">
        <f>IF(Indata!Q129="","",Indata!Q129)</f>
        <v/>
      </c>
      <c r="R125" s="309" t="str">
        <f>IF(Indata!R129="","",Indata!R129)</f>
        <v/>
      </c>
      <c r="S125" s="411"/>
      <c r="T125" s="411"/>
      <c r="U125" s="411"/>
      <c r="V125" s="411"/>
      <c r="W125" s="411"/>
      <c r="X125" s="411"/>
      <c r="Y125" s="411"/>
      <c r="Z125" s="411"/>
      <c r="AA125" s="411"/>
      <c r="AB125" s="411"/>
      <c r="AC125" s="411"/>
      <c r="AD125" s="411"/>
      <c r="AE125" s="411"/>
      <c r="AF125" s="411"/>
      <c r="AG125" s="411"/>
      <c r="AH125" s="411"/>
      <c r="AI125" s="411"/>
      <c r="AJ125" s="411"/>
      <c r="AK125" s="411"/>
      <c r="AL125" s="411"/>
      <c r="AM125" s="411"/>
      <c r="AN125" s="411"/>
      <c r="AO125" s="411"/>
      <c r="AP125" s="411"/>
      <c r="AQ125" s="411"/>
      <c r="AR125" s="411"/>
      <c r="AS125" s="411"/>
      <c r="AT125" s="411"/>
    </row>
    <row r="126" spans="1:46" s="102" customFormat="1" ht="12" customHeight="1">
      <c r="A126" s="118">
        <v>29</v>
      </c>
      <c r="B126" s="102" t="s">
        <v>295</v>
      </c>
      <c r="C126" s="266" t="s">
        <v>18</v>
      </c>
      <c r="D126" s="192" t="s">
        <v>18</v>
      </c>
      <c r="E126" s="192" t="s">
        <v>18</v>
      </c>
      <c r="F126" s="214" t="s">
        <v>18</v>
      </c>
      <c r="G126" s="192" t="s">
        <v>18</v>
      </c>
      <c r="H126" s="192" t="s">
        <v>18</v>
      </c>
      <c r="I126" s="192" t="s">
        <v>18</v>
      </c>
      <c r="J126" s="194" t="s">
        <v>18</v>
      </c>
      <c r="K126" s="195" t="s">
        <v>18</v>
      </c>
      <c r="L126" s="195" t="s">
        <v>18</v>
      </c>
      <c r="M126" s="195" t="s">
        <v>18</v>
      </c>
      <c r="N126" s="195" t="s">
        <v>18</v>
      </c>
      <c r="O126" s="195" t="s">
        <v>18</v>
      </c>
      <c r="P126" s="195" t="s">
        <v>18</v>
      </c>
      <c r="Q126" s="192" t="str">
        <f>IF(Indata!Q130="","",Indata!Q130)</f>
        <v/>
      </c>
      <c r="R126" s="309" t="str">
        <f>IF(Indata!R130="","",Indata!R130)</f>
        <v>Pga kraftiga vindar var provtagning ej möjlig</v>
      </c>
      <c r="S126" s="411"/>
      <c r="T126" s="411"/>
      <c r="U126" s="411"/>
      <c r="V126" s="411"/>
      <c r="W126" s="411"/>
      <c r="X126" s="411"/>
      <c r="Y126" s="411"/>
      <c r="Z126" s="411"/>
      <c r="AA126" s="411"/>
      <c r="AB126" s="411"/>
      <c r="AC126" s="411"/>
      <c r="AD126" s="411"/>
      <c r="AE126" s="411"/>
      <c r="AF126" s="411"/>
      <c r="AG126" s="411"/>
      <c r="AH126" s="411"/>
      <c r="AI126" s="411"/>
      <c r="AJ126" s="411"/>
      <c r="AK126" s="411"/>
      <c r="AL126" s="411"/>
      <c r="AM126" s="411"/>
      <c r="AN126" s="411"/>
      <c r="AO126" s="411"/>
      <c r="AP126" s="411"/>
      <c r="AQ126" s="411"/>
      <c r="AR126" s="411"/>
      <c r="AS126" s="411"/>
      <c r="AT126" s="411"/>
    </row>
    <row r="127" spans="1:46" s="102" customFormat="1" ht="12" customHeight="1">
      <c r="A127" s="118">
        <v>30</v>
      </c>
      <c r="B127" s="102" t="s">
        <v>296</v>
      </c>
      <c r="C127" s="266" t="s">
        <v>18</v>
      </c>
      <c r="D127" s="192" t="s">
        <v>18</v>
      </c>
      <c r="E127" s="192" t="s">
        <v>18</v>
      </c>
      <c r="F127" s="214" t="s">
        <v>18</v>
      </c>
      <c r="G127" s="192" t="s">
        <v>18</v>
      </c>
      <c r="H127" s="192" t="s">
        <v>18</v>
      </c>
      <c r="I127" s="192" t="s">
        <v>18</v>
      </c>
      <c r="J127" s="194" t="s">
        <v>18</v>
      </c>
      <c r="K127" s="195" t="s">
        <v>18</v>
      </c>
      <c r="L127" s="195" t="s">
        <v>18</v>
      </c>
      <c r="M127" s="195" t="s">
        <v>18</v>
      </c>
      <c r="N127" s="195" t="s">
        <v>18</v>
      </c>
      <c r="O127" s="195" t="s">
        <v>18</v>
      </c>
      <c r="P127" s="195" t="s">
        <v>18</v>
      </c>
      <c r="Q127" s="192" t="str">
        <f>IF(Indata!Q131="","",Indata!Q131)</f>
        <v/>
      </c>
      <c r="R127" s="309" t="str">
        <f>IF(Indata!R131="","",Indata!R131)</f>
        <v>Pga kraftiga vindar var provtagning ej möjlig</v>
      </c>
      <c r="S127" s="411"/>
      <c r="T127" s="411"/>
      <c r="U127" s="411"/>
      <c r="V127" s="411"/>
      <c r="W127" s="411"/>
      <c r="X127" s="411"/>
      <c r="Y127" s="411"/>
      <c r="Z127" s="411"/>
      <c r="AA127" s="411"/>
      <c r="AB127" s="411"/>
      <c r="AC127" s="411"/>
      <c r="AD127" s="411"/>
      <c r="AE127" s="411"/>
      <c r="AF127" s="411"/>
      <c r="AG127" s="411"/>
      <c r="AH127" s="411"/>
      <c r="AI127" s="411"/>
      <c r="AJ127" s="411"/>
      <c r="AK127" s="411"/>
      <c r="AL127" s="411"/>
      <c r="AM127" s="411"/>
      <c r="AN127" s="411"/>
      <c r="AO127" s="411"/>
      <c r="AP127" s="411"/>
      <c r="AQ127" s="411"/>
      <c r="AR127" s="411"/>
      <c r="AS127" s="411"/>
      <c r="AT127" s="411"/>
    </row>
    <row r="128" spans="1:46">
      <c r="A128" s="1">
        <v>200</v>
      </c>
      <c r="B128" s="62"/>
      <c r="C128" s="270"/>
      <c r="D128" s="267"/>
      <c r="E128" s="268"/>
      <c r="F128" s="269"/>
      <c r="G128" s="268"/>
      <c r="H128" s="268"/>
      <c r="I128" s="268"/>
      <c r="J128" s="268"/>
      <c r="K128" s="269"/>
      <c r="L128" s="269"/>
      <c r="M128" s="269"/>
      <c r="N128" s="269"/>
      <c r="O128" s="269"/>
      <c r="P128" s="269"/>
      <c r="Q128" s="268"/>
      <c r="R128" s="307"/>
      <c r="S128" s="388"/>
      <c r="T128" s="388"/>
      <c r="U128" s="388"/>
      <c r="V128" s="388"/>
      <c r="W128" s="388"/>
      <c r="X128" s="388"/>
      <c r="Y128" s="388"/>
      <c r="Z128" s="388"/>
      <c r="AA128" s="388"/>
      <c r="AB128" s="388"/>
      <c r="AC128" s="388"/>
      <c r="AD128" s="388"/>
      <c r="AE128" s="388"/>
      <c r="AF128" s="388"/>
      <c r="AG128" s="388"/>
      <c r="AH128" s="388"/>
      <c r="AI128" s="388"/>
      <c r="AJ128" s="388"/>
      <c r="AK128" s="388"/>
      <c r="AL128" s="388"/>
      <c r="AM128" s="388"/>
      <c r="AN128" s="388"/>
      <c r="AO128" s="388"/>
      <c r="AP128" s="388"/>
      <c r="AQ128" s="388"/>
      <c r="AR128" s="388"/>
      <c r="AS128" s="388"/>
      <c r="AT128" s="388"/>
    </row>
    <row r="129" spans="1:46" s="388" customFormat="1" ht="17.25" customHeight="1">
      <c r="A129" s="381">
        <v>250</v>
      </c>
      <c r="B129" s="382" t="s">
        <v>27</v>
      </c>
      <c r="C129" s="409"/>
      <c r="D129" s="384"/>
      <c r="E129" s="384"/>
      <c r="F129" s="385"/>
      <c r="G129" s="384"/>
      <c r="H129" s="384"/>
      <c r="I129" s="384"/>
      <c r="J129" s="384"/>
      <c r="K129" s="386"/>
      <c r="L129" s="386"/>
      <c r="M129" s="386"/>
      <c r="N129" s="386"/>
      <c r="O129" s="386"/>
      <c r="P129" s="386"/>
      <c r="Q129" s="384"/>
      <c r="R129" s="387"/>
    </row>
    <row r="130" spans="1:46" s="102" customFormat="1" ht="12" customHeight="1">
      <c r="A130" s="117">
        <v>3</v>
      </c>
      <c r="B130" s="102" t="s">
        <v>252</v>
      </c>
      <c r="C130" s="266" t="s">
        <v>18</v>
      </c>
      <c r="D130" s="192" t="s">
        <v>18</v>
      </c>
      <c r="E130" s="192" t="s">
        <v>18</v>
      </c>
      <c r="F130" s="214" t="s">
        <v>18</v>
      </c>
      <c r="G130" s="192" t="s">
        <v>18</v>
      </c>
      <c r="H130" s="192" t="s">
        <v>18</v>
      </c>
      <c r="I130" s="192" t="s">
        <v>18</v>
      </c>
      <c r="J130" s="194" t="s">
        <v>18</v>
      </c>
      <c r="K130" s="195" t="s">
        <v>18</v>
      </c>
      <c r="L130" s="195" t="s">
        <v>18</v>
      </c>
      <c r="M130" s="195" t="s">
        <v>18</v>
      </c>
      <c r="N130" s="195" t="s">
        <v>18</v>
      </c>
      <c r="O130" s="195" t="s">
        <v>18</v>
      </c>
      <c r="P130" s="195" t="s">
        <v>18</v>
      </c>
      <c r="Q130" s="192" t="str">
        <f>IF(Indata!Q134="","",Indata!Q134)</f>
        <v/>
      </c>
      <c r="R130" s="309" t="str">
        <f>IF(Indata!R134="","",Indata!R134)</f>
        <v/>
      </c>
      <c r="S130" s="411"/>
      <c r="T130" s="411"/>
      <c r="U130" s="411"/>
      <c r="V130" s="411"/>
      <c r="W130" s="411"/>
      <c r="X130" s="411"/>
      <c r="Y130" s="411"/>
      <c r="Z130" s="411"/>
      <c r="AA130" s="411"/>
      <c r="AB130" s="411"/>
      <c r="AC130" s="411"/>
      <c r="AD130" s="411"/>
      <c r="AE130" s="411"/>
      <c r="AF130" s="411"/>
      <c r="AG130" s="411"/>
      <c r="AH130" s="411"/>
      <c r="AI130" s="411"/>
      <c r="AJ130" s="411"/>
      <c r="AK130" s="411"/>
      <c r="AL130" s="411"/>
      <c r="AM130" s="411"/>
      <c r="AN130" s="411"/>
      <c r="AO130" s="411"/>
      <c r="AP130" s="411"/>
      <c r="AQ130" s="411"/>
      <c r="AR130" s="411"/>
      <c r="AS130" s="411"/>
      <c r="AT130" s="411"/>
    </row>
    <row r="131" spans="1:46" s="102" customFormat="1" ht="12" customHeight="1">
      <c r="A131" s="117">
        <v>6</v>
      </c>
      <c r="B131" s="102" t="s">
        <v>265</v>
      </c>
      <c r="C131" s="266" t="s">
        <v>18</v>
      </c>
      <c r="D131" s="192" t="s">
        <v>18</v>
      </c>
      <c r="E131" s="192" t="s">
        <v>18</v>
      </c>
      <c r="F131" s="214" t="s">
        <v>18</v>
      </c>
      <c r="G131" s="192" t="s">
        <v>18</v>
      </c>
      <c r="H131" s="192" t="s">
        <v>18</v>
      </c>
      <c r="I131" s="192" t="s">
        <v>18</v>
      </c>
      <c r="J131" s="194" t="s">
        <v>18</v>
      </c>
      <c r="K131" s="195" t="s">
        <v>18</v>
      </c>
      <c r="L131" s="195" t="s">
        <v>18</v>
      </c>
      <c r="M131" s="195" t="s">
        <v>18</v>
      </c>
      <c r="N131" s="195" t="s">
        <v>18</v>
      </c>
      <c r="O131" s="195" t="s">
        <v>18</v>
      </c>
      <c r="P131" s="195" t="s">
        <v>18</v>
      </c>
      <c r="Q131" s="192" t="str">
        <f>IF(Indata!Q135="","",Indata!Q135)</f>
        <v/>
      </c>
      <c r="R131" s="309" t="str">
        <f>IF(Indata!R135="","",Indata!R135)</f>
        <v/>
      </c>
      <c r="S131" s="411"/>
      <c r="T131" s="411"/>
      <c r="U131" s="411"/>
      <c r="V131" s="411"/>
      <c r="W131" s="411"/>
      <c r="X131" s="411"/>
      <c r="Y131" s="411"/>
      <c r="Z131" s="411"/>
      <c r="AA131" s="411"/>
      <c r="AB131" s="411"/>
      <c r="AC131" s="411"/>
      <c r="AD131" s="411"/>
      <c r="AE131" s="411"/>
      <c r="AF131" s="411"/>
      <c r="AG131" s="411"/>
      <c r="AH131" s="411"/>
      <c r="AI131" s="411"/>
      <c r="AJ131" s="411"/>
      <c r="AK131" s="411"/>
      <c r="AL131" s="411"/>
      <c r="AM131" s="411"/>
      <c r="AN131" s="411"/>
      <c r="AO131" s="411"/>
      <c r="AP131" s="411"/>
      <c r="AQ131" s="411"/>
      <c r="AR131" s="411"/>
      <c r="AS131" s="411"/>
      <c r="AT131" s="411"/>
    </row>
    <row r="132" spans="1:46" s="102" customFormat="1" ht="12" customHeight="1">
      <c r="A132" s="117">
        <v>7</v>
      </c>
      <c r="B132" s="102" t="s">
        <v>254</v>
      </c>
      <c r="C132" s="266" t="s">
        <v>18</v>
      </c>
      <c r="D132" s="192" t="s">
        <v>18</v>
      </c>
      <c r="E132" s="192" t="s">
        <v>18</v>
      </c>
      <c r="F132" s="214" t="s">
        <v>18</v>
      </c>
      <c r="G132" s="192" t="s">
        <v>18</v>
      </c>
      <c r="H132" s="192" t="s">
        <v>18</v>
      </c>
      <c r="I132" s="192" t="s">
        <v>18</v>
      </c>
      <c r="J132" s="194" t="s">
        <v>18</v>
      </c>
      <c r="K132" s="195" t="s">
        <v>18</v>
      </c>
      <c r="L132" s="195" t="s">
        <v>18</v>
      </c>
      <c r="M132" s="195" t="s">
        <v>18</v>
      </c>
      <c r="N132" s="195" t="s">
        <v>18</v>
      </c>
      <c r="O132" s="195" t="s">
        <v>18</v>
      </c>
      <c r="P132" s="195" t="s">
        <v>18</v>
      </c>
      <c r="Q132" s="192" t="str">
        <f>IF(Indata!Q136="","",Indata!Q136)</f>
        <v/>
      </c>
      <c r="R132" s="309" t="str">
        <f>IF(Indata!R136="","",Indata!R136)</f>
        <v/>
      </c>
      <c r="S132" s="411"/>
      <c r="T132" s="411"/>
      <c r="U132" s="411"/>
      <c r="V132" s="411"/>
      <c r="W132" s="411"/>
      <c r="X132" s="411"/>
      <c r="Y132" s="411"/>
      <c r="Z132" s="411"/>
      <c r="AA132" s="411"/>
      <c r="AB132" s="411"/>
      <c r="AC132" s="411"/>
      <c r="AD132" s="411"/>
      <c r="AE132" s="411"/>
      <c r="AF132" s="411"/>
      <c r="AG132" s="411"/>
      <c r="AH132" s="411"/>
      <c r="AI132" s="411"/>
      <c r="AJ132" s="411"/>
      <c r="AK132" s="411"/>
      <c r="AL132" s="411"/>
      <c r="AM132" s="411"/>
      <c r="AN132" s="411"/>
      <c r="AO132" s="411"/>
      <c r="AP132" s="411"/>
      <c r="AQ132" s="411"/>
      <c r="AR132" s="411"/>
      <c r="AS132" s="411"/>
      <c r="AT132" s="411"/>
    </row>
    <row r="133" spans="1:46" s="102" customFormat="1" ht="12" customHeight="1">
      <c r="A133" s="117">
        <v>11</v>
      </c>
      <c r="B133" s="102" t="s">
        <v>256</v>
      </c>
      <c r="C133" s="266" t="s">
        <v>18</v>
      </c>
      <c r="D133" s="192" t="s">
        <v>18</v>
      </c>
      <c r="E133" s="192" t="s">
        <v>18</v>
      </c>
      <c r="F133" s="214" t="s">
        <v>18</v>
      </c>
      <c r="G133" s="192" t="s">
        <v>18</v>
      </c>
      <c r="H133" s="192" t="s">
        <v>18</v>
      </c>
      <c r="I133" s="192" t="s">
        <v>18</v>
      </c>
      <c r="J133" s="194" t="s">
        <v>18</v>
      </c>
      <c r="K133" s="195" t="s">
        <v>18</v>
      </c>
      <c r="L133" s="195" t="s">
        <v>18</v>
      </c>
      <c r="M133" s="195" t="s">
        <v>18</v>
      </c>
      <c r="N133" s="195" t="s">
        <v>18</v>
      </c>
      <c r="O133" s="195" t="s">
        <v>18</v>
      </c>
      <c r="P133" s="195" t="s">
        <v>18</v>
      </c>
      <c r="Q133" s="192" t="str">
        <f>IF(Indata!Q137="","",Indata!Q137)</f>
        <v/>
      </c>
      <c r="R133" s="309" t="str">
        <f>IF(Indata!R137="","",Indata!R137)</f>
        <v/>
      </c>
      <c r="S133" s="411"/>
      <c r="T133" s="411"/>
      <c r="U133" s="411"/>
      <c r="V133" s="411"/>
      <c r="W133" s="411"/>
      <c r="X133" s="411"/>
      <c r="Y133" s="411"/>
      <c r="Z133" s="411"/>
      <c r="AA133" s="411"/>
      <c r="AB133" s="411"/>
      <c r="AC133" s="411"/>
      <c r="AD133" s="411"/>
      <c r="AE133" s="411"/>
      <c r="AF133" s="411"/>
      <c r="AG133" s="411"/>
      <c r="AH133" s="411"/>
      <c r="AI133" s="411"/>
      <c r="AJ133" s="411"/>
      <c r="AK133" s="411"/>
      <c r="AL133" s="411"/>
      <c r="AM133" s="411"/>
      <c r="AN133" s="411"/>
      <c r="AO133" s="411"/>
      <c r="AP133" s="411"/>
      <c r="AQ133" s="411"/>
      <c r="AR133" s="411"/>
      <c r="AS133" s="411"/>
      <c r="AT133" s="411"/>
    </row>
    <row r="134" spans="1:46" s="102" customFormat="1" ht="12" customHeight="1">
      <c r="A134" s="118">
        <v>19</v>
      </c>
      <c r="B134" s="102" t="s">
        <v>260</v>
      </c>
      <c r="C134" s="266" t="s">
        <v>18</v>
      </c>
      <c r="D134" s="192" t="s">
        <v>18</v>
      </c>
      <c r="E134" s="192" t="s">
        <v>18</v>
      </c>
      <c r="F134" s="214" t="s">
        <v>18</v>
      </c>
      <c r="G134" s="192" t="s">
        <v>18</v>
      </c>
      <c r="H134" s="192" t="s">
        <v>18</v>
      </c>
      <c r="I134" s="192" t="s">
        <v>18</v>
      </c>
      <c r="J134" s="194" t="s">
        <v>18</v>
      </c>
      <c r="K134" s="195" t="s">
        <v>18</v>
      </c>
      <c r="L134" s="195" t="s">
        <v>18</v>
      </c>
      <c r="M134" s="195" t="s">
        <v>18</v>
      </c>
      <c r="N134" s="195" t="s">
        <v>18</v>
      </c>
      <c r="O134" s="195" t="s">
        <v>18</v>
      </c>
      <c r="P134" s="195" t="s">
        <v>18</v>
      </c>
      <c r="Q134" s="192" t="str">
        <f>IF(Indata!Q138="","",Indata!Q138)</f>
        <v/>
      </c>
      <c r="R134" s="309" t="str">
        <f>IF(Indata!R138="","",Indata!R138)</f>
        <v/>
      </c>
      <c r="S134" s="411"/>
      <c r="T134" s="411"/>
      <c r="U134" s="411"/>
      <c r="V134" s="411"/>
      <c r="W134" s="411"/>
      <c r="X134" s="411"/>
      <c r="Y134" s="411"/>
      <c r="Z134" s="411"/>
      <c r="AA134" s="411"/>
      <c r="AB134" s="411"/>
      <c r="AC134" s="411"/>
      <c r="AD134" s="411"/>
      <c r="AE134" s="411"/>
      <c r="AF134" s="411"/>
      <c r="AG134" s="411"/>
      <c r="AH134" s="411"/>
      <c r="AI134" s="411"/>
      <c r="AJ134" s="411"/>
      <c r="AK134" s="411"/>
      <c r="AL134" s="411"/>
      <c r="AM134" s="411"/>
      <c r="AN134" s="411"/>
      <c r="AO134" s="411"/>
      <c r="AP134" s="411"/>
      <c r="AQ134" s="411"/>
      <c r="AR134" s="411"/>
      <c r="AS134" s="411"/>
      <c r="AT134" s="411"/>
    </row>
    <row r="135" spans="1:46" s="102" customFormat="1" ht="12" customHeight="1">
      <c r="A135" s="117">
        <v>20</v>
      </c>
      <c r="B135" s="102" t="s">
        <v>267</v>
      </c>
      <c r="C135" s="266" t="s">
        <v>18</v>
      </c>
      <c r="D135" s="192" t="s">
        <v>18</v>
      </c>
      <c r="E135" s="192" t="s">
        <v>18</v>
      </c>
      <c r="F135" s="214" t="s">
        <v>18</v>
      </c>
      <c r="G135" s="192" t="s">
        <v>18</v>
      </c>
      <c r="H135" s="192" t="s">
        <v>18</v>
      </c>
      <c r="I135" s="192" t="s">
        <v>18</v>
      </c>
      <c r="J135" s="194" t="s">
        <v>18</v>
      </c>
      <c r="K135" s="195" t="s">
        <v>18</v>
      </c>
      <c r="L135" s="195" t="s">
        <v>18</v>
      </c>
      <c r="M135" s="195" t="s">
        <v>18</v>
      </c>
      <c r="N135" s="195" t="s">
        <v>18</v>
      </c>
      <c r="O135" s="195" t="s">
        <v>18</v>
      </c>
      <c r="P135" s="195" t="s">
        <v>18</v>
      </c>
      <c r="Q135" s="192" t="str">
        <f>IF(Indata!Q139="","",Indata!Q139)</f>
        <v/>
      </c>
      <c r="R135" s="309" t="str">
        <f>IF(Indata!R139="","",Indata!R139)</f>
        <v/>
      </c>
      <c r="S135" s="411"/>
      <c r="T135" s="411"/>
      <c r="U135" s="411"/>
      <c r="V135" s="411"/>
      <c r="W135" s="411"/>
      <c r="X135" s="411"/>
      <c r="Y135" s="411"/>
      <c r="Z135" s="411"/>
      <c r="AA135" s="411"/>
      <c r="AB135" s="411"/>
      <c r="AC135" s="411"/>
      <c r="AD135" s="411"/>
      <c r="AE135" s="411"/>
      <c r="AF135" s="411"/>
      <c r="AG135" s="411"/>
      <c r="AH135" s="411"/>
      <c r="AI135" s="411"/>
      <c r="AJ135" s="411"/>
      <c r="AK135" s="411"/>
      <c r="AL135" s="411"/>
      <c r="AM135" s="411"/>
      <c r="AN135" s="411"/>
      <c r="AO135" s="411"/>
      <c r="AP135" s="411"/>
      <c r="AQ135" s="411"/>
      <c r="AR135" s="411"/>
      <c r="AS135" s="411"/>
      <c r="AT135" s="411"/>
    </row>
    <row r="136" spans="1:46" s="102" customFormat="1" ht="12" customHeight="1">
      <c r="A136" s="117">
        <v>21</v>
      </c>
      <c r="B136" s="102" t="s">
        <v>261</v>
      </c>
      <c r="C136" s="266" t="s">
        <v>18</v>
      </c>
      <c r="D136" s="192" t="s">
        <v>18</v>
      </c>
      <c r="E136" s="192" t="s">
        <v>18</v>
      </c>
      <c r="F136" s="214" t="s">
        <v>18</v>
      </c>
      <c r="G136" s="192" t="s">
        <v>18</v>
      </c>
      <c r="H136" s="192" t="s">
        <v>18</v>
      </c>
      <c r="I136" s="192" t="s">
        <v>18</v>
      </c>
      <c r="J136" s="194" t="s">
        <v>18</v>
      </c>
      <c r="K136" s="195" t="s">
        <v>18</v>
      </c>
      <c r="L136" s="195" t="s">
        <v>18</v>
      </c>
      <c r="M136" s="195" t="s">
        <v>18</v>
      </c>
      <c r="N136" s="195" t="s">
        <v>18</v>
      </c>
      <c r="O136" s="195" t="s">
        <v>18</v>
      </c>
      <c r="P136" s="195" t="s">
        <v>18</v>
      </c>
      <c r="Q136" s="192" t="str">
        <f>IF(Indata!Q140="","",Indata!Q140)</f>
        <v/>
      </c>
      <c r="R136" s="309" t="str">
        <f>IF(Indata!R140="","",Indata!R140)</f>
        <v/>
      </c>
      <c r="S136" s="411"/>
      <c r="T136" s="411"/>
      <c r="U136" s="411"/>
      <c r="V136" s="411"/>
      <c r="W136" s="411"/>
      <c r="X136" s="411"/>
      <c r="Y136" s="411"/>
      <c r="Z136" s="411"/>
      <c r="AA136" s="411"/>
      <c r="AB136" s="411"/>
      <c r="AC136" s="411"/>
      <c r="AD136" s="411"/>
      <c r="AE136" s="411"/>
      <c r="AF136" s="411"/>
      <c r="AG136" s="411"/>
      <c r="AH136" s="411"/>
      <c r="AI136" s="411"/>
      <c r="AJ136" s="411"/>
      <c r="AK136" s="411"/>
      <c r="AL136" s="411"/>
      <c r="AM136" s="411"/>
      <c r="AN136" s="411"/>
      <c r="AO136" s="411"/>
      <c r="AP136" s="411"/>
      <c r="AQ136" s="411"/>
      <c r="AR136" s="411"/>
      <c r="AS136" s="411"/>
      <c r="AT136" s="411"/>
    </row>
    <row r="137" spans="1:46" s="102" customFormat="1" ht="12" customHeight="1">
      <c r="A137" s="117">
        <v>25</v>
      </c>
      <c r="B137" s="102" t="s">
        <v>263</v>
      </c>
      <c r="C137" s="266" t="s">
        <v>18</v>
      </c>
      <c r="D137" s="192" t="s">
        <v>18</v>
      </c>
      <c r="E137" s="192" t="s">
        <v>18</v>
      </c>
      <c r="F137" s="214" t="s">
        <v>18</v>
      </c>
      <c r="G137" s="192" t="s">
        <v>18</v>
      </c>
      <c r="H137" s="192" t="s">
        <v>18</v>
      </c>
      <c r="I137" s="192" t="s">
        <v>18</v>
      </c>
      <c r="J137" s="194" t="s">
        <v>18</v>
      </c>
      <c r="K137" s="195" t="s">
        <v>18</v>
      </c>
      <c r="L137" s="195" t="s">
        <v>18</v>
      </c>
      <c r="M137" s="195" t="s">
        <v>18</v>
      </c>
      <c r="N137" s="195" t="s">
        <v>18</v>
      </c>
      <c r="O137" s="195" t="s">
        <v>18</v>
      </c>
      <c r="P137" s="195" t="s">
        <v>18</v>
      </c>
      <c r="Q137" s="192" t="str">
        <f>IF(Indata!Q141="","",Indata!Q141)</f>
        <v/>
      </c>
      <c r="R137" s="309" t="str">
        <f>IF(Indata!R141="","",Indata!R141)</f>
        <v/>
      </c>
      <c r="S137" s="411"/>
      <c r="T137" s="411"/>
      <c r="U137" s="411"/>
      <c r="V137" s="411"/>
      <c r="W137" s="411"/>
      <c r="X137" s="411"/>
      <c r="Y137" s="411"/>
      <c r="Z137" s="411"/>
      <c r="AA137" s="411"/>
      <c r="AB137" s="411"/>
      <c r="AC137" s="411"/>
      <c r="AD137" s="411"/>
      <c r="AE137" s="411"/>
      <c r="AF137" s="411"/>
      <c r="AG137" s="411"/>
      <c r="AH137" s="411"/>
      <c r="AI137" s="411"/>
      <c r="AJ137" s="411"/>
      <c r="AK137" s="411"/>
      <c r="AL137" s="411"/>
      <c r="AM137" s="411"/>
      <c r="AN137" s="411"/>
      <c r="AO137" s="411"/>
      <c r="AP137" s="411"/>
      <c r="AQ137" s="411"/>
      <c r="AR137" s="411"/>
      <c r="AS137" s="411"/>
      <c r="AT137" s="411"/>
    </row>
    <row r="138" spans="1:46" s="102" customFormat="1" ht="12" customHeight="1">
      <c r="A138" s="118">
        <v>29</v>
      </c>
      <c r="B138" s="102" t="s">
        <v>295</v>
      </c>
      <c r="C138" s="266" t="s">
        <v>18</v>
      </c>
      <c r="D138" s="192" t="s">
        <v>18</v>
      </c>
      <c r="E138" s="192" t="s">
        <v>18</v>
      </c>
      <c r="F138" s="214" t="s">
        <v>18</v>
      </c>
      <c r="G138" s="192" t="s">
        <v>18</v>
      </c>
      <c r="H138" s="192" t="s">
        <v>18</v>
      </c>
      <c r="I138" s="192" t="s">
        <v>18</v>
      </c>
      <c r="J138" s="194" t="s">
        <v>18</v>
      </c>
      <c r="K138" s="195" t="s">
        <v>18</v>
      </c>
      <c r="L138" s="195" t="s">
        <v>18</v>
      </c>
      <c r="M138" s="195" t="s">
        <v>18</v>
      </c>
      <c r="N138" s="195" t="s">
        <v>18</v>
      </c>
      <c r="O138" s="195" t="s">
        <v>18</v>
      </c>
      <c r="P138" s="195" t="s">
        <v>18</v>
      </c>
      <c r="Q138" s="192" t="str">
        <f>IF(Indata!Q142="","",Indata!Q142)</f>
        <v/>
      </c>
      <c r="R138" s="309" t="str">
        <f>IF(Indata!R142="","",Indata!R142)</f>
        <v/>
      </c>
      <c r="S138" s="411"/>
      <c r="T138" s="411"/>
      <c r="U138" s="411"/>
      <c r="V138" s="411"/>
      <c r="W138" s="411"/>
      <c r="X138" s="411"/>
      <c r="Y138" s="411"/>
      <c r="Z138" s="411"/>
      <c r="AA138" s="411"/>
      <c r="AB138" s="411"/>
      <c r="AC138" s="411"/>
      <c r="AD138" s="411"/>
      <c r="AE138" s="411"/>
      <c r="AF138" s="411"/>
      <c r="AG138" s="411"/>
      <c r="AH138" s="411"/>
      <c r="AI138" s="411"/>
      <c r="AJ138" s="411"/>
      <c r="AK138" s="411"/>
      <c r="AL138" s="411"/>
      <c r="AM138" s="411"/>
      <c r="AN138" s="411"/>
      <c r="AO138" s="411"/>
      <c r="AP138" s="411"/>
      <c r="AQ138" s="411"/>
      <c r="AR138" s="411"/>
      <c r="AS138" s="411"/>
      <c r="AT138" s="411"/>
    </row>
    <row r="139" spans="1:46" s="102" customFormat="1" ht="12" customHeight="1">
      <c r="A139" s="118">
        <v>30</v>
      </c>
      <c r="B139" s="102" t="s">
        <v>296</v>
      </c>
      <c r="C139" s="266" t="s">
        <v>18</v>
      </c>
      <c r="D139" s="192" t="s">
        <v>18</v>
      </c>
      <c r="E139" s="192" t="s">
        <v>18</v>
      </c>
      <c r="F139" s="214" t="s">
        <v>18</v>
      </c>
      <c r="G139" s="192" t="s">
        <v>18</v>
      </c>
      <c r="H139" s="192" t="s">
        <v>18</v>
      </c>
      <c r="I139" s="192" t="s">
        <v>18</v>
      </c>
      <c r="J139" s="194" t="s">
        <v>18</v>
      </c>
      <c r="K139" s="195" t="s">
        <v>18</v>
      </c>
      <c r="L139" s="195" t="s">
        <v>18</v>
      </c>
      <c r="M139" s="195" t="s">
        <v>18</v>
      </c>
      <c r="N139" s="195" t="s">
        <v>18</v>
      </c>
      <c r="O139" s="195" t="s">
        <v>18</v>
      </c>
      <c r="P139" s="195" t="s">
        <v>18</v>
      </c>
      <c r="Q139" s="192" t="str">
        <f>IF(Indata!Q143="","",Indata!Q143)</f>
        <v/>
      </c>
      <c r="R139" s="309" t="str">
        <f>IF(Indata!R143="","",Indata!R143)</f>
        <v/>
      </c>
      <c r="S139" s="411"/>
      <c r="T139" s="411"/>
      <c r="U139" s="411"/>
      <c r="V139" s="411"/>
      <c r="W139" s="411"/>
      <c r="X139" s="411"/>
      <c r="Y139" s="411"/>
      <c r="Z139" s="411"/>
      <c r="AA139" s="411"/>
      <c r="AB139" s="411"/>
      <c r="AC139" s="411"/>
      <c r="AD139" s="411"/>
      <c r="AE139" s="411"/>
      <c r="AF139" s="411"/>
      <c r="AG139" s="411"/>
      <c r="AH139" s="411"/>
      <c r="AI139" s="411"/>
      <c r="AJ139" s="411"/>
      <c r="AK139" s="411"/>
      <c r="AL139" s="411"/>
      <c r="AM139" s="411"/>
      <c r="AN139" s="411"/>
      <c r="AO139" s="411"/>
      <c r="AP139" s="411"/>
      <c r="AQ139" s="411"/>
      <c r="AR139" s="411"/>
      <c r="AS139" s="411"/>
      <c r="AT139" s="411"/>
    </row>
    <row r="140" spans="1:46" ht="12" customHeight="1">
      <c r="A140" s="1">
        <v>200</v>
      </c>
      <c r="B140" s="62"/>
      <c r="C140" s="272"/>
      <c r="D140" s="267"/>
      <c r="E140" s="268"/>
      <c r="F140" s="269"/>
      <c r="G140" s="268"/>
      <c r="H140" s="268"/>
      <c r="I140" s="268"/>
      <c r="J140" s="268"/>
      <c r="K140" s="269"/>
      <c r="L140" s="269"/>
      <c r="M140" s="269"/>
      <c r="N140" s="269"/>
      <c r="O140" s="269"/>
      <c r="P140" s="269"/>
      <c r="Q140" s="268"/>
      <c r="R140" s="307"/>
      <c r="S140" s="388"/>
      <c r="T140" s="388"/>
      <c r="U140" s="388"/>
      <c r="V140" s="388"/>
      <c r="W140" s="388"/>
      <c r="X140" s="388"/>
      <c r="Y140" s="388"/>
      <c r="Z140" s="388"/>
      <c r="AA140" s="388"/>
      <c r="AB140" s="388"/>
      <c r="AC140" s="388"/>
      <c r="AD140" s="388"/>
      <c r="AE140" s="388"/>
      <c r="AF140" s="388"/>
      <c r="AG140" s="388"/>
      <c r="AH140" s="388"/>
      <c r="AI140" s="388"/>
      <c r="AJ140" s="388"/>
      <c r="AK140" s="388"/>
      <c r="AL140" s="388"/>
      <c r="AM140" s="388"/>
      <c r="AN140" s="388"/>
      <c r="AO140" s="388"/>
      <c r="AP140" s="388"/>
      <c r="AQ140" s="388"/>
      <c r="AR140" s="388"/>
      <c r="AS140" s="388"/>
      <c r="AT140" s="388"/>
    </row>
    <row r="141" spans="1:46" s="388" customFormat="1" ht="17.25" customHeight="1">
      <c r="A141" s="381">
        <v>250</v>
      </c>
      <c r="B141" s="382" t="s">
        <v>28</v>
      </c>
      <c r="C141" s="407"/>
      <c r="D141" s="384"/>
      <c r="E141" s="384"/>
      <c r="F141" s="385"/>
      <c r="G141" s="384"/>
      <c r="H141" s="384"/>
      <c r="I141" s="384"/>
      <c r="J141" s="384"/>
      <c r="K141" s="386"/>
      <c r="L141" s="386"/>
      <c r="M141" s="386"/>
      <c r="N141" s="386"/>
      <c r="O141" s="386"/>
      <c r="P141" s="386"/>
      <c r="Q141" s="384"/>
      <c r="R141" s="387"/>
    </row>
    <row r="142" spans="1:46" s="102" customFormat="1" ht="12" customHeight="1">
      <c r="A142" s="117">
        <v>3</v>
      </c>
      <c r="B142" s="102" t="s">
        <v>252</v>
      </c>
      <c r="C142" s="266" t="str">
        <f>IF(Indata!C146="","",Indata!C146)</f>
        <v/>
      </c>
      <c r="D142" s="192" t="str">
        <f>IF(Indata!D146="","",Indata!D146)</f>
        <v/>
      </c>
      <c r="E142" s="192" t="str">
        <f>IF(Indata!E146="","",Indata!E146)</f>
        <v/>
      </c>
      <c r="F142" s="214" t="str">
        <f>IF(Indata!F146="","",Indata!F146)</f>
        <v/>
      </c>
      <c r="G142" s="192" t="str">
        <f>IF(Indata!G146="","",Indata!G146)</f>
        <v/>
      </c>
      <c r="H142" s="192" t="str">
        <f>IF(Indata!H146="","",Indata!H146)</f>
        <v/>
      </c>
      <c r="I142" s="192" t="str">
        <f>IF(Indata!I146="","",Indata!I146)</f>
        <v/>
      </c>
      <c r="J142" s="194" t="str">
        <f>IF(Indata!J146="","",Indata!J146)</f>
        <v/>
      </c>
      <c r="K142" s="195" t="str">
        <f>IF(Indata!K146="","",Indata!K146)</f>
        <v/>
      </c>
      <c r="L142" s="195" t="str">
        <f>IF(Indata!L146="","",Indata!L146)</f>
        <v/>
      </c>
      <c r="M142" s="195" t="str">
        <f>IF(Indata!M146="","",Indata!M146)</f>
        <v/>
      </c>
      <c r="N142" s="195" t="str">
        <f>IF(Indata!N146="","",Indata!N146)</f>
        <v/>
      </c>
      <c r="O142" s="195" t="str">
        <f>IF(Indata!O146="","",Indata!O146)</f>
        <v/>
      </c>
      <c r="P142" s="195" t="str">
        <f>IF(Indata!P146="","",Indata!P146)</f>
        <v/>
      </c>
      <c r="Q142" s="192" t="str">
        <f>IF(Indata!Q146="","",Indata!Q146)</f>
        <v/>
      </c>
      <c r="R142" s="309" t="str">
        <f>IF(Indata!R146="","",Indata!R146)</f>
        <v/>
      </c>
      <c r="S142" s="411"/>
      <c r="T142" s="411"/>
      <c r="U142" s="411"/>
      <c r="V142" s="411"/>
      <c r="W142" s="411"/>
      <c r="X142" s="411"/>
      <c r="Y142" s="411"/>
      <c r="Z142" s="411"/>
      <c r="AA142" s="411"/>
      <c r="AB142" s="411"/>
      <c r="AC142" s="411"/>
      <c r="AD142" s="411"/>
      <c r="AE142" s="411"/>
      <c r="AF142" s="411"/>
      <c r="AG142" s="411"/>
      <c r="AH142" s="411"/>
      <c r="AI142" s="411"/>
      <c r="AJ142" s="411"/>
      <c r="AK142" s="411"/>
      <c r="AL142" s="411"/>
      <c r="AM142" s="411"/>
      <c r="AN142" s="411"/>
      <c r="AO142" s="411"/>
      <c r="AP142" s="411"/>
      <c r="AQ142" s="411"/>
      <c r="AR142" s="411"/>
      <c r="AS142" s="411"/>
      <c r="AT142" s="411"/>
    </row>
    <row r="143" spans="1:46" s="102" customFormat="1" ht="12" customHeight="1">
      <c r="A143" s="117">
        <v>5</v>
      </c>
      <c r="B143" s="102" t="s">
        <v>253</v>
      </c>
      <c r="C143" s="266" t="str">
        <f>IF(Indata!C147="","",Indata!C147)</f>
        <v/>
      </c>
      <c r="D143" s="192" t="str">
        <f>IF(Indata!D147="","",Indata!D147)</f>
        <v/>
      </c>
      <c r="E143" s="192" t="str">
        <f>IF(Indata!E147="","",Indata!E147)</f>
        <v/>
      </c>
      <c r="F143" s="214" t="str">
        <f>IF(Indata!F147="","",Indata!F147)</f>
        <v/>
      </c>
      <c r="G143" s="192" t="str">
        <f>IF(Indata!G147="","",Indata!G147)</f>
        <v/>
      </c>
      <c r="H143" s="192" t="str">
        <f>IF(Indata!H147="","",Indata!H147)</f>
        <v/>
      </c>
      <c r="I143" s="192" t="str">
        <f>IF(Indata!I147="","",Indata!I147)</f>
        <v/>
      </c>
      <c r="J143" s="194" t="str">
        <f>IF(Indata!J147="","",Indata!J147)</f>
        <v/>
      </c>
      <c r="K143" s="195" t="str">
        <f>IF(Indata!K147="","",Indata!K147)</f>
        <v/>
      </c>
      <c r="L143" s="195" t="str">
        <f>IF(Indata!L147="","",Indata!L147)</f>
        <v/>
      </c>
      <c r="M143" s="195" t="str">
        <f>IF(Indata!M147="","",Indata!M147)</f>
        <v/>
      </c>
      <c r="N143" s="195" t="str">
        <f>IF(Indata!N147="","",Indata!N147)</f>
        <v/>
      </c>
      <c r="O143" s="195" t="str">
        <f>IF(Indata!O147="","",Indata!O147)</f>
        <v/>
      </c>
      <c r="P143" s="195" t="str">
        <f>IF(Indata!P147="","",Indata!P147)</f>
        <v/>
      </c>
      <c r="Q143" s="192" t="str">
        <f>IF(Indata!Q147="","",Indata!Q147)</f>
        <v/>
      </c>
      <c r="R143" s="309" t="str">
        <f>IF(Indata!R147="","",Indata!R147)</f>
        <v/>
      </c>
      <c r="S143" s="411"/>
      <c r="T143" s="411"/>
      <c r="U143" s="411"/>
      <c r="V143" s="411"/>
      <c r="W143" s="411"/>
      <c r="X143" s="411"/>
      <c r="Y143" s="411"/>
      <c r="Z143" s="411"/>
      <c r="AA143" s="411"/>
      <c r="AB143" s="411"/>
      <c r="AC143" s="411"/>
      <c r="AD143" s="411"/>
      <c r="AE143" s="411"/>
      <c r="AF143" s="411"/>
      <c r="AG143" s="411"/>
      <c r="AH143" s="411"/>
      <c r="AI143" s="411"/>
      <c r="AJ143" s="411"/>
      <c r="AK143" s="411"/>
      <c r="AL143" s="411"/>
      <c r="AM143" s="411"/>
      <c r="AN143" s="411"/>
      <c r="AO143" s="411"/>
      <c r="AP143" s="411"/>
      <c r="AQ143" s="411"/>
      <c r="AR143" s="411"/>
      <c r="AS143" s="411"/>
      <c r="AT143" s="411"/>
    </row>
    <row r="144" spans="1:46" s="102" customFormat="1" ht="12" customHeight="1">
      <c r="A144" s="117">
        <v>6</v>
      </c>
      <c r="B144" s="102" t="s">
        <v>265</v>
      </c>
      <c r="C144" s="266" t="str">
        <f>IF(Indata!C148="","",Indata!C148)</f>
        <v/>
      </c>
      <c r="D144" s="192" t="str">
        <f>IF(Indata!D148="","",Indata!D148)</f>
        <v/>
      </c>
      <c r="E144" s="192" t="str">
        <f>IF(Indata!E148="","",Indata!E148)</f>
        <v/>
      </c>
      <c r="F144" s="214" t="str">
        <f>IF(Indata!F148="","",Indata!F148)</f>
        <v/>
      </c>
      <c r="G144" s="192" t="str">
        <f>IF(Indata!G148="","",Indata!G148)</f>
        <v/>
      </c>
      <c r="H144" s="192" t="str">
        <f>IF(Indata!H148="","",Indata!H148)</f>
        <v/>
      </c>
      <c r="I144" s="192" t="str">
        <f>IF(Indata!I148="","",Indata!I148)</f>
        <v/>
      </c>
      <c r="J144" s="194" t="str">
        <f>IF(Indata!J148="","",Indata!J148)</f>
        <v/>
      </c>
      <c r="K144" s="195" t="str">
        <f>IF(Indata!K148="","",Indata!K148)</f>
        <v/>
      </c>
      <c r="L144" s="195" t="str">
        <f>IF(Indata!L148="","",Indata!L148)</f>
        <v/>
      </c>
      <c r="M144" s="195" t="str">
        <f>IF(Indata!M148="","",Indata!M148)</f>
        <v/>
      </c>
      <c r="N144" s="195" t="str">
        <f>IF(Indata!N148="","",Indata!N148)</f>
        <v/>
      </c>
      <c r="O144" s="195" t="str">
        <f>IF(Indata!O148="","",Indata!O148)</f>
        <v/>
      </c>
      <c r="P144" s="195" t="str">
        <f>IF(Indata!P148="","",Indata!P148)</f>
        <v/>
      </c>
      <c r="Q144" s="192" t="str">
        <f>IF(Indata!Q148="","",Indata!Q148)</f>
        <v/>
      </c>
      <c r="R144" s="309" t="str">
        <f>IF(Indata!R148="","",Indata!R148)</f>
        <v/>
      </c>
      <c r="S144" s="411"/>
      <c r="T144" s="411"/>
      <c r="U144" s="411"/>
      <c r="V144" s="411"/>
      <c r="W144" s="411"/>
      <c r="X144" s="411"/>
      <c r="Y144" s="411"/>
      <c r="Z144" s="411"/>
      <c r="AA144" s="411"/>
      <c r="AB144" s="411"/>
      <c r="AC144" s="411"/>
      <c r="AD144" s="411"/>
      <c r="AE144" s="411"/>
      <c r="AF144" s="411"/>
      <c r="AG144" s="411"/>
      <c r="AH144" s="411"/>
      <c r="AI144" s="411"/>
      <c r="AJ144" s="411"/>
      <c r="AK144" s="411"/>
      <c r="AL144" s="411"/>
      <c r="AM144" s="411"/>
      <c r="AN144" s="411"/>
      <c r="AO144" s="411"/>
      <c r="AP144" s="411"/>
      <c r="AQ144" s="411"/>
      <c r="AR144" s="411"/>
      <c r="AS144" s="411"/>
      <c r="AT144" s="411"/>
    </row>
    <row r="145" spans="1:46" s="102" customFormat="1" ht="12" customHeight="1">
      <c r="A145" s="117">
        <v>7</v>
      </c>
      <c r="B145" s="102" t="s">
        <v>254</v>
      </c>
      <c r="C145" s="266" t="str">
        <f>IF(Indata!C149="","",Indata!C149)</f>
        <v/>
      </c>
      <c r="D145" s="192" t="str">
        <f>IF(Indata!D149="","",Indata!D149)</f>
        <v/>
      </c>
      <c r="E145" s="192" t="str">
        <f>IF(Indata!E149="","",Indata!E149)</f>
        <v/>
      </c>
      <c r="F145" s="214" t="str">
        <f>IF(Indata!F149="","",Indata!F149)</f>
        <v/>
      </c>
      <c r="G145" s="192" t="str">
        <f>IF(Indata!G149="","",Indata!G149)</f>
        <v/>
      </c>
      <c r="H145" s="192" t="str">
        <f>IF(Indata!H149="","",Indata!H149)</f>
        <v/>
      </c>
      <c r="I145" s="192" t="str">
        <f>IF(Indata!I149="","",Indata!I149)</f>
        <v/>
      </c>
      <c r="J145" s="194" t="str">
        <f>IF(Indata!J149="","",Indata!J149)</f>
        <v/>
      </c>
      <c r="K145" s="195" t="str">
        <f>IF(Indata!K149="","",Indata!K149)</f>
        <v/>
      </c>
      <c r="L145" s="195" t="str">
        <f>IF(Indata!L149="","",Indata!L149)</f>
        <v/>
      </c>
      <c r="M145" s="195" t="str">
        <f>IF(Indata!M149="","",Indata!M149)</f>
        <v/>
      </c>
      <c r="N145" s="195" t="str">
        <f>IF(Indata!N149="","",Indata!N149)</f>
        <v/>
      </c>
      <c r="O145" s="195" t="str">
        <f>IF(Indata!O149="","",Indata!O149)</f>
        <v/>
      </c>
      <c r="P145" s="195" t="str">
        <f>IF(Indata!P149="","",Indata!P149)</f>
        <v/>
      </c>
      <c r="Q145" s="192" t="str">
        <f>IF(Indata!Q149="","",Indata!Q149)</f>
        <v/>
      </c>
      <c r="R145" s="309" t="str">
        <f>IF(Indata!R149="","",Indata!R149)</f>
        <v/>
      </c>
      <c r="S145" s="411"/>
      <c r="T145" s="411"/>
      <c r="U145" s="411"/>
      <c r="V145" s="411"/>
      <c r="W145" s="411"/>
      <c r="X145" s="411"/>
      <c r="Y145" s="411"/>
      <c r="Z145" s="411"/>
      <c r="AA145" s="411"/>
      <c r="AB145" s="411"/>
      <c r="AC145" s="411"/>
      <c r="AD145" s="411"/>
      <c r="AE145" s="411"/>
      <c r="AF145" s="411"/>
      <c r="AG145" s="411"/>
      <c r="AH145" s="411"/>
      <c r="AI145" s="411"/>
      <c r="AJ145" s="411"/>
      <c r="AK145" s="411"/>
      <c r="AL145" s="411"/>
      <c r="AM145" s="411"/>
      <c r="AN145" s="411"/>
      <c r="AO145" s="411"/>
      <c r="AP145" s="411"/>
      <c r="AQ145" s="411"/>
      <c r="AR145" s="411"/>
      <c r="AS145" s="411"/>
      <c r="AT145" s="411"/>
    </row>
    <row r="146" spans="1:46" s="102" customFormat="1" ht="12" customHeight="1">
      <c r="A146" s="117">
        <v>9</v>
      </c>
      <c r="B146" s="102" t="s">
        <v>255</v>
      </c>
      <c r="C146" s="266" t="str">
        <f>IF(Indata!C150="","",Indata!C150)</f>
        <v/>
      </c>
      <c r="D146" s="192" t="str">
        <f>IF(Indata!D150="","",Indata!D150)</f>
        <v/>
      </c>
      <c r="E146" s="192" t="str">
        <f>IF(Indata!E150="","",Indata!E150)</f>
        <v/>
      </c>
      <c r="F146" s="214" t="str">
        <f>IF(Indata!F150="","",Indata!F150)</f>
        <v/>
      </c>
      <c r="G146" s="192" t="str">
        <f>IF(Indata!G150="","",Indata!G150)</f>
        <v/>
      </c>
      <c r="H146" s="192" t="str">
        <f>IF(Indata!H150="","",Indata!H150)</f>
        <v/>
      </c>
      <c r="I146" s="192" t="str">
        <f>IF(Indata!I150="","",Indata!I150)</f>
        <v/>
      </c>
      <c r="J146" s="194" t="str">
        <f>IF(Indata!J150="","",Indata!J150)</f>
        <v/>
      </c>
      <c r="K146" s="195" t="str">
        <f>IF(Indata!K150="","",Indata!K150)</f>
        <v/>
      </c>
      <c r="L146" s="195" t="str">
        <f>IF(Indata!L150="","",Indata!L150)</f>
        <v/>
      </c>
      <c r="M146" s="195" t="str">
        <f>IF(Indata!M150="","",Indata!M150)</f>
        <v/>
      </c>
      <c r="N146" s="195" t="str">
        <f>IF(Indata!N150="","",Indata!N150)</f>
        <v/>
      </c>
      <c r="O146" s="195" t="str">
        <f>IF(Indata!O150="","",Indata!O150)</f>
        <v/>
      </c>
      <c r="P146" s="195" t="str">
        <f>IF(Indata!P150="","",Indata!P150)</f>
        <v/>
      </c>
      <c r="Q146" s="192" t="str">
        <f>IF(Indata!Q150="","",Indata!Q150)</f>
        <v/>
      </c>
      <c r="R146" s="309" t="str">
        <f>IF(Indata!R150="","",Indata!R150)</f>
        <v/>
      </c>
      <c r="S146" s="411"/>
      <c r="T146" s="411"/>
      <c r="U146" s="411"/>
      <c r="V146" s="411"/>
      <c r="W146" s="411"/>
      <c r="X146" s="411"/>
      <c r="Y146" s="411"/>
      <c r="Z146" s="411"/>
      <c r="AA146" s="411"/>
      <c r="AB146" s="411"/>
      <c r="AC146" s="411"/>
      <c r="AD146" s="411"/>
      <c r="AE146" s="411"/>
      <c r="AF146" s="411"/>
      <c r="AG146" s="411"/>
      <c r="AH146" s="411"/>
      <c r="AI146" s="411"/>
      <c r="AJ146" s="411"/>
      <c r="AK146" s="411"/>
      <c r="AL146" s="411"/>
      <c r="AM146" s="411"/>
      <c r="AN146" s="411"/>
      <c r="AO146" s="411"/>
      <c r="AP146" s="411"/>
      <c r="AQ146" s="411"/>
      <c r="AR146" s="411"/>
      <c r="AS146" s="411"/>
      <c r="AT146" s="411"/>
    </row>
    <row r="147" spans="1:46" s="102" customFormat="1" ht="12" customHeight="1">
      <c r="A147" s="117">
        <v>11</v>
      </c>
      <c r="B147" s="102" t="s">
        <v>256</v>
      </c>
      <c r="C147" s="266" t="str">
        <f>IF(Indata!C151="","",Indata!C151)</f>
        <v/>
      </c>
      <c r="D147" s="192" t="str">
        <f>IF(Indata!D151="","",Indata!D151)</f>
        <v/>
      </c>
      <c r="E147" s="192" t="str">
        <f>IF(Indata!E151="","",Indata!E151)</f>
        <v/>
      </c>
      <c r="F147" s="214" t="str">
        <f>IF(Indata!F151="","",Indata!F151)</f>
        <v/>
      </c>
      <c r="G147" s="192" t="str">
        <f>IF(Indata!G151="","",Indata!G151)</f>
        <v/>
      </c>
      <c r="H147" s="192" t="str">
        <f>IF(Indata!H151="","",Indata!H151)</f>
        <v/>
      </c>
      <c r="I147" s="192" t="str">
        <f>IF(Indata!I151="","",Indata!I151)</f>
        <v/>
      </c>
      <c r="J147" s="194" t="str">
        <f>IF(Indata!J151="","",Indata!J151)</f>
        <v/>
      </c>
      <c r="K147" s="195" t="str">
        <f>IF(Indata!K151="","",Indata!K151)</f>
        <v/>
      </c>
      <c r="L147" s="195" t="str">
        <f>IF(Indata!L151="","",Indata!L151)</f>
        <v/>
      </c>
      <c r="M147" s="195" t="str">
        <f>IF(Indata!M151="","",Indata!M151)</f>
        <v/>
      </c>
      <c r="N147" s="195" t="str">
        <f>IF(Indata!N151="","",Indata!N151)</f>
        <v/>
      </c>
      <c r="O147" s="195" t="str">
        <f>IF(Indata!O151="","",Indata!O151)</f>
        <v/>
      </c>
      <c r="P147" s="195" t="str">
        <f>IF(Indata!P151="","",Indata!P151)</f>
        <v/>
      </c>
      <c r="Q147" s="192" t="str">
        <f>IF(Indata!Q151="","",Indata!Q151)</f>
        <v/>
      </c>
      <c r="R147" s="309" t="str">
        <f>IF(Indata!R151="","",Indata!R151)</f>
        <v/>
      </c>
      <c r="S147" s="411"/>
      <c r="T147" s="411"/>
      <c r="U147" s="411"/>
      <c r="V147" s="411"/>
      <c r="W147" s="411"/>
      <c r="X147" s="411"/>
      <c r="Y147" s="411"/>
      <c r="Z147" s="411"/>
      <c r="AA147" s="411"/>
      <c r="AB147" s="411"/>
      <c r="AC147" s="411"/>
      <c r="AD147" s="411"/>
      <c r="AE147" s="411"/>
      <c r="AF147" s="411"/>
      <c r="AG147" s="411"/>
      <c r="AH147" s="411"/>
      <c r="AI147" s="411"/>
      <c r="AJ147" s="411"/>
      <c r="AK147" s="411"/>
      <c r="AL147" s="411"/>
      <c r="AM147" s="411"/>
      <c r="AN147" s="411"/>
      <c r="AO147" s="411"/>
      <c r="AP147" s="411"/>
      <c r="AQ147" s="411"/>
      <c r="AR147" s="411"/>
      <c r="AS147" s="411"/>
      <c r="AT147" s="411"/>
    </row>
    <row r="148" spans="1:46" s="102" customFormat="1" ht="12" customHeight="1">
      <c r="A148" s="117">
        <v>13</v>
      </c>
      <c r="B148" s="102" t="s">
        <v>257</v>
      </c>
      <c r="C148" s="266" t="str">
        <f>IF(Indata!C152="","",Indata!C152)</f>
        <v/>
      </c>
      <c r="D148" s="192" t="str">
        <f>IF(Indata!D152="","",Indata!D152)</f>
        <v/>
      </c>
      <c r="E148" s="192" t="str">
        <f>IF(Indata!E152="","",Indata!E152)</f>
        <v/>
      </c>
      <c r="F148" s="214" t="str">
        <f>IF(Indata!F152="","",Indata!F152)</f>
        <v/>
      </c>
      <c r="G148" s="192" t="str">
        <f>IF(Indata!G152="","",Indata!G152)</f>
        <v/>
      </c>
      <c r="H148" s="192" t="str">
        <f>IF(Indata!H152="","",Indata!H152)</f>
        <v/>
      </c>
      <c r="I148" s="192" t="str">
        <f>IF(Indata!I152="","",Indata!I152)</f>
        <v/>
      </c>
      <c r="J148" s="194" t="str">
        <f>IF(Indata!J152="","",Indata!J152)</f>
        <v/>
      </c>
      <c r="K148" s="195" t="str">
        <f>IF(Indata!K152="","",Indata!K152)</f>
        <v/>
      </c>
      <c r="L148" s="195" t="str">
        <f>IF(Indata!L152="","",Indata!L152)</f>
        <v/>
      </c>
      <c r="M148" s="195" t="str">
        <f>IF(Indata!M152="","",Indata!M152)</f>
        <v/>
      </c>
      <c r="N148" s="195" t="str">
        <f>IF(Indata!N152="","",Indata!N152)</f>
        <v/>
      </c>
      <c r="O148" s="195" t="str">
        <f>IF(Indata!O152="","",Indata!O152)</f>
        <v/>
      </c>
      <c r="P148" s="195" t="str">
        <f>IF(Indata!P152="","",Indata!P152)</f>
        <v/>
      </c>
      <c r="Q148" s="192" t="str">
        <f>IF(Indata!Q152="","",Indata!Q152)</f>
        <v/>
      </c>
      <c r="R148" s="309" t="str">
        <f>IF(Indata!R152="","",Indata!R152)</f>
        <v/>
      </c>
      <c r="S148" s="411"/>
      <c r="T148" s="411"/>
      <c r="U148" s="411"/>
      <c r="V148" s="411"/>
      <c r="W148" s="411"/>
      <c r="X148" s="411"/>
      <c r="Y148" s="411"/>
      <c r="Z148" s="411"/>
      <c r="AA148" s="411"/>
      <c r="AB148" s="411"/>
      <c r="AC148" s="411"/>
      <c r="AD148" s="411"/>
      <c r="AE148" s="411"/>
      <c r="AF148" s="411"/>
      <c r="AG148" s="411"/>
      <c r="AH148" s="411"/>
      <c r="AI148" s="411"/>
      <c r="AJ148" s="411"/>
      <c r="AK148" s="411"/>
      <c r="AL148" s="411"/>
      <c r="AM148" s="411"/>
      <c r="AN148" s="411"/>
      <c r="AO148" s="411"/>
      <c r="AP148" s="411"/>
      <c r="AQ148" s="411"/>
      <c r="AR148" s="411"/>
      <c r="AS148" s="411"/>
      <c r="AT148" s="411"/>
    </row>
    <row r="149" spans="1:46" s="102" customFormat="1" ht="12" customHeight="1">
      <c r="A149" s="117">
        <v>15</v>
      </c>
      <c r="B149" s="102" t="s">
        <v>258</v>
      </c>
      <c r="C149" s="266" t="str">
        <f>IF(Indata!C153="","",Indata!C153)</f>
        <v/>
      </c>
      <c r="D149" s="192" t="str">
        <f>IF(Indata!D153="","",Indata!D153)</f>
        <v/>
      </c>
      <c r="E149" s="192" t="str">
        <f>IF(Indata!E153="","",Indata!E153)</f>
        <v/>
      </c>
      <c r="F149" s="214" t="str">
        <f>IF(Indata!F153="","",Indata!F153)</f>
        <v/>
      </c>
      <c r="G149" s="192" t="str">
        <f>IF(Indata!G153="","",Indata!G153)</f>
        <v/>
      </c>
      <c r="H149" s="192" t="str">
        <f>IF(Indata!H153="","",Indata!H153)</f>
        <v/>
      </c>
      <c r="I149" s="192" t="str">
        <f>IF(Indata!I153="","",Indata!I153)</f>
        <v/>
      </c>
      <c r="J149" s="194" t="str">
        <f>IF(Indata!J153="","",Indata!J153)</f>
        <v/>
      </c>
      <c r="K149" s="195" t="str">
        <f>IF(Indata!K153="","",Indata!K153)</f>
        <v/>
      </c>
      <c r="L149" s="195" t="str">
        <f>IF(Indata!L153="","",Indata!L153)</f>
        <v/>
      </c>
      <c r="M149" s="195" t="str">
        <f>IF(Indata!M153="","",Indata!M153)</f>
        <v/>
      </c>
      <c r="N149" s="195" t="str">
        <f>IF(Indata!N153="","",Indata!N153)</f>
        <v/>
      </c>
      <c r="O149" s="195" t="str">
        <f>IF(Indata!O153="","",Indata!O153)</f>
        <v/>
      </c>
      <c r="P149" s="195" t="str">
        <f>IF(Indata!P153="","",Indata!P153)</f>
        <v/>
      </c>
      <c r="Q149" s="192" t="str">
        <f>IF(Indata!Q153="","",Indata!Q153)</f>
        <v/>
      </c>
      <c r="R149" s="309" t="str">
        <f>IF(Indata!R153="","",Indata!R153)</f>
        <v/>
      </c>
      <c r="S149" s="411"/>
      <c r="T149" s="411"/>
      <c r="U149" s="411"/>
      <c r="V149" s="411"/>
      <c r="W149" s="411"/>
      <c r="X149" s="411"/>
      <c r="Y149" s="411"/>
      <c r="Z149" s="411"/>
      <c r="AA149" s="411"/>
      <c r="AB149" s="411"/>
      <c r="AC149" s="411"/>
      <c r="AD149" s="411"/>
      <c r="AE149" s="411"/>
      <c r="AF149" s="411"/>
      <c r="AG149" s="411"/>
      <c r="AH149" s="411"/>
      <c r="AI149" s="411"/>
      <c r="AJ149" s="411"/>
      <c r="AK149" s="411"/>
      <c r="AL149" s="411"/>
      <c r="AM149" s="411"/>
      <c r="AN149" s="411"/>
      <c r="AO149" s="411"/>
      <c r="AP149" s="411"/>
      <c r="AQ149" s="411"/>
      <c r="AR149" s="411"/>
      <c r="AS149" s="411"/>
      <c r="AT149" s="411"/>
    </row>
    <row r="150" spans="1:46" s="102" customFormat="1" ht="12" customHeight="1">
      <c r="A150" s="117">
        <v>17</v>
      </c>
      <c r="B150" s="102" t="s">
        <v>259</v>
      </c>
      <c r="C150" s="266" t="str">
        <f>IF(Indata!C154="","",Indata!C154)</f>
        <v/>
      </c>
      <c r="D150" s="192" t="str">
        <f>IF(Indata!D154="","",Indata!D154)</f>
        <v/>
      </c>
      <c r="E150" s="192" t="str">
        <f>IF(Indata!E154="","",Indata!E154)</f>
        <v/>
      </c>
      <c r="F150" s="214" t="str">
        <f>IF(Indata!F154="","",Indata!F154)</f>
        <v/>
      </c>
      <c r="G150" s="192" t="str">
        <f>IF(Indata!G154="","",Indata!G154)</f>
        <v/>
      </c>
      <c r="H150" s="192" t="str">
        <f>IF(Indata!H154="","",Indata!H154)</f>
        <v/>
      </c>
      <c r="I150" s="192" t="str">
        <f>IF(Indata!I154="","",Indata!I154)</f>
        <v/>
      </c>
      <c r="J150" s="194" t="str">
        <f>IF(Indata!J154="","",Indata!J154)</f>
        <v/>
      </c>
      <c r="K150" s="195" t="str">
        <f>IF(Indata!K154="","",Indata!K154)</f>
        <v/>
      </c>
      <c r="L150" s="195" t="str">
        <f>IF(Indata!L154="","",Indata!L154)</f>
        <v/>
      </c>
      <c r="M150" s="195" t="str">
        <f>IF(Indata!M154="","",Indata!M154)</f>
        <v/>
      </c>
      <c r="N150" s="195" t="str">
        <f>IF(Indata!N154="","",Indata!N154)</f>
        <v/>
      </c>
      <c r="O150" s="195" t="str">
        <f>IF(Indata!O154="","",Indata!O154)</f>
        <v/>
      </c>
      <c r="P150" s="195" t="str">
        <f>IF(Indata!P154="","",Indata!P154)</f>
        <v/>
      </c>
      <c r="Q150" s="192" t="str">
        <f>IF(Indata!Q154="","",Indata!Q154)</f>
        <v/>
      </c>
      <c r="R150" s="309" t="str">
        <f>IF(Indata!R154="","",Indata!R154)</f>
        <v/>
      </c>
      <c r="S150" s="411"/>
      <c r="T150" s="411"/>
      <c r="U150" s="411"/>
      <c r="V150" s="411"/>
      <c r="W150" s="411"/>
      <c r="X150" s="411"/>
      <c r="Y150" s="411"/>
      <c r="Z150" s="411"/>
      <c r="AA150" s="411"/>
      <c r="AB150" s="411"/>
      <c r="AC150" s="411"/>
      <c r="AD150" s="411"/>
      <c r="AE150" s="411"/>
      <c r="AF150" s="411"/>
      <c r="AG150" s="411"/>
      <c r="AH150" s="411"/>
      <c r="AI150" s="411"/>
      <c r="AJ150" s="411"/>
      <c r="AK150" s="411"/>
      <c r="AL150" s="411"/>
      <c r="AM150" s="411"/>
      <c r="AN150" s="411"/>
      <c r="AO150" s="411"/>
      <c r="AP150" s="411"/>
      <c r="AQ150" s="411"/>
      <c r="AR150" s="411"/>
      <c r="AS150" s="411"/>
      <c r="AT150" s="411"/>
    </row>
    <row r="151" spans="1:46" s="102" customFormat="1" ht="12" customHeight="1">
      <c r="A151" s="117">
        <v>18</v>
      </c>
      <c r="B151" s="102" t="s">
        <v>266</v>
      </c>
      <c r="C151" s="266" t="str">
        <f>IF(Indata!C155="","",Indata!C155)</f>
        <v/>
      </c>
      <c r="D151" s="192" t="str">
        <f>IF(Indata!D155="","",Indata!D155)</f>
        <v/>
      </c>
      <c r="E151" s="192" t="str">
        <f>IF(Indata!E155="","",Indata!E155)</f>
        <v/>
      </c>
      <c r="F151" s="214" t="str">
        <f>IF(Indata!F155="","",Indata!F155)</f>
        <v/>
      </c>
      <c r="G151" s="192" t="str">
        <f>IF(Indata!G155="","",Indata!G155)</f>
        <v/>
      </c>
      <c r="H151" s="192" t="str">
        <f>IF(Indata!H155="","",Indata!H155)</f>
        <v/>
      </c>
      <c r="I151" s="192" t="str">
        <f>IF(Indata!I155="","",Indata!I155)</f>
        <v/>
      </c>
      <c r="J151" s="194" t="str">
        <f>IF(Indata!J155="","",Indata!J155)</f>
        <v/>
      </c>
      <c r="K151" s="195" t="str">
        <f>IF(Indata!K155="","",Indata!K155)</f>
        <v/>
      </c>
      <c r="L151" s="195" t="str">
        <f>IF(Indata!L155="","",Indata!L155)</f>
        <v/>
      </c>
      <c r="M151" s="195" t="str">
        <f>IF(Indata!M155="","",Indata!M155)</f>
        <v/>
      </c>
      <c r="N151" s="195" t="str">
        <f>IF(Indata!N155="","",Indata!N155)</f>
        <v/>
      </c>
      <c r="O151" s="195" t="str">
        <f>IF(Indata!O155="","",Indata!O155)</f>
        <v/>
      </c>
      <c r="P151" s="195" t="str">
        <f>IF(Indata!P155="","",Indata!P155)</f>
        <v/>
      </c>
      <c r="Q151" s="192" t="str">
        <f>IF(Indata!Q155="","",Indata!Q155)</f>
        <v/>
      </c>
      <c r="R151" s="309" t="str">
        <f>IF(Indata!R155="","",Indata!R155)</f>
        <v/>
      </c>
      <c r="S151" s="411"/>
      <c r="T151" s="411"/>
      <c r="U151" s="411"/>
      <c r="V151" s="411"/>
      <c r="W151" s="411"/>
      <c r="X151" s="411"/>
      <c r="Y151" s="411"/>
      <c r="Z151" s="411"/>
      <c r="AA151" s="411"/>
      <c r="AB151" s="411"/>
      <c r="AC151" s="411"/>
      <c r="AD151" s="411"/>
      <c r="AE151" s="411"/>
      <c r="AF151" s="411"/>
      <c r="AG151" s="411"/>
      <c r="AH151" s="411"/>
      <c r="AI151" s="411"/>
      <c r="AJ151" s="411"/>
      <c r="AK151" s="411"/>
      <c r="AL151" s="411"/>
      <c r="AM151" s="411"/>
      <c r="AN151" s="411"/>
      <c r="AO151" s="411"/>
      <c r="AP151" s="411"/>
      <c r="AQ151" s="411"/>
      <c r="AR151" s="411"/>
      <c r="AS151" s="411"/>
      <c r="AT151" s="411"/>
    </row>
    <row r="152" spans="1:46" s="102" customFormat="1" ht="12" customHeight="1">
      <c r="A152" s="118">
        <v>19</v>
      </c>
      <c r="B152" s="102" t="s">
        <v>260</v>
      </c>
      <c r="C152" s="266" t="str">
        <f>IF(Indata!C156="","",Indata!C156)</f>
        <v/>
      </c>
      <c r="D152" s="192" t="str">
        <f>IF(Indata!D156="","",Indata!D156)</f>
        <v/>
      </c>
      <c r="E152" s="192" t="str">
        <f>IF(Indata!E156="","",Indata!E156)</f>
        <v/>
      </c>
      <c r="F152" s="214" t="str">
        <f>IF(Indata!F156="","",Indata!F156)</f>
        <v/>
      </c>
      <c r="G152" s="192" t="str">
        <f>IF(Indata!G156="","",Indata!G156)</f>
        <v/>
      </c>
      <c r="H152" s="192" t="str">
        <f>IF(Indata!H156="","",Indata!H156)</f>
        <v/>
      </c>
      <c r="I152" s="192" t="str">
        <f>IF(Indata!I156="","",Indata!I156)</f>
        <v/>
      </c>
      <c r="J152" s="194" t="str">
        <f>IF(Indata!J156="","",Indata!J156)</f>
        <v/>
      </c>
      <c r="K152" s="195" t="str">
        <f>IF(Indata!K156="","",Indata!K156)</f>
        <v/>
      </c>
      <c r="L152" s="195" t="str">
        <f>IF(Indata!L156="","",Indata!L156)</f>
        <v/>
      </c>
      <c r="M152" s="195" t="str">
        <f>IF(Indata!M156="","",Indata!M156)</f>
        <v/>
      </c>
      <c r="N152" s="195" t="str">
        <f>IF(Indata!N156="","",Indata!N156)</f>
        <v/>
      </c>
      <c r="O152" s="195" t="str">
        <f>IF(Indata!O156="","",Indata!O156)</f>
        <v/>
      </c>
      <c r="P152" s="195" t="str">
        <f>IF(Indata!P156="","",Indata!P156)</f>
        <v/>
      </c>
      <c r="Q152" s="192" t="str">
        <f>IF(Indata!Q156="","",Indata!Q156)</f>
        <v/>
      </c>
      <c r="R152" s="309" t="str">
        <f>IF(Indata!R156="","",Indata!R156)</f>
        <v/>
      </c>
      <c r="S152" s="411"/>
      <c r="T152" s="411"/>
      <c r="U152" s="411"/>
      <c r="V152" s="411"/>
      <c r="W152" s="411"/>
      <c r="X152" s="411"/>
      <c r="Y152" s="411"/>
      <c r="Z152" s="411"/>
      <c r="AA152" s="411"/>
      <c r="AB152" s="411"/>
      <c r="AC152" s="411"/>
      <c r="AD152" s="411"/>
      <c r="AE152" s="411"/>
      <c r="AF152" s="411"/>
      <c r="AG152" s="411"/>
      <c r="AH152" s="411"/>
      <c r="AI152" s="411"/>
      <c r="AJ152" s="411"/>
      <c r="AK152" s="411"/>
      <c r="AL152" s="411"/>
      <c r="AM152" s="411"/>
      <c r="AN152" s="411"/>
      <c r="AO152" s="411"/>
      <c r="AP152" s="411"/>
      <c r="AQ152" s="411"/>
      <c r="AR152" s="411"/>
      <c r="AS152" s="411"/>
      <c r="AT152" s="411"/>
    </row>
    <row r="153" spans="1:46" s="102" customFormat="1" ht="12" customHeight="1">
      <c r="A153" s="117">
        <v>20</v>
      </c>
      <c r="B153" s="102" t="s">
        <v>267</v>
      </c>
      <c r="C153" s="266" t="str">
        <f>IF(Indata!C157="","",Indata!C157)</f>
        <v/>
      </c>
      <c r="D153" s="192" t="str">
        <f>IF(Indata!D157="","",Indata!D157)</f>
        <v/>
      </c>
      <c r="E153" s="192" t="str">
        <f>IF(Indata!E157="","",Indata!E157)</f>
        <v/>
      </c>
      <c r="F153" s="214" t="str">
        <f>IF(Indata!F157="","",Indata!F157)</f>
        <v/>
      </c>
      <c r="G153" s="192" t="str">
        <f>IF(Indata!G157="","",Indata!G157)</f>
        <v/>
      </c>
      <c r="H153" s="192" t="str">
        <f>IF(Indata!H157="","",Indata!H157)</f>
        <v/>
      </c>
      <c r="I153" s="192" t="str">
        <f>IF(Indata!I157="","",Indata!I157)</f>
        <v/>
      </c>
      <c r="J153" s="194" t="str">
        <f>IF(Indata!J157="","",Indata!J157)</f>
        <v/>
      </c>
      <c r="K153" s="195" t="str">
        <f>IF(Indata!K157="","",Indata!K157)</f>
        <v/>
      </c>
      <c r="L153" s="195" t="str">
        <f>IF(Indata!L157="","",Indata!L157)</f>
        <v/>
      </c>
      <c r="M153" s="195" t="str">
        <f>IF(Indata!M157="","",Indata!M157)</f>
        <v/>
      </c>
      <c r="N153" s="195" t="str">
        <f>IF(Indata!N157="","",Indata!N157)</f>
        <v/>
      </c>
      <c r="O153" s="195" t="str">
        <f>IF(Indata!O157="","",Indata!O157)</f>
        <v/>
      </c>
      <c r="P153" s="195" t="str">
        <f>IF(Indata!P157="","",Indata!P157)</f>
        <v/>
      </c>
      <c r="Q153" s="192" t="str">
        <f>IF(Indata!Q157="","",Indata!Q157)</f>
        <v/>
      </c>
      <c r="R153" s="309" t="str">
        <f>IF(Indata!R157="","",Indata!R157)</f>
        <v/>
      </c>
      <c r="S153" s="411"/>
      <c r="T153" s="411"/>
      <c r="U153" s="411"/>
      <c r="V153" s="411"/>
      <c r="W153" s="411"/>
      <c r="X153" s="411"/>
      <c r="Y153" s="411"/>
      <c r="Z153" s="411"/>
      <c r="AA153" s="411"/>
      <c r="AB153" s="411"/>
      <c r="AC153" s="411"/>
      <c r="AD153" s="411"/>
      <c r="AE153" s="411"/>
      <c r="AF153" s="411"/>
      <c r="AG153" s="411"/>
      <c r="AH153" s="411"/>
      <c r="AI153" s="411"/>
      <c r="AJ153" s="411"/>
      <c r="AK153" s="411"/>
      <c r="AL153" s="411"/>
      <c r="AM153" s="411"/>
      <c r="AN153" s="411"/>
      <c r="AO153" s="411"/>
      <c r="AP153" s="411"/>
      <c r="AQ153" s="411"/>
      <c r="AR153" s="411"/>
      <c r="AS153" s="411"/>
      <c r="AT153" s="411"/>
    </row>
    <row r="154" spans="1:46" s="102" customFormat="1" ht="12" customHeight="1">
      <c r="A154" s="117">
        <v>21</v>
      </c>
      <c r="B154" s="102" t="s">
        <v>261</v>
      </c>
      <c r="C154" s="266" t="str">
        <f>IF(Indata!C158="","",Indata!C158)</f>
        <v/>
      </c>
      <c r="D154" s="192" t="str">
        <f>IF(Indata!D158="","",Indata!D158)</f>
        <v/>
      </c>
      <c r="E154" s="192" t="str">
        <f>IF(Indata!E158="","",Indata!E158)</f>
        <v/>
      </c>
      <c r="F154" s="214" t="str">
        <f>IF(Indata!F158="","",Indata!F158)</f>
        <v/>
      </c>
      <c r="G154" s="192" t="str">
        <f>IF(Indata!G158="","",Indata!G158)</f>
        <v/>
      </c>
      <c r="H154" s="192" t="str">
        <f>IF(Indata!H158="","",Indata!H158)</f>
        <v/>
      </c>
      <c r="I154" s="192" t="str">
        <f>IF(Indata!I158="","",Indata!I158)</f>
        <v/>
      </c>
      <c r="J154" s="194" t="str">
        <f>IF(Indata!J158="","",Indata!J158)</f>
        <v/>
      </c>
      <c r="K154" s="195" t="str">
        <f>IF(Indata!K158="","",Indata!K158)</f>
        <v/>
      </c>
      <c r="L154" s="195" t="str">
        <f>IF(Indata!L158="","",Indata!L158)</f>
        <v/>
      </c>
      <c r="M154" s="195" t="str">
        <f>IF(Indata!M158="","",Indata!M158)</f>
        <v/>
      </c>
      <c r="N154" s="195" t="str">
        <f>IF(Indata!N158="","",Indata!N158)</f>
        <v/>
      </c>
      <c r="O154" s="195" t="str">
        <f>IF(Indata!O158="","",Indata!O158)</f>
        <v/>
      </c>
      <c r="P154" s="195" t="str">
        <f>IF(Indata!P158="","",Indata!P158)</f>
        <v/>
      </c>
      <c r="Q154" s="192" t="str">
        <f>IF(Indata!Q158="","",Indata!Q158)</f>
        <v/>
      </c>
      <c r="R154" s="309" t="str">
        <f>IF(Indata!R158="","",Indata!R158)</f>
        <v/>
      </c>
      <c r="S154" s="411"/>
      <c r="T154" s="411"/>
      <c r="U154" s="411"/>
      <c r="V154" s="411"/>
      <c r="W154" s="411"/>
      <c r="X154" s="411"/>
      <c r="Y154" s="411"/>
      <c r="Z154" s="411"/>
      <c r="AA154" s="411"/>
      <c r="AB154" s="411"/>
      <c r="AC154" s="411"/>
      <c r="AD154" s="411"/>
      <c r="AE154" s="411"/>
      <c r="AF154" s="411"/>
      <c r="AG154" s="411"/>
      <c r="AH154" s="411"/>
      <c r="AI154" s="411"/>
      <c r="AJ154" s="411"/>
      <c r="AK154" s="411"/>
      <c r="AL154" s="411"/>
      <c r="AM154" s="411"/>
      <c r="AN154" s="411"/>
      <c r="AO154" s="411"/>
      <c r="AP154" s="411"/>
      <c r="AQ154" s="411"/>
      <c r="AR154" s="411"/>
      <c r="AS154" s="411"/>
      <c r="AT154" s="411"/>
    </row>
    <row r="155" spans="1:46" s="102" customFormat="1" ht="12" customHeight="1">
      <c r="A155" s="117">
        <v>22</v>
      </c>
      <c r="B155" s="102" t="s">
        <v>268</v>
      </c>
      <c r="C155" s="266" t="str">
        <f>IF(Indata!C159="","",Indata!C159)</f>
        <v/>
      </c>
      <c r="D155" s="192" t="str">
        <f>IF(Indata!D159="","",Indata!D159)</f>
        <v/>
      </c>
      <c r="E155" s="192" t="str">
        <f>IF(Indata!E159="","",Indata!E159)</f>
        <v/>
      </c>
      <c r="F155" s="214" t="str">
        <f>IF(Indata!F159="","",Indata!F159)</f>
        <v/>
      </c>
      <c r="G155" s="192" t="str">
        <f>IF(Indata!G159="","",Indata!G159)</f>
        <v/>
      </c>
      <c r="H155" s="192" t="str">
        <f>IF(Indata!H159="","",Indata!H159)</f>
        <v/>
      </c>
      <c r="I155" s="192" t="str">
        <f>IF(Indata!I159="","",Indata!I159)</f>
        <v/>
      </c>
      <c r="J155" s="194" t="str">
        <f>IF(Indata!J159="","",Indata!J159)</f>
        <v/>
      </c>
      <c r="K155" s="195" t="str">
        <f>IF(Indata!K159="","",Indata!K159)</f>
        <v/>
      </c>
      <c r="L155" s="195" t="str">
        <f>IF(Indata!L159="","",Indata!L159)</f>
        <v/>
      </c>
      <c r="M155" s="195" t="str">
        <f>IF(Indata!M159="","",Indata!M159)</f>
        <v/>
      </c>
      <c r="N155" s="195" t="str">
        <f>IF(Indata!N159="","",Indata!N159)</f>
        <v/>
      </c>
      <c r="O155" s="195" t="str">
        <f>IF(Indata!O159="","",Indata!O159)</f>
        <v/>
      </c>
      <c r="P155" s="195" t="str">
        <f>IF(Indata!P159="","",Indata!P159)</f>
        <v/>
      </c>
      <c r="Q155" s="192" t="str">
        <f>IF(Indata!Q159="","",Indata!Q159)</f>
        <v/>
      </c>
      <c r="R155" s="309" t="str">
        <f>IF(Indata!R159="","",Indata!R159)</f>
        <v/>
      </c>
      <c r="S155" s="411"/>
      <c r="T155" s="411"/>
      <c r="U155" s="411"/>
      <c r="V155" s="411"/>
      <c r="W155" s="411"/>
      <c r="X155" s="411"/>
      <c r="Y155" s="411"/>
      <c r="Z155" s="411"/>
      <c r="AA155" s="411"/>
      <c r="AB155" s="411"/>
      <c r="AC155" s="411"/>
      <c r="AD155" s="411"/>
      <c r="AE155" s="411"/>
      <c r="AF155" s="411"/>
      <c r="AG155" s="411"/>
      <c r="AH155" s="411"/>
      <c r="AI155" s="411"/>
      <c r="AJ155" s="411"/>
      <c r="AK155" s="411"/>
      <c r="AL155" s="411"/>
      <c r="AM155" s="411"/>
      <c r="AN155" s="411"/>
      <c r="AO155" s="411"/>
      <c r="AP155" s="411"/>
      <c r="AQ155" s="411"/>
      <c r="AR155" s="411"/>
      <c r="AS155" s="411"/>
      <c r="AT155" s="411"/>
    </row>
    <row r="156" spans="1:46" s="102" customFormat="1" ht="12" customHeight="1">
      <c r="A156" s="117">
        <v>23</v>
      </c>
      <c r="B156" s="122" t="s">
        <v>297</v>
      </c>
      <c r="C156" s="266" t="str">
        <f>IF(Indata!C160="","",Indata!C160)</f>
        <v/>
      </c>
      <c r="D156" s="192" t="str">
        <f>IF(Indata!D160="","",Indata!D160)</f>
        <v/>
      </c>
      <c r="E156" s="192" t="str">
        <f>IF(Indata!E160="","",Indata!E160)</f>
        <v/>
      </c>
      <c r="F156" s="214" t="str">
        <f>IF(Indata!F160="","",Indata!F160)</f>
        <v/>
      </c>
      <c r="G156" s="192" t="str">
        <f>IF(Indata!G160="","",Indata!G160)</f>
        <v/>
      </c>
      <c r="H156" s="192" t="str">
        <f>IF(Indata!H160="","",Indata!H160)</f>
        <v/>
      </c>
      <c r="I156" s="192" t="str">
        <f>IF(Indata!I160="","",Indata!I160)</f>
        <v/>
      </c>
      <c r="J156" s="194" t="str">
        <f>IF(Indata!J160="","",Indata!J160)</f>
        <v/>
      </c>
      <c r="K156" s="195" t="str">
        <f>IF(Indata!K160="","",Indata!K160)</f>
        <v/>
      </c>
      <c r="L156" s="195" t="str">
        <f>IF(Indata!L160="","",Indata!L160)</f>
        <v/>
      </c>
      <c r="M156" s="195" t="str">
        <f>IF(Indata!M160="","",Indata!M160)</f>
        <v/>
      </c>
      <c r="N156" s="195" t="str">
        <f>IF(Indata!N160="","",Indata!N160)</f>
        <v/>
      </c>
      <c r="O156" s="195" t="str">
        <f>IF(Indata!O160="","",Indata!O160)</f>
        <v/>
      </c>
      <c r="P156" s="195" t="str">
        <f>IF(Indata!P160="","",Indata!P160)</f>
        <v/>
      </c>
      <c r="Q156" s="192" t="str">
        <f>IF(Indata!Q160="","",Indata!Q160)</f>
        <v/>
      </c>
      <c r="R156" s="309" t="str">
        <f>IF(Indata!R160="","",Indata!R160)</f>
        <v/>
      </c>
      <c r="S156" s="411"/>
      <c r="T156" s="411"/>
      <c r="U156" s="411"/>
      <c r="V156" s="411"/>
      <c r="W156" s="411"/>
      <c r="X156" s="411"/>
      <c r="Y156" s="411"/>
      <c r="Z156" s="411"/>
      <c r="AA156" s="411"/>
      <c r="AB156" s="411"/>
      <c r="AC156" s="411"/>
      <c r="AD156" s="411"/>
      <c r="AE156" s="411"/>
      <c r="AF156" s="411"/>
      <c r="AG156" s="411"/>
      <c r="AH156" s="411"/>
      <c r="AI156" s="411"/>
      <c r="AJ156" s="411"/>
      <c r="AK156" s="411"/>
      <c r="AL156" s="411"/>
      <c r="AM156" s="411"/>
      <c r="AN156" s="411"/>
      <c r="AO156" s="411"/>
      <c r="AP156" s="411"/>
      <c r="AQ156" s="411"/>
      <c r="AR156" s="411"/>
      <c r="AS156" s="411"/>
      <c r="AT156" s="411"/>
    </row>
    <row r="157" spans="1:46" s="102" customFormat="1" ht="12" customHeight="1">
      <c r="A157" s="117">
        <v>24</v>
      </c>
      <c r="B157" s="102" t="s">
        <v>269</v>
      </c>
      <c r="C157" s="266" t="str">
        <f>IF(Indata!C161="","",Indata!C161)</f>
        <v/>
      </c>
      <c r="D157" s="192" t="str">
        <f>IF(Indata!D161="","",Indata!D161)</f>
        <v/>
      </c>
      <c r="E157" s="192" t="str">
        <f>IF(Indata!E161="","",Indata!E161)</f>
        <v/>
      </c>
      <c r="F157" s="214" t="str">
        <f>IF(Indata!F161="","",Indata!F161)</f>
        <v/>
      </c>
      <c r="G157" s="192" t="str">
        <f>IF(Indata!G161="","",Indata!G161)</f>
        <v/>
      </c>
      <c r="H157" s="192" t="str">
        <f>IF(Indata!H161="","",Indata!H161)</f>
        <v/>
      </c>
      <c r="I157" s="192" t="str">
        <f>IF(Indata!I161="","",Indata!I161)</f>
        <v/>
      </c>
      <c r="J157" s="194" t="str">
        <f>IF(Indata!J161="","",Indata!J161)</f>
        <v/>
      </c>
      <c r="K157" s="195" t="str">
        <f>IF(Indata!K161="","",Indata!K161)</f>
        <v/>
      </c>
      <c r="L157" s="195" t="str">
        <f>IF(Indata!L161="","",Indata!L161)</f>
        <v/>
      </c>
      <c r="M157" s="195" t="str">
        <f>IF(Indata!M161="","",Indata!M161)</f>
        <v/>
      </c>
      <c r="N157" s="195" t="str">
        <f>IF(Indata!N161="","",Indata!N161)</f>
        <v/>
      </c>
      <c r="O157" s="195" t="str">
        <f>IF(Indata!O161="","",Indata!O161)</f>
        <v/>
      </c>
      <c r="P157" s="195" t="str">
        <f>IF(Indata!P161="","",Indata!P161)</f>
        <v/>
      </c>
      <c r="Q157" s="192" t="str">
        <f>IF(Indata!Q161="","",Indata!Q161)</f>
        <v/>
      </c>
      <c r="R157" s="309" t="str">
        <f>IF(Indata!R161="","",Indata!R161)</f>
        <v/>
      </c>
      <c r="S157" s="411"/>
      <c r="T157" s="411"/>
      <c r="U157" s="411"/>
      <c r="V157" s="411"/>
      <c r="W157" s="411"/>
      <c r="X157" s="411"/>
      <c r="Y157" s="411"/>
      <c r="Z157" s="411"/>
      <c r="AA157" s="411"/>
      <c r="AB157" s="411"/>
      <c r="AC157" s="411"/>
      <c r="AD157" s="411"/>
      <c r="AE157" s="411"/>
      <c r="AF157" s="411"/>
      <c r="AG157" s="411"/>
      <c r="AH157" s="411"/>
      <c r="AI157" s="411"/>
      <c r="AJ157" s="411"/>
      <c r="AK157" s="411"/>
      <c r="AL157" s="411"/>
      <c r="AM157" s="411"/>
      <c r="AN157" s="411"/>
      <c r="AO157" s="411"/>
      <c r="AP157" s="411"/>
      <c r="AQ157" s="411"/>
      <c r="AR157" s="411"/>
      <c r="AS157" s="411"/>
      <c r="AT157" s="411"/>
    </row>
    <row r="158" spans="1:46" s="102" customFormat="1" ht="12" customHeight="1">
      <c r="A158" s="117">
        <v>25</v>
      </c>
      <c r="B158" s="102" t="s">
        <v>263</v>
      </c>
      <c r="C158" s="266" t="str">
        <f>IF(Indata!C162="","",Indata!C162)</f>
        <v/>
      </c>
      <c r="D158" s="192" t="str">
        <f>IF(Indata!D162="","",Indata!D162)</f>
        <v/>
      </c>
      <c r="E158" s="192" t="str">
        <f>IF(Indata!E162="","",Indata!E162)</f>
        <v/>
      </c>
      <c r="F158" s="214" t="str">
        <f>IF(Indata!F162="","",Indata!F162)</f>
        <v/>
      </c>
      <c r="G158" s="192" t="str">
        <f>IF(Indata!G162="","",Indata!G162)</f>
        <v/>
      </c>
      <c r="H158" s="192" t="str">
        <f>IF(Indata!H162="","",Indata!H162)</f>
        <v/>
      </c>
      <c r="I158" s="192" t="str">
        <f>IF(Indata!I162="","",Indata!I162)</f>
        <v/>
      </c>
      <c r="J158" s="194" t="str">
        <f>IF(Indata!J162="","",Indata!J162)</f>
        <v/>
      </c>
      <c r="K158" s="195" t="str">
        <f>IF(Indata!K162="","",Indata!K162)</f>
        <v/>
      </c>
      <c r="L158" s="195" t="str">
        <f>IF(Indata!L162="","",Indata!L162)</f>
        <v/>
      </c>
      <c r="M158" s="195" t="str">
        <f>IF(Indata!M162="","",Indata!M162)</f>
        <v/>
      </c>
      <c r="N158" s="195" t="str">
        <f>IF(Indata!N162="","",Indata!N162)</f>
        <v/>
      </c>
      <c r="O158" s="195" t="str">
        <f>IF(Indata!O162="","",Indata!O162)</f>
        <v/>
      </c>
      <c r="P158" s="195" t="str">
        <f>IF(Indata!P162="","",Indata!P162)</f>
        <v/>
      </c>
      <c r="Q158" s="192" t="str">
        <f>IF(Indata!Q162="","",Indata!Q162)</f>
        <v/>
      </c>
      <c r="R158" s="309" t="str">
        <f>IF(Indata!R162="","",Indata!R162)</f>
        <v/>
      </c>
      <c r="S158" s="411"/>
      <c r="T158" s="411"/>
      <c r="U158" s="411"/>
      <c r="V158" s="411"/>
      <c r="W158" s="411"/>
      <c r="X158" s="411"/>
      <c r="Y158" s="411"/>
      <c r="Z158" s="411"/>
      <c r="AA158" s="411"/>
      <c r="AB158" s="411"/>
      <c r="AC158" s="411"/>
      <c r="AD158" s="411"/>
      <c r="AE158" s="411"/>
      <c r="AF158" s="411"/>
      <c r="AG158" s="411"/>
      <c r="AH158" s="411"/>
      <c r="AI158" s="411"/>
      <c r="AJ158" s="411"/>
      <c r="AK158" s="411"/>
      <c r="AL158" s="411"/>
      <c r="AM158" s="411"/>
      <c r="AN158" s="411"/>
      <c r="AO158" s="411"/>
      <c r="AP158" s="411"/>
      <c r="AQ158" s="411"/>
      <c r="AR158" s="411"/>
      <c r="AS158" s="411"/>
      <c r="AT158" s="411"/>
    </row>
    <row r="159" spans="1:46" s="102" customFormat="1" ht="12" customHeight="1">
      <c r="A159" s="117">
        <v>27</v>
      </c>
      <c r="B159" s="102" t="s">
        <v>264</v>
      </c>
      <c r="C159" s="266" t="str">
        <f>IF(Indata!C163="","",Indata!C163)</f>
        <v/>
      </c>
      <c r="D159" s="192" t="str">
        <f>IF(Indata!D163="","",Indata!D163)</f>
        <v/>
      </c>
      <c r="E159" s="192" t="str">
        <f>IF(Indata!E163="","",Indata!E163)</f>
        <v/>
      </c>
      <c r="F159" s="214" t="str">
        <f>IF(Indata!F163="","",Indata!F163)</f>
        <v/>
      </c>
      <c r="G159" s="192" t="str">
        <f>IF(Indata!G163="","",Indata!G163)</f>
        <v/>
      </c>
      <c r="H159" s="192" t="str">
        <f>IF(Indata!H163="","",Indata!H163)</f>
        <v/>
      </c>
      <c r="I159" s="192" t="str">
        <f>IF(Indata!I163="","",Indata!I163)</f>
        <v/>
      </c>
      <c r="J159" s="194" t="str">
        <f>IF(Indata!J163="","",Indata!J163)</f>
        <v/>
      </c>
      <c r="K159" s="195" t="str">
        <f>IF(Indata!K163="","",Indata!K163)</f>
        <v/>
      </c>
      <c r="L159" s="195" t="str">
        <f>IF(Indata!L163="","",Indata!L163)</f>
        <v/>
      </c>
      <c r="M159" s="195" t="str">
        <f>IF(Indata!M163="","",Indata!M163)</f>
        <v/>
      </c>
      <c r="N159" s="195" t="str">
        <f>IF(Indata!N163="","",Indata!N163)</f>
        <v/>
      </c>
      <c r="O159" s="195" t="str">
        <f>IF(Indata!O163="","",Indata!O163)</f>
        <v/>
      </c>
      <c r="P159" s="195" t="str">
        <f>IF(Indata!P163="","",Indata!P163)</f>
        <v/>
      </c>
      <c r="Q159" s="192" t="str">
        <f>IF(Indata!Q163="","",Indata!Q163)</f>
        <v/>
      </c>
      <c r="R159" s="309" t="str">
        <f>IF(Indata!R163="","",Indata!R163)</f>
        <v/>
      </c>
      <c r="S159" s="411"/>
      <c r="T159" s="411"/>
      <c r="U159" s="411"/>
      <c r="V159" s="411"/>
      <c r="W159" s="411"/>
      <c r="X159" s="411"/>
      <c r="Y159" s="411"/>
      <c r="Z159" s="411"/>
      <c r="AA159" s="411"/>
      <c r="AB159" s="411"/>
      <c r="AC159" s="411"/>
      <c r="AD159" s="411"/>
      <c r="AE159" s="411"/>
      <c r="AF159" s="411"/>
      <c r="AG159" s="411"/>
      <c r="AH159" s="411"/>
      <c r="AI159" s="411"/>
      <c r="AJ159" s="411"/>
      <c r="AK159" s="411"/>
      <c r="AL159" s="411"/>
      <c r="AM159" s="411"/>
      <c r="AN159" s="411"/>
      <c r="AO159" s="411"/>
      <c r="AP159" s="411"/>
      <c r="AQ159" s="411"/>
      <c r="AR159" s="411"/>
      <c r="AS159" s="411"/>
      <c r="AT159" s="411"/>
    </row>
    <row r="160" spans="1:46" s="102" customFormat="1" ht="12" customHeight="1">
      <c r="A160" s="118">
        <v>29</v>
      </c>
      <c r="B160" s="102" t="s">
        <v>295</v>
      </c>
      <c r="C160" s="266" t="str">
        <f>IF(Indata!C164="","",Indata!C164)</f>
        <v/>
      </c>
      <c r="D160" s="192" t="str">
        <f>IF(Indata!D164="","",Indata!D164)</f>
        <v/>
      </c>
      <c r="E160" s="192" t="str">
        <f>IF(Indata!E164="","",Indata!E164)</f>
        <v/>
      </c>
      <c r="F160" s="214" t="str">
        <f>IF(Indata!F164="","",Indata!F164)</f>
        <v/>
      </c>
      <c r="G160" s="192" t="str">
        <f>IF(Indata!G164="","",Indata!G164)</f>
        <v/>
      </c>
      <c r="H160" s="192" t="str">
        <f>IF(Indata!H164="","",Indata!H164)</f>
        <v/>
      </c>
      <c r="I160" s="192" t="str">
        <f>IF(Indata!I164="","",Indata!I164)</f>
        <v/>
      </c>
      <c r="J160" s="194" t="str">
        <f>IF(Indata!J164="","",Indata!J164)</f>
        <v/>
      </c>
      <c r="K160" s="195" t="str">
        <f>IF(Indata!K164="","",Indata!K164)</f>
        <v/>
      </c>
      <c r="L160" s="195" t="str">
        <f>IF(Indata!L164="","",Indata!L164)</f>
        <v/>
      </c>
      <c r="M160" s="195" t="str">
        <f>IF(Indata!M164="","",Indata!M164)</f>
        <v/>
      </c>
      <c r="N160" s="195" t="str">
        <f>IF(Indata!N164="","",Indata!N164)</f>
        <v/>
      </c>
      <c r="O160" s="195" t="str">
        <f>IF(Indata!O164="","",Indata!O164)</f>
        <v/>
      </c>
      <c r="P160" s="195" t="str">
        <f>IF(Indata!P164="","",Indata!P164)</f>
        <v/>
      </c>
      <c r="Q160" s="192" t="str">
        <f>IF(Indata!Q164="","",Indata!Q164)</f>
        <v/>
      </c>
      <c r="R160" s="309" t="str">
        <f>IF(Indata!R164="","",Indata!R164)</f>
        <v/>
      </c>
      <c r="S160" s="411"/>
      <c r="T160" s="411"/>
      <c r="U160" s="411"/>
      <c r="V160" s="411"/>
      <c r="W160" s="411"/>
      <c r="X160" s="411"/>
      <c r="Y160" s="411"/>
      <c r="Z160" s="411"/>
      <c r="AA160" s="411"/>
      <c r="AB160" s="411"/>
      <c r="AC160" s="411"/>
      <c r="AD160" s="411"/>
      <c r="AE160" s="411"/>
      <c r="AF160" s="411"/>
      <c r="AG160" s="411"/>
      <c r="AH160" s="411"/>
      <c r="AI160" s="411"/>
      <c r="AJ160" s="411"/>
      <c r="AK160" s="411"/>
      <c r="AL160" s="411"/>
      <c r="AM160" s="411"/>
      <c r="AN160" s="411"/>
      <c r="AO160" s="411"/>
      <c r="AP160" s="411"/>
      <c r="AQ160" s="411"/>
      <c r="AR160" s="411"/>
      <c r="AS160" s="411"/>
      <c r="AT160" s="411"/>
    </row>
    <row r="161" spans="1:46" s="102" customFormat="1" ht="12" customHeight="1">
      <c r="A161" s="118">
        <v>30</v>
      </c>
      <c r="B161" s="102" t="s">
        <v>296</v>
      </c>
      <c r="C161" s="266" t="str">
        <f>IF(Indata!C165="","",Indata!C165)</f>
        <v/>
      </c>
      <c r="D161" s="192" t="str">
        <f>IF(Indata!D165="","",Indata!D165)</f>
        <v/>
      </c>
      <c r="E161" s="192" t="str">
        <f>IF(Indata!E165="","",Indata!E165)</f>
        <v/>
      </c>
      <c r="F161" s="214" t="str">
        <f>IF(Indata!F165="","",Indata!F165)</f>
        <v/>
      </c>
      <c r="G161" s="192" t="str">
        <f>IF(Indata!G165="","",Indata!G165)</f>
        <v/>
      </c>
      <c r="H161" s="192" t="str">
        <f>IF(Indata!H165="","",Indata!H165)</f>
        <v/>
      </c>
      <c r="I161" s="192" t="str">
        <f>IF(Indata!I165="","",Indata!I165)</f>
        <v/>
      </c>
      <c r="J161" s="194" t="str">
        <f>IF(Indata!J165="","",Indata!J165)</f>
        <v/>
      </c>
      <c r="K161" s="195" t="str">
        <f>IF(Indata!K165="","",Indata!K165)</f>
        <v/>
      </c>
      <c r="L161" s="195" t="str">
        <f>IF(Indata!L165="","",Indata!L165)</f>
        <v/>
      </c>
      <c r="M161" s="195" t="str">
        <f>IF(Indata!M165="","",Indata!M165)</f>
        <v/>
      </c>
      <c r="N161" s="195" t="str">
        <f>IF(Indata!N165="","",Indata!N165)</f>
        <v/>
      </c>
      <c r="O161" s="195" t="str">
        <f>IF(Indata!O165="","",Indata!O165)</f>
        <v/>
      </c>
      <c r="P161" s="195" t="str">
        <f>IF(Indata!P165="","",Indata!P165)</f>
        <v/>
      </c>
      <c r="Q161" s="192" t="str">
        <f>IF(Indata!Q165="","",Indata!Q165)</f>
        <v/>
      </c>
      <c r="R161" s="309" t="str">
        <f>IF(Indata!R165="","",Indata!R165)</f>
        <v/>
      </c>
      <c r="S161" s="411"/>
      <c r="T161" s="411"/>
      <c r="U161" s="411"/>
      <c r="V161" s="411"/>
      <c r="W161" s="411"/>
      <c r="X161" s="411"/>
      <c r="Y161" s="411"/>
      <c r="Z161" s="411"/>
      <c r="AA161" s="411"/>
      <c r="AB161" s="411"/>
      <c r="AC161" s="411"/>
      <c r="AD161" s="411"/>
      <c r="AE161" s="411"/>
      <c r="AF161" s="411"/>
      <c r="AG161" s="411"/>
      <c r="AH161" s="411"/>
      <c r="AI161" s="411"/>
      <c r="AJ161" s="411"/>
      <c r="AK161" s="411"/>
      <c r="AL161" s="411"/>
      <c r="AM161" s="411"/>
      <c r="AN161" s="411"/>
      <c r="AO161" s="411"/>
      <c r="AP161" s="411"/>
      <c r="AQ161" s="411"/>
      <c r="AR161" s="411"/>
      <c r="AS161" s="411"/>
      <c r="AT161" s="411"/>
    </row>
    <row r="162" spans="1:46">
      <c r="A162" s="1">
        <v>200</v>
      </c>
      <c r="B162" s="62"/>
      <c r="C162" s="266"/>
      <c r="D162" s="267"/>
      <c r="E162" s="268"/>
      <c r="F162" s="269"/>
      <c r="G162" s="268"/>
      <c r="H162" s="268"/>
      <c r="I162" s="268"/>
      <c r="J162" s="268"/>
      <c r="K162" s="269"/>
      <c r="L162" s="269"/>
      <c r="M162" s="269"/>
      <c r="N162" s="269"/>
      <c r="O162" s="269"/>
      <c r="P162" s="269"/>
      <c r="Q162" s="268"/>
      <c r="R162" s="307"/>
      <c r="S162" s="388"/>
      <c r="T162" s="388"/>
      <c r="U162" s="388"/>
      <c r="V162" s="388"/>
      <c r="W162" s="388"/>
      <c r="X162" s="388"/>
      <c r="Y162" s="388"/>
      <c r="Z162" s="388"/>
      <c r="AA162" s="388"/>
      <c r="AB162" s="388"/>
      <c r="AC162" s="388"/>
      <c r="AD162" s="388"/>
      <c r="AE162" s="388"/>
      <c r="AF162" s="388"/>
      <c r="AG162" s="388"/>
      <c r="AH162" s="388"/>
      <c r="AI162" s="388"/>
      <c r="AJ162" s="388"/>
      <c r="AK162" s="388"/>
      <c r="AL162" s="388"/>
      <c r="AM162" s="388"/>
      <c r="AN162" s="388"/>
      <c r="AO162" s="388"/>
      <c r="AP162" s="388"/>
      <c r="AQ162" s="388"/>
      <c r="AR162" s="388"/>
      <c r="AS162" s="388"/>
      <c r="AT162" s="388"/>
    </row>
    <row r="163" spans="1:46" s="388" customFormat="1" ht="17.25" customHeight="1">
      <c r="A163" s="381">
        <v>250</v>
      </c>
      <c r="B163" s="382" t="s">
        <v>29</v>
      </c>
      <c r="C163" s="407"/>
      <c r="D163" s="410"/>
      <c r="E163" s="384"/>
      <c r="F163" s="385"/>
      <c r="G163" s="384"/>
      <c r="H163" s="384"/>
      <c r="I163" s="384"/>
      <c r="J163" s="384"/>
      <c r="K163" s="386"/>
      <c r="L163" s="386"/>
      <c r="M163" s="386"/>
      <c r="N163" s="386"/>
      <c r="O163" s="386"/>
      <c r="P163" s="386"/>
      <c r="Q163" s="384"/>
      <c r="R163" s="387"/>
    </row>
    <row r="164" spans="1:46" s="102" customFormat="1" ht="12" customHeight="1">
      <c r="A164" s="117">
        <v>3</v>
      </c>
      <c r="B164" s="102" t="s">
        <v>252</v>
      </c>
      <c r="C164" s="266" t="str">
        <f>IF(Indata!C168="","",Indata!C168)</f>
        <v/>
      </c>
      <c r="D164" s="192" t="str">
        <f>IF(Indata!D168="","",Indata!D168)</f>
        <v/>
      </c>
      <c r="E164" s="192" t="str">
        <f>IF(Indata!E168="","",Indata!E168)</f>
        <v/>
      </c>
      <c r="F164" s="214" t="str">
        <f>IF(Indata!F168="","",Indata!F168)</f>
        <v/>
      </c>
      <c r="G164" s="192" t="str">
        <f>IF(Indata!G168="","",Indata!G168)</f>
        <v/>
      </c>
      <c r="H164" s="192" t="str">
        <f>IF(Indata!H168="","",Indata!H168)</f>
        <v/>
      </c>
      <c r="I164" s="192" t="str">
        <f>IF(Indata!I168="","",Indata!I168)</f>
        <v/>
      </c>
      <c r="J164" s="194" t="str">
        <f>IF(Indata!J168="","",Indata!J168)</f>
        <v/>
      </c>
      <c r="K164" s="195" t="str">
        <f>IF(Indata!K168="","",Indata!K168)</f>
        <v/>
      </c>
      <c r="L164" s="195" t="str">
        <f>IF(Indata!L168="","",Indata!L168)</f>
        <v/>
      </c>
      <c r="M164" s="195" t="str">
        <f>IF(Indata!M168="","",Indata!M168)</f>
        <v/>
      </c>
      <c r="N164" s="195" t="str">
        <f>IF(Indata!N168="","",Indata!N168)</f>
        <v/>
      </c>
      <c r="O164" s="195" t="str">
        <f>IF(Indata!O168="","",Indata!O168)</f>
        <v/>
      </c>
      <c r="P164" s="195" t="str">
        <f>IF(Indata!P168="","",Indata!P168)</f>
        <v/>
      </c>
      <c r="Q164" s="192" t="str">
        <f>IF(Indata!Q168="","",Indata!Q168)</f>
        <v/>
      </c>
      <c r="R164" s="309" t="str">
        <f>IF(Indata!R168="","",Indata!R168)</f>
        <v/>
      </c>
      <c r="S164" s="411"/>
      <c r="T164" s="411"/>
      <c r="U164" s="411"/>
      <c r="V164" s="411"/>
      <c r="W164" s="411"/>
      <c r="X164" s="411"/>
      <c r="Y164" s="411"/>
      <c r="Z164" s="411"/>
      <c r="AA164" s="411"/>
      <c r="AB164" s="411"/>
      <c r="AC164" s="411"/>
      <c r="AD164" s="411"/>
      <c r="AE164" s="411"/>
      <c r="AF164" s="411"/>
      <c r="AG164" s="411"/>
      <c r="AH164" s="411"/>
      <c r="AI164" s="411"/>
      <c r="AJ164" s="411"/>
      <c r="AK164" s="411"/>
      <c r="AL164" s="411"/>
      <c r="AM164" s="411"/>
      <c r="AN164" s="411"/>
      <c r="AO164" s="411"/>
      <c r="AP164" s="411"/>
      <c r="AQ164" s="411"/>
      <c r="AR164" s="411"/>
      <c r="AS164" s="411"/>
      <c r="AT164" s="411"/>
    </row>
    <row r="165" spans="1:46" s="102" customFormat="1" ht="12" customHeight="1">
      <c r="A165" s="117">
        <v>6</v>
      </c>
      <c r="B165" s="102" t="s">
        <v>265</v>
      </c>
      <c r="C165" s="266" t="str">
        <f>IF(Indata!C169="","",Indata!C169)</f>
        <v/>
      </c>
      <c r="D165" s="192" t="str">
        <f>IF(Indata!D169="","",Indata!D169)</f>
        <v/>
      </c>
      <c r="E165" s="192" t="str">
        <f>IF(Indata!E169="","",Indata!E169)</f>
        <v/>
      </c>
      <c r="F165" s="214" t="str">
        <f>IF(Indata!F169="","",Indata!F169)</f>
        <v/>
      </c>
      <c r="G165" s="192" t="str">
        <f>IF(Indata!G169="","",Indata!G169)</f>
        <v/>
      </c>
      <c r="H165" s="192" t="str">
        <f>IF(Indata!H169="","",Indata!H169)</f>
        <v/>
      </c>
      <c r="I165" s="192" t="str">
        <f>IF(Indata!I169="","",Indata!I169)</f>
        <v/>
      </c>
      <c r="J165" s="194" t="str">
        <f>IF(Indata!J169="","",Indata!J169)</f>
        <v/>
      </c>
      <c r="K165" s="195" t="str">
        <f>IF(Indata!K169="","",Indata!K169)</f>
        <v/>
      </c>
      <c r="L165" s="195" t="str">
        <f>IF(Indata!L169="","",Indata!L169)</f>
        <v/>
      </c>
      <c r="M165" s="195" t="str">
        <f>IF(Indata!M169="","",Indata!M169)</f>
        <v/>
      </c>
      <c r="N165" s="195" t="str">
        <f>IF(Indata!N169="","",Indata!N169)</f>
        <v/>
      </c>
      <c r="O165" s="195" t="str">
        <f>IF(Indata!O169="","",Indata!O169)</f>
        <v/>
      </c>
      <c r="P165" s="195" t="str">
        <f>IF(Indata!P169="","",Indata!P169)</f>
        <v/>
      </c>
      <c r="Q165" s="192" t="str">
        <f>IF(Indata!Q169="","",Indata!Q169)</f>
        <v/>
      </c>
      <c r="R165" s="309" t="str">
        <f>IF(Indata!R169="","",Indata!R169)</f>
        <v/>
      </c>
      <c r="S165" s="411"/>
      <c r="T165" s="411"/>
      <c r="U165" s="411"/>
      <c r="V165" s="411"/>
      <c r="W165" s="411"/>
      <c r="X165" s="411"/>
      <c r="Y165" s="411"/>
      <c r="Z165" s="411"/>
      <c r="AA165" s="411"/>
      <c r="AB165" s="411"/>
      <c r="AC165" s="411"/>
      <c r="AD165" s="411"/>
      <c r="AE165" s="411"/>
      <c r="AF165" s="411"/>
      <c r="AG165" s="411"/>
      <c r="AH165" s="411"/>
      <c r="AI165" s="411"/>
      <c r="AJ165" s="411"/>
      <c r="AK165" s="411"/>
      <c r="AL165" s="411"/>
      <c r="AM165" s="411"/>
      <c r="AN165" s="411"/>
      <c r="AO165" s="411"/>
      <c r="AP165" s="411"/>
      <c r="AQ165" s="411"/>
      <c r="AR165" s="411"/>
      <c r="AS165" s="411"/>
      <c r="AT165" s="411"/>
    </row>
    <row r="166" spans="1:46" s="102" customFormat="1" ht="12" customHeight="1">
      <c r="A166" s="117">
        <v>7</v>
      </c>
      <c r="B166" s="102" t="s">
        <v>254</v>
      </c>
      <c r="C166" s="266" t="str">
        <f>IF(Indata!C170="","",Indata!C170)</f>
        <v/>
      </c>
      <c r="D166" s="192" t="str">
        <f>IF(Indata!D170="","",Indata!D170)</f>
        <v/>
      </c>
      <c r="E166" s="192" t="str">
        <f>IF(Indata!E170="","",Indata!E170)</f>
        <v/>
      </c>
      <c r="F166" s="214" t="str">
        <f>IF(Indata!F170="","",Indata!F170)</f>
        <v/>
      </c>
      <c r="G166" s="192" t="str">
        <f>IF(Indata!G170="","",Indata!G170)</f>
        <v/>
      </c>
      <c r="H166" s="192" t="str">
        <f>IF(Indata!H170="","",Indata!H170)</f>
        <v/>
      </c>
      <c r="I166" s="192" t="str">
        <f>IF(Indata!I170="","",Indata!I170)</f>
        <v/>
      </c>
      <c r="J166" s="194" t="str">
        <f>IF(Indata!J170="","",Indata!J170)</f>
        <v/>
      </c>
      <c r="K166" s="195" t="str">
        <f>IF(Indata!K170="","",Indata!K170)</f>
        <v/>
      </c>
      <c r="L166" s="195" t="str">
        <f>IF(Indata!L170="","",Indata!L170)</f>
        <v/>
      </c>
      <c r="M166" s="195" t="str">
        <f>IF(Indata!M170="","",Indata!M170)</f>
        <v/>
      </c>
      <c r="N166" s="195" t="str">
        <f>IF(Indata!N170="","",Indata!N170)</f>
        <v/>
      </c>
      <c r="O166" s="195" t="str">
        <f>IF(Indata!O170="","",Indata!O170)</f>
        <v/>
      </c>
      <c r="P166" s="195" t="str">
        <f>IF(Indata!P170="","",Indata!P170)</f>
        <v/>
      </c>
      <c r="Q166" s="192" t="str">
        <f>IF(Indata!Q170="","",Indata!Q170)</f>
        <v/>
      </c>
      <c r="R166" s="309" t="str">
        <f>IF(Indata!R170="","",Indata!R170)</f>
        <v/>
      </c>
      <c r="S166" s="411"/>
      <c r="T166" s="411"/>
      <c r="U166" s="411"/>
      <c r="V166" s="411"/>
      <c r="W166" s="411"/>
      <c r="X166" s="411"/>
      <c r="Y166" s="411"/>
      <c r="Z166" s="411"/>
      <c r="AA166" s="411"/>
      <c r="AB166" s="411"/>
      <c r="AC166" s="411"/>
      <c r="AD166" s="411"/>
      <c r="AE166" s="411"/>
      <c r="AF166" s="411"/>
      <c r="AG166" s="411"/>
      <c r="AH166" s="411"/>
      <c r="AI166" s="411"/>
      <c r="AJ166" s="411"/>
      <c r="AK166" s="411"/>
      <c r="AL166" s="411"/>
      <c r="AM166" s="411"/>
      <c r="AN166" s="411"/>
      <c r="AO166" s="411"/>
      <c r="AP166" s="411"/>
      <c r="AQ166" s="411"/>
      <c r="AR166" s="411"/>
      <c r="AS166" s="411"/>
      <c r="AT166" s="411"/>
    </row>
    <row r="167" spans="1:46" s="102" customFormat="1" ht="12" customHeight="1">
      <c r="A167" s="117">
        <v>11</v>
      </c>
      <c r="B167" s="102" t="s">
        <v>256</v>
      </c>
      <c r="C167" s="266" t="str">
        <f>IF(Indata!C171="","",Indata!C171)</f>
        <v/>
      </c>
      <c r="D167" s="192" t="str">
        <f>IF(Indata!D171="","",Indata!D171)</f>
        <v/>
      </c>
      <c r="E167" s="192" t="str">
        <f>IF(Indata!E171="","",Indata!E171)</f>
        <v/>
      </c>
      <c r="F167" s="214" t="str">
        <f>IF(Indata!F171="","",Indata!F171)</f>
        <v/>
      </c>
      <c r="G167" s="192" t="str">
        <f>IF(Indata!G171="","",Indata!G171)</f>
        <v/>
      </c>
      <c r="H167" s="192" t="str">
        <f>IF(Indata!H171="","",Indata!H171)</f>
        <v/>
      </c>
      <c r="I167" s="192" t="str">
        <f>IF(Indata!I171="","",Indata!I171)</f>
        <v/>
      </c>
      <c r="J167" s="194" t="str">
        <f>IF(Indata!J171="","",Indata!J171)</f>
        <v/>
      </c>
      <c r="K167" s="195" t="str">
        <f>IF(Indata!K171="","",Indata!K171)</f>
        <v/>
      </c>
      <c r="L167" s="195" t="str">
        <f>IF(Indata!L171="","",Indata!L171)</f>
        <v/>
      </c>
      <c r="M167" s="195" t="str">
        <f>IF(Indata!M171="","",Indata!M171)</f>
        <v/>
      </c>
      <c r="N167" s="195" t="str">
        <f>IF(Indata!N171="","",Indata!N171)</f>
        <v/>
      </c>
      <c r="O167" s="195" t="str">
        <f>IF(Indata!O171="","",Indata!O171)</f>
        <v/>
      </c>
      <c r="P167" s="195" t="str">
        <f>IF(Indata!P171="","",Indata!P171)</f>
        <v/>
      </c>
      <c r="Q167" s="192" t="str">
        <f>IF(Indata!Q171="","",Indata!Q171)</f>
        <v/>
      </c>
      <c r="R167" s="309" t="str">
        <f>IF(Indata!R171="","",Indata!R171)</f>
        <v/>
      </c>
      <c r="S167" s="411"/>
      <c r="T167" s="411"/>
      <c r="U167" s="411"/>
      <c r="V167" s="411"/>
      <c r="W167" s="411"/>
      <c r="X167" s="411"/>
      <c r="Y167" s="411"/>
      <c r="Z167" s="411"/>
      <c r="AA167" s="411"/>
      <c r="AB167" s="411"/>
      <c r="AC167" s="411"/>
      <c r="AD167" s="411"/>
      <c r="AE167" s="411"/>
      <c r="AF167" s="411"/>
      <c r="AG167" s="411"/>
      <c r="AH167" s="411"/>
      <c r="AI167" s="411"/>
      <c r="AJ167" s="411"/>
      <c r="AK167" s="411"/>
      <c r="AL167" s="411"/>
      <c r="AM167" s="411"/>
      <c r="AN167" s="411"/>
      <c r="AO167" s="411"/>
      <c r="AP167" s="411"/>
      <c r="AQ167" s="411"/>
      <c r="AR167" s="411"/>
      <c r="AS167" s="411"/>
      <c r="AT167" s="411"/>
    </row>
    <row r="168" spans="1:46" s="102" customFormat="1" ht="12" customHeight="1">
      <c r="A168" s="118">
        <v>19</v>
      </c>
      <c r="B168" s="102" t="s">
        <v>260</v>
      </c>
      <c r="C168" s="266" t="str">
        <f>IF(Indata!C172="","",Indata!C172)</f>
        <v/>
      </c>
      <c r="D168" s="192" t="str">
        <f>IF(Indata!D172="","",Indata!D172)</f>
        <v/>
      </c>
      <c r="E168" s="192" t="str">
        <f>IF(Indata!E172="","",Indata!E172)</f>
        <v/>
      </c>
      <c r="F168" s="214" t="str">
        <f>IF(Indata!F172="","",Indata!F172)</f>
        <v/>
      </c>
      <c r="G168" s="192" t="str">
        <f>IF(Indata!G172="","",Indata!G172)</f>
        <v/>
      </c>
      <c r="H168" s="192" t="str">
        <f>IF(Indata!H172="","",Indata!H172)</f>
        <v/>
      </c>
      <c r="I168" s="192" t="str">
        <f>IF(Indata!I172="","",Indata!I172)</f>
        <v/>
      </c>
      <c r="J168" s="194" t="str">
        <f>IF(Indata!J172="","",Indata!J172)</f>
        <v/>
      </c>
      <c r="K168" s="195" t="str">
        <f>IF(Indata!K172="","",Indata!K172)</f>
        <v/>
      </c>
      <c r="L168" s="195" t="str">
        <f>IF(Indata!L172="","",Indata!L172)</f>
        <v/>
      </c>
      <c r="M168" s="195" t="str">
        <f>IF(Indata!M172="","",Indata!M172)</f>
        <v/>
      </c>
      <c r="N168" s="195" t="str">
        <f>IF(Indata!N172="","",Indata!N172)</f>
        <v/>
      </c>
      <c r="O168" s="195" t="str">
        <f>IF(Indata!O172="","",Indata!O172)</f>
        <v/>
      </c>
      <c r="P168" s="195" t="str">
        <f>IF(Indata!P172="","",Indata!P172)</f>
        <v/>
      </c>
      <c r="Q168" s="192" t="str">
        <f>IF(Indata!Q172="","",Indata!Q172)</f>
        <v/>
      </c>
      <c r="R168" s="309" t="str">
        <f>IF(Indata!R172="","",Indata!R172)</f>
        <v/>
      </c>
      <c r="S168" s="411"/>
      <c r="T168" s="411"/>
      <c r="U168" s="411"/>
      <c r="V168" s="411"/>
      <c r="W168" s="411"/>
      <c r="X168" s="411"/>
      <c r="Y168" s="411"/>
      <c r="Z168" s="411"/>
      <c r="AA168" s="411"/>
      <c r="AB168" s="411"/>
      <c r="AC168" s="411"/>
      <c r="AD168" s="411"/>
      <c r="AE168" s="411"/>
      <c r="AF168" s="411"/>
      <c r="AG168" s="411"/>
      <c r="AH168" s="411"/>
      <c r="AI168" s="411"/>
      <c r="AJ168" s="411"/>
      <c r="AK168" s="411"/>
      <c r="AL168" s="411"/>
      <c r="AM168" s="411"/>
      <c r="AN168" s="411"/>
      <c r="AO168" s="411"/>
      <c r="AP168" s="411"/>
      <c r="AQ168" s="411"/>
      <c r="AR168" s="411"/>
      <c r="AS168" s="411"/>
      <c r="AT168" s="411"/>
    </row>
    <row r="169" spans="1:46" s="102" customFormat="1" ht="12" customHeight="1">
      <c r="A169" s="117">
        <v>20</v>
      </c>
      <c r="B169" s="102" t="s">
        <v>267</v>
      </c>
      <c r="C169" s="266" t="str">
        <f>IF(Indata!C173="","",Indata!C173)</f>
        <v/>
      </c>
      <c r="D169" s="192" t="str">
        <f>IF(Indata!D173="","",Indata!D173)</f>
        <v/>
      </c>
      <c r="E169" s="192" t="str">
        <f>IF(Indata!E173="","",Indata!E173)</f>
        <v/>
      </c>
      <c r="F169" s="214" t="str">
        <f>IF(Indata!F173="","",Indata!F173)</f>
        <v/>
      </c>
      <c r="G169" s="192" t="str">
        <f>IF(Indata!G173="","",Indata!G173)</f>
        <v/>
      </c>
      <c r="H169" s="192" t="str">
        <f>IF(Indata!H173="","",Indata!H173)</f>
        <v/>
      </c>
      <c r="I169" s="192" t="str">
        <f>IF(Indata!I173="","",Indata!I173)</f>
        <v/>
      </c>
      <c r="J169" s="194" t="str">
        <f>IF(Indata!J173="","",Indata!J173)</f>
        <v/>
      </c>
      <c r="K169" s="195" t="str">
        <f>IF(Indata!K173="","",Indata!K173)</f>
        <v/>
      </c>
      <c r="L169" s="195" t="str">
        <f>IF(Indata!L173="","",Indata!L173)</f>
        <v/>
      </c>
      <c r="M169" s="195" t="str">
        <f>IF(Indata!M173="","",Indata!M173)</f>
        <v/>
      </c>
      <c r="N169" s="195" t="str">
        <f>IF(Indata!N173="","",Indata!N173)</f>
        <v/>
      </c>
      <c r="O169" s="195" t="str">
        <f>IF(Indata!O173="","",Indata!O173)</f>
        <v/>
      </c>
      <c r="P169" s="195" t="str">
        <f>IF(Indata!P173="","",Indata!P173)</f>
        <v/>
      </c>
      <c r="Q169" s="192" t="str">
        <f>IF(Indata!Q173="","",Indata!Q173)</f>
        <v/>
      </c>
      <c r="R169" s="309" t="str">
        <f>IF(Indata!R173="","",Indata!R173)</f>
        <v/>
      </c>
      <c r="S169" s="411"/>
      <c r="T169" s="411"/>
      <c r="U169" s="411"/>
      <c r="V169" s="411"/>
      <c r="W169" s="411"/>
      <c r="X169" s="411"/>
      <c r="Y169" s="411"/>
      <c r="Z169" s="411"/>
      <c r="AA169" s="411"/>
      <c r="AB169" s="411"/>
      <c r="AC169" s="411"/>
      <c r="AD169" s="411"/>
      <c r="AE169" s="411"/>
      <c r="AF169" s="411"/>
      <c r="AG169" s="411"/>
      <c r="AH169" s="411"/>
      <c r="AI169" s="411"/>
      <c r="AJ169" s="411"/>
      <c r="AK169" s="411"/>
      <c r="AL169" s="411"/>
      <c r="AM169" s="411"/>
      <c r="AN169" s="411"/>
      <c r="AO169" s="411"/>
      <c r="AP169" s="411"/>
      <c r="AQ169" s="411"/>
      <c r="AR169" s="411"/>
      <c r="AS169" s="411"/>
      <c r="AT169" s="411"/>
    </row>
    <row r="170" spans="1:46" s="102" customFormat="1" ht="12" customHeight="1">
      <c r="A170" s="117">
        <v>21</v>
      </c>
      <c r="B170" s="102" t="s">
        <v>261</v>
      </c>
      <c r="C170" s="266" t="str">
        <f>IF(Indata!C174="","",Indata!C174)</f>
        <v/>
      </c>
      <c r="D170" s="192" t="str">
        <f>IF(Indata!D174="","",Indata!D174)</f>
        <v/>
      </c>
      <c r="E170" s="192" t="str">
        <f>IF(Indata!E174="","",Indata!E174)</f>
        <v/>
      </c>
      <c r="F170" s="214" t="str">
        <f>IF(Indata!F174="","",Indata!F174)</f>
        <v/>
      </c>
      <c r="G170" s="192" t="str">
        <f>IF(Indata!G174="","",Indata!G174)</f>
        <v/>
      </c>
      <c r="H170" s="192" t="str">
        <f>IF(Indata!H174="","",Indata!H174)</f>
        <v/>
      </c>
      <c r="I170" s="192" t="str">
        <f>IF(Indata!I174="","",Indata!I174)</f>
        <v/>
      </c>
      <c r="J170" s="194" t="str">
        <f>IF(Indata!J174="","",Indata!J174)</f>
        <v/>
      </c>
      <c r="K170" s="195" t="str">
        <f>IF(Indata!K174="","",Indata!K174)</f>
        <v/>
      </c>
      <c r="L170" s="195" t="str">
        <f>IF(Indata!L174="","",Indata!L174)</f>
        <v/>
      </c>
      <c r="M170" s="195" t="str">
        <f>IF(Indata!M174="","",Indata!M174)</f>
        <v/>
      </c>
      <c r="N170" s="195" t="str">
        <f>IF(Indata!N174="","",Indata!N174)</f>
        <v/>
      </c>
      <c r="O170" s="195" t="str">
        <f>IF(Indata!O174="","",Indata!O174)</f>
        <v/>
      </c>
      <c r="P170" s="195" t="str">
        <f>IF(Indata!P174="","",Indata!P174)</f>
        <v/>
      </c>
      <c r="Q170" s="192" t="str">
        <f>IF(Indata!Q174="","",Indata!Q174)</f>
        <v/>
      </c>
      <c r="R170" s="309" t="str">
        <f>IF(Indata!R174="","",Indata!R174)</f>
        <v/>
      </c>
      <c r="S170" s="411"/>
      <c r="T170" s="411"/>
      <c r="U170" s="411"/>
      <c r="V170" s="411"/>
      <c r="W170" s="411"/>
      <c r="X170" s="411"/>
      <c r="Y170" s="411"/>
      <c r="Z170" s="411"/>
      <c r="AA170" s="411"/>
      <c r="AB170" s="411"/>
      <c r="AC170" s="411"/>
      <c r="AD170" s="411"/>
      <c r="AE170" s="411"/>
      <c r="AF170" s="411"/>
      <c r="AG170" s="411"/>
      <c r="AH170" s="411"/>
      <c r="AI170" s="411"/>
      <c r="AJ170" s="411"/>
      <c r="AK170" s="411"/>
      <c r="AL170" s="411"/>
      <c r="AM170" s="411"/>
      <c r="AN170" s="411"/>
      <c r="AO170" s="411"/>
      <c r="AP170" s="411"/>
      <c r="AQ170" s="411"/>
      <c r="AR170" s="411"/>
      <c r="AS170" s="411"/>
      <c r="AT170" s="411"/>
    </row>
    <row r="171" spans="1:46" s="102" customFormat="1" ht="12" customHeight="1">
      <c r="A171" s="117">
        <v>25</v>
      </c>
      <c r="B171" s="102" t="s">
        <v>263</v>
      </c>
      <c r="C171" s="266" t="str">
        <f>IF(Indata!C175="","",Indata!C175)</f>
        <v/>
      </c>
      <c r="D171" s="192" t="str">
        <f>IF(Indata!D175="","",Indata!D175)</f>
        <v/>
      </c>
      <c r="E171" s="192" t="str">
        <f>IF(Indata!E175="","",Indata!E175)</f>
        <v/>
      </c>
      <c r="F171" s="214" t="str">
        <f>IF(Indata!F175="","",Indata!F175)</f>
        <v/>
      </c>
      <c r="G171" s="192" t="str">
        <f>IF(Indata!G175="","",Indata!G175)</f>
        <v/>
      </c>
      <c r="H171" s="192" t="str">
        <f>IF(Indata!H175="","",Indata!H175)</f>
        <v/>
      </c>
      <c r="I171" s="192" t="str">
        <f>IF(Indata!I175="","",Indata!I175)</f>
        <v/>
      </c>
      <c r="J171" s="194" t="str">
        <f>IF(Indata!J175="","",Indata!J175)</f>
        <v/>
      </c>
      <c r="K171" s="195" t="str">
        <f>IF(Indata!K175="","",Indata!K175)</f>
        <v/>
      </c>
      <c r="L171" s="195" t="str">
        <f>IF(Indata!L175="","",Indata!L175)</f>
        <v/>
      </c>
      <c r="M171" s="195" t="str">
        <f>IF(Indata!M175="","",Indata!M175)</f>
        <v/>
      </c>
      <c r="N171" s="195" t="str">
        <f>IF(Indata!N175="","",Indata!N175)</f>
        <v/>
      </c>
      <c r="O171" s="195" t="str">
        <f>IF(Indata!O175="","",Indata!O175)</f>
        <v/>
      </c>
      <c r="P171" s="195" t="str">
        <f>IF(Indata!P175="","",Indata!P175)</f>
        <v/>
      </c>
      <c r="Q171" s="192" t="str">
        <f>IF(Indata!Q175="","",Indata!Q175)</f>
        <v/>
      </c>
      <c r="R171" s="309" t="str">
        <f>IF(Indata!R175="","",Indata!R175)</f>
        <v/>
      </c>
      <c r="S171" s="411"/>
      <c r="T171" s="411"/>
      <c r="U171" s="411"/>
      <c r="V171" s="411"/>
      <c r="W171" s="411"/>
      <c r="X171" s="411"/>
      <c r="Y171" s="411"/>
      <c r="Z171" s="411"/>
      <c r="AA171" s="411"/>
      <c r="AB171" s="411"/>
      <c r="AC171" s="411"/>
      <c r="AD171" s="411"/>
      <c r="AE171" s="411"/>
      <c r="AF171" s="411"/>
      <c r="AG171" s="411"/>
      <c r="AH171" s="411"/>
      <c r="AI171" s="411"/>
      <c r="AJ171" s="411"/>
      <c r="AK171" s="411"/>
      <c r="AL171" s="411"/>
      <c r="AM171" s="411"/>
      <c r="AN171" s="411"/>
      <c r="AO171" s="411"/>
      <c r="AP171" s="411"/>
      <c r="AQ171" s="411"/>
      <c r="AR171" s="411"/>
      <c r="AS171" s="411"/>
      <c r="AT171" s="411"/>
    </row>
    <row r="172" spans="1:46" s="102" customFormat="1" ht="12" customHeight="1">
      <c r="A172" s="118">
        <v>29</v>
      </c>
      <c r="B172" s="102" t="s">
        <v>295</v>
      </c>
      <c r="C172" s="266" t="str">
        <f>IF(Indata!C176="","",Indata!C176)</f>
        <v/>
      </c>
      <c r="D172" s="192" t="str">
        <f>IF(Indata!D176="","",Indata!D176)</f>
        <v/>
      </c>
      <c r="E172" s="192" t="str">
        <f>IF(Indata!E176="","",Indata!E176)</f>
        <v/>
      </c>
      <c r="F172" s="214" t="str">
        <f>IF(Indata!F176="","",Indata!F176)</f>
        <v/>
      </c>
      <c r="G172" s="192" t="str">
        <f>IF(Indata!G176="","",Indata!G176)</f>
        <v/>
      </c>
      <c r="H172" s="192" t="str">
        <f>IF(Indata!H176="","",Indata!H176)</f>
        <v/>
      </c>
      <c r="I172" s="192" t="str">
        <f>IF(Indata!I176="","",Indata!I176)</f>
        <v/>
      </c>
      <c r="J172" s="194" t="str">
        <f>IF(Indata!J176="","",Indata!J176)</f>
        <v/>
      </c>
      <c r="K172" s="195" t="str">
        <f>IF(Indata!K176="","",Indata!K176)</f>
        <v/>
      </c>
      <c r="L172" s="195" t="str">
        <f>IF(Indata!L176="","",Indata!L176)</f>
        <v/>
      </c>
      <c r="M172" s="195" t="str">
        <f>IF(Indata!M176="","",Indata!M176)</f>
        <v/>
      </c>
      <c r="N172" s="195" t="str">
        <f>IF(Indata!N176="","",Indata!N176)</f>
        <v/>
      </c>
      <c r="O172" s="195" t="str">
        <f>IF(Indata!O176="","",Indata!O176)</f>
        <v/>
      </c>
      <c r="P172" s="195" t="str">
        <f>IF(Indata!P176="","",Indata!P176)</f>
        <v/>
      </c>
      <c r="Q172" s="192" t="str">
        <f>IF(Indata!Q176="","",Indata!Q176)</f>
        <v/>
      </c>
      <c r="R172" s="309" t="str">
        <f>IF(Indata!R176="","",Indata!R176)</f>
        <v/>
      </c>
      <c r="S172" s="411"/>
      <c r="T172" s="411"/>
      <c r="U172" s="411"/>
      <c r="V172" s="411"/>
      <c r="W172" s="411"/>
      <c r="X172" s="411"/>
      <c r="Y172" s="411"/>
      <c r="Z172" s="411"/>
      <c r="AA172" s="411"/>
      <c r="AB172" s="411"/>
      <c r="AC172" s="411"/>
      <c r="AD172" s="411"/>
      <c r="AE172" s="411"/>
      <c r="AF172" s="411"/>
      <c r="AG172" s="411"/>
      <c r="AH172" s="411"/>
      <c r="AI172" s="411"/>
      <c r="AJ172" s="411"/>
      <c r="AK172" s="411"/>
      <c r="AL172" s="411"/>
      <c r="AM172" s="411"/>
      <c r="AN172" s="411"/>
      <c r="AO172" s="411"/>
      <c r="AP172" s="411"/>
      <c r="AQ172" s="411"/>
      <c r="AR172" s="411"/>
      <c r="AS172" s="411"/>
      <c r="AT172" s="411"/>
    </row>
    <row r="173" spans="1:46" s="102" customFormat="1" ht="12" customHeight="1">
      <c r="A173" s="118">
        <v>30</v>
      </c>
      <c r="B173" s="102" t="s">
        <v>296</v>
      </c>
      <c r="C173" s="266" t="str">
        <f>IF(Indata!C177="","",Indata!C177)</f>
        <v/>
      </c>
      <c r="D173" s="192" t="str">
        <f>IF(Indata!D177="","",Indata!D177)</f>
        <v/>
      </c>
      <c r="E173" s="192" t="str">
        <f>IF(Indata!E177="","",Indata!E177)</f>
        <v/>
      </c>
      <c r="F173" s="214" t="str">
        <f>IF(Indata!F177="","",Indata!F177)</f>
        <v/>
      </c>
      <c r="G173" s="192" t="str">
        <f>IF(Indata!G177="","",Indata!G177)</f>
        <v/>
      </c>
      <c r="H173" s="192" t="str">
        <f>IF(Indata!H177="","",Indata!H177)</f>
        <v/>
      </c>
      <c r="I173" s="192" t="str">
        <f>IF(Indata!I177="","",Indata!I177)</f>
        <v/>
      </c>
      <c r="J173" s="194" t="str">
        <f>IF(Indata!J177="","",Indata!J177)</f>
        <v/>
      </c>
      <c r="K173" s="195" t="str">
        <f>IF(Indata!K177="","",Indata!K177)</f>
        <v/>
      </c>
      <c r="L173" s="195" t="str">
        <f>IF(Indata!L177="","",Indata!L177)</f>
        <v/>
      </c>
      <c r="M173" s="195" t="str">
        <f>IF(Indata!M177="","",Indata!M177)</f>
        <v/>
      </c>
      <c r="N173" s="195" t="str">
        <f>IF(Indata!N177="","",Indata!N177)</f>
        <v/>
      </c>
      <c r="O173" s="195" t="str">
        <f>IF(Indata!O177="","",Indata!O177)</f>
        <v/>
      </c>
      <c r="P173" s="195" t="str">
        <f>IF(Indata!P177="","",Indata!P177)</f>
        <v/>
      </c>
      <c r="Q173" s="192" t="str">
        <f>IF(Indata!Q177="","",Indata!Q177)</f>
        <v/>
      </c>
      <c r="R173" s="309" t="str">
        <f>IF(Indata!R177="","",Indata!R177)</f>
        <v/>
      </c>
      <c r="S173" s="411"/>
      <c r="T173" s="411"/>
      <c r="U173" s="411"/>
      <c r="V173" s="411"/>
      <c r="W173" s="411"/>
      <c r="X173" s="411"/>
      <c r="Y173" s="411"/>
      <c r="Z173" s="411"/>
      <c r="AA173" s="411"/>
      <c r="AB173" s="411"/>
      <c r="AC173" s="411"/>
      <c r="AD173" s="411"/>
      <c r="AE173" s="411"/>
      <c r="AF173" s="411"/>
      <c r="AG173" s="411"/>
      <c r="AH173" s="411"/>
      <c r="AI173" s="411"/>
      <c r="AJ173" s="411"/>
      <c r="AK173" s="411"/>
      <c r="AL173" s="411"/>
      <c r="AM173" s="411"/>
      <c r="AN173" s="411"/>
      <c r="AO173" s="411"/>
      <c r="AP173" s="411"/>
      <c r="AQ173" s="411"/>
      <c r="AR173" s="411"/>
      <c r="AS173" s="411"/>
      <c r="AT173" s="411"/>
    </row>
    <row r="174" spans="1:46">
      <c r="A174" s="1">
        <v>200</v>
      </c>
      <c r="B174" s="62"/>
      <c r="C174" s="271"/>
      <c r="D174" s="267"/>
      <c r="E174" s="268"/>
      <c r="F174" s="269"/>
      <c r="G174" s="268"/>
      <c r="H174" s="268"/>
      <c r="I174" s="268"/>
      <c r="J174" s="268"/>
      <c r="K174" s="269"/>
      <c r="L174" s="269"/>
      <c r="M174" s="269"/>
      <c r="N174" s="269"/>
      <c r="O174" s="269"/>
      <c r="P174" s="269"/>
      <c r="Q174" s="268"/>
      <c r="R174" s="309"/>
      <c r="S174" s="388"/>
      <c r="T174" s="388"/>
      <c r="U174" s="388"/>
      <c r="V174" s="388"/>
      <c r="W174" s="388"/>
      <c r="X174" s="388"/>
      <c r="Y174" s="388"/>
      <c r="Z174" s="388"/>
      <c r="AA174" s="388"/>
      <c r="AB174" s="388"/>
      <c r="AC174" s="388"/>
      <c r="AD174" s="388"/>
      <c r="AE174" s="388"/>
      <c r="AF174" s="388"/>
      <c r="AG174" s="388"/>
      <c r="AH174" s="388"/>
      <c r="AI174" s="388"/>
      <c r="AJ174" s="388"/>
      <c r="AK174" s="388"/>
      <c r="AL174" s="388"/>
      <c r="AM174" s="388"/>
      <c r="AN174" s="388"/>
      <c r="AO174" s="388"/>
      <c r="AP174" s="388"/>
      <c r="AQ174" s="388"/>
      <c r="AR174" s="388"/>
      <c r="AS174" s="388"/>
      <c r="AT174" s="388"/>
    </row>
    <row r="175" spans="1:46" s="388" customFormat="1" ht="17.25" customHeight="1">
      <c r="A175" s="381">
        <v>250</v>
      </c>
      <c r="B175" s="382" t="s">
        <v>30</v>
      </c>
      <c r="C175" s="408"/>
      <c r="D175" s="384"/>
      <c r="E175" s="384"/>
      <c r="F175" s="385"/>
      <c r="G175" s="384"/>
      <c r="H175" s="384"/>
      <c r="I175" s="384"/>
      <c r="J175" s="384"/>
      <c r="K175" s="386"/>
      <c r="L175" s="386"/>
      <c r="M175" s="386"/>
      <c r="N175" s="386"/>
      <c r="O175" s="386"/>
      <c r="P175" s="386"/>
      <c r="Q175" s="384"/>
      <c r="R175" s="387"/>
    </row>
    <row r="176" spans="1:46" s="102" customFormat="1" ht="12" customHeight="1">
      <c r="A176" s="117">
        <v>3</v>
      </c>
      <c r="B176" s="102" t="s">
        <v>252</v>
      </c>
      <c r="C176" s="266" t="str">
        <f>IF(Indata!C180="","",Indata!C180)</f>
        <v/>
      </c>
      <c r="D176" s="192" t="str">
        <f>IF(Indata!D180="","",Indata!D180)</f>
        <v/>
      </c>
      <c r="E176" s="192" t="str">
        <f>IF(Indata!E180="","",Indata!E180)</f>
        <v/>
      </c>
      <c r="F176" s="214" t="str">
        <f>IF(Indata!F180="","",Indata!F180)</f>
        <v/>
      </c>
      <c r="G176" s="192" t="str">
        <f>IF(Indata!G180="","",Indata!G180)</f>
        <v/>
      </c>
      <c r="H176" s="192" t="str">
        <f>IF(Indata!H180="","",Indata!H180)</f>
        <v/>
      </c>
      <c r="I176" s="192" t="str">
        <f>IF(Indata!I180="","",Indata!I180)</f>
        <v/>
      </c>
      <c r="J176" s="194" t="str">
        <f>IF(Indata!J180="","",Indata!J180)</f>
        <v/>
      </c>
      <c r="K176" s="195" t="str">
        <f>IF(Indata!K180="","",Indata!K180)</f>
        <v/>
      </c>
      <c r="L176" s="195" t="str">
        <f>IF(Indata!L180="","",Indata!L180)</f>
        <v/>
      </c>
      <c r="M176" s="195" t="str">
        <f>IF(Indata!M180="","",Indata!M180)</f>
        <v/>
      </c>
      <c r="N176" s="195" t="str">
        <f>IF(Indata!N180="","",Indata!N180)</f>
        <v/>
      </c>
      <c r="O176" s="195" t="str">
        <f>IF(Indata!O180="","",Indata!O180)</f>
        <v/>
      </c>
      <c r="P176" s="195" t="str">
        <f>IF(Indata!P180="","",Indata!P180)</f>
        <v/>
      </c>
      <c r="Q176" s="192" t="str">
        <f>IF(Indata!Q180="","",Indata!Q180)</f>
        <v/>
      </c>
      <c r="R176" s="309" t="str">
        <f>IF(Indata!R180="","",Indata!R180)</f>
        <v/>
      </c>
      <c r="S176" s="411"/>
      <c r="T176" s="411"/>
      <c r="U176" s="411"/>
      <c r="V176" s="411"/>
      <c r="W176" s="411"/>
      <c r="X176" s="411"/>
      <c r="Y176" s="411"/>
      <c r="Z176" s="411"/>
      <c r="AA176" s="411"/>
      <c r="AB176" s="411"/>
      <c r="AC176" s="411"/>
      <c r="AD176" s="411"/>
      <c r="AE176" s="411"/>
      <c r="AF176" s="411"/>
      <c r="AG176" s="411"/>
      <c r="AH176" s="411"/>
      <c r="AI176" s="411"/>
      <c r="AJ176" s="411"/>
      <c r="AK176" s="411"/>
      <c r="AL176" s="411"/>
      <c r="AM176" s="411"/>
      <c r="AN176" s="411"/>
      <c r="AO176" s="411"/>
      <c r="AP176" s="411"/>
      <c r="AQ176" s="411"/>
      <c r="AR176" s="411"/>
      <c r="AS176" s="411"/>
      <c r="AT176" s="411"/>
    </row>
    <row r="177" spans="1:46" s="102" customFormat="1" ht="12" customHeight="1">
      <c r="A177" s="117">
        <v>5</v>
      </c>
      <c r="B177" s="102" t="s">
        <v>253</v>
      </c>
      <c r="C177" s="266" t="str">
        <f>IF(Indata!C181="","",Indata!C181)</f>
        <v/>
      </c>
      <c r="D177" s="192" t="str">
        <f>IF(Indata!D181="","",Indata!D181)</f>
        <v/>
      </c>
      <c r="E177" s="192" t="str">
        <f>IF(Indata!E181="","",Indata!E181)</f>
        <v/>
      </c>
      <c r="F177" s="214" t="str">
        <f>IF(Indata!F181="","",Indata!F181)</f>
        <v/>
      </c>
      <c r="G177" s="192" t="str">
        <f>IF(Indata!G181="","",Indata!G181)</f>
        <v/>
      </c>
      <c r="H177" s="192" t="str">
        <f>IF(Indata!H181="","",Indata!H181)</f>
        <v/>
      </c>
      <c r="I177" s="192" t="str">
        <f>IF(Indata!I181="","",Indata!I181)</f>
        <v/>
      </c>
      <c r="J177" s="194" t="str">
        <f>IF(Indata!J181="","",Indata!J181)</f>
        <v/>
      </c>
      <c r="K177" s="195" t="str">
        <f>IF(Indata!K181="","",Indata!K181)</f>
        <v/>
      </c>
      <c r="L177" s="195" t="str">
        <f>IF(Indata!L181="","",Indata!L181)</f>
        <v/>
      </c>
      <c r="M177" s="195" t="str">
        <f>IF(Indata!M181="","",Indata!M181)</f>
        <v/>
      </c>
      <c r="N177" s="195" t="str">
        <f>IF(Indata!N181="","",Indata!N181)</f>
        <v/>
      </c>
      <c r="O177" s="195" t="str">
        <f>IF(Indata!O181="","",Indata!O181)</f>
        <v/>
      </c>
      <c r="P177" s="195" t="str">
        <f>IF(Indata!P181="","",Indata!P181)</f>
        <v/>
      </c>
      <c r="Q177" s="192" t="str">
        <f>IF(Indata!Q181="","",Indata!Q181)</f>
        <v/>
      </c>
      <c r="R177" s="309" t="str">
        <f>IF(Indata!R181="","",Indata!R181)</f>
        <v/>
      </c>
      <c r="S177" s="411"/>
      <c r="T177" s="411"/>
      <c r="U177" s="411"/>
      <c r="V177" s="411"/>
      <c r="W177" s="411"/>
      <c r="X177" s="411"/>
      <c r="Y177" s="411"/>
      <c r="Z177" s="411"/>
      <c r="AA177" s="411"/>
      <c r="AB177" s="411"/>
      <c r="AC177" s="411"/>
      <c r="AD177" s="411"/>
      <c r="AE177" s="411"/>
      <c r="AF177" s="411"/>
      <c r="AG177" s="411"/>
      <c r="AH177" s="411"/>
      <c r="AI177" s="411"/>
      <c r="AJ177" s="411"/>
      <c r="AK177" s="411"/>
      <c r="AL177" s="411"/>
      <c r="AM177" s="411"/>
      <c r="AN177" s="411"/>
      <c r="AO177" s="411"/>
      <c r="AP177" s="411"/>
      <c r="AQ177" s="411"/>
      <c r="AR177" s="411"/>
      <c r="AS177" s="411"/>
      <c r="AT177" s="411"/>
    </row>
    <row r="178" spans="1:46" s="102" customFormat="1" ht="12" customHeight="1">
      <c r="A178" s="117">
        <v>6</v>
      </c>
      <c r="B178" s="102" t="s">
        <v>265</v>
      </c>
      <c r="C178" s="266" t="str">
        <f>IF(Indata!C182="","",Indata!C182)</f>
        <v/>
      </c>
      <c r="D178" s="192" t="str">
        <f>IF(Indata!D182="","",Indata!D182)</f>
        <v/>
      </c>
      <c r="E178" s="192" t="str">
        <f>IF(Indata!E182="","",Indata!E182)</f>
        <v/>
      </c>
      <c r="F178" s="214" t="str">
        <f>IF(Indata!F182="","",Indata!F182)</f>
        <v/>
      </c>
      <c r="G178" s="192" t="str">
        <f>IF(Indata!G182="","",Indata!G182)</f>
        <v/>
      </c>
      <c r="H178" s="192" t="str">
        <f>IF(Indata!H182="","",Indata!H182)</f>
        <v/>
      </c>
      <c r="I178" s="192" t="str">
        <f>IF(Indata!I182="","",Indata!I182)</f>
        <v/>
      </c>
      <c r="J178" s="194" t="str">
        <f>IF(Indata!J182="","",Indata!J182)</f>
        <v/>
      </c>
      <c r="K178" s="195" t="str">
        <f>IF(Indata!K182="","",Indata!K182)</f>
        <v/>
      </c>
      <c r="L178" s="195" t="str">
        <f>IF(Indata!L182="","",Indata!L182)</f>
        <v/>
      </c>
      <c r="M178" s="195" t="str">
        <f>IF(Indata!M182="","",Indata!M182)</f>
        <v/>
      </c>
      <c r="N178" s="195" t="str">
        <f>IF(Indata!N182="","",Indata!N182)</f>
        <v/>
      </c>
      <c r="O178" s="195" t="str">
        <f>IF(Indata!O182="","",Indata!O182)</f>
        <v/>
      </c>
      <c r="P178" s="195" t="str">
        <f>IF(Indata!P182="","",Indata!P182)</f>
        <v/>
      </c>
      <c r="Q178" s="192" t="str">
        <f>IF(Indata!Q182="","",Indata!Q182)</f>
        <v/>
      </c>
      <c r="R178" s="309" t="str">
        <f>IF(Indata!R182="","",Indata!R182)</f>
        <v/>
      </c>
      <c r="S178" s="411"/>
      <c r="T178" s="411"/>
      <c r="U178" s="411"/>
      <c r="V178" s="411"/>
      <c r="W178" s="411"/>
      <c r="X178" s="411"/>
      <c r="Y178" s="411"/>
      <c r="Z178" s="411"/>
      <c r="AA178" s="411"/>
      <c r="AB178" s="411"/>
      <c r="AC178" s="411"/>
      <c r="AD178" s="411"/>
      <c r="AE178" s="411"/>
      <c r="AF178" s="411"/>
      <c r="AG178" s="411"/>
      <c r="AH178" s="411"/>
      <c r="AI178" s="411"/>
      <c r="AJ178" s="411"/>
      <c r="AK178" s="411"/>
      <c r="AL178" s="411"/>
      <c r="AM178" s="411"/>
      <c r="AN178" s="411"/>
      <c r="AO178" s="411"/>
      <c r="AP178" s="411"/>
      <c r="AQ178" s="411"/>
      <c r="AR178" s="411"/>
      <c r="AS178" s="411"/>
      <c r="AT178" s="411"/>
    </row>
    <row r="179" spans="1:46" s="102" customFormat="1" ht="12" customHeight="1">
      <c r="A179" s="117">
        <v>7</v>
      </c>
      <c r="B179" s="102" t="s">
        <v>254</v>
      </c>
      <c r="C179" s="266" t="str">
        <f>IF(Indata!C183="","",Indata!C183)</f>
        <v/>
      </c>
      <c r="D179" s="192" t="str">
        <f>IF(Indata!D183="","",Indata!D183)</f>
        <v/>
      </c>
      <c r="E179" s="192" t="str">
        <f>IF(Indata!E183="","",Indata!E183)</f>
        <v/>
      </c>
      <c r="F179" s="214" t="str">
        <f>IF(Indata!F183="","",Indata!F183)</f>
        <v/>
      </c>
      <c r="G179" s="192" t="str">
        <f>IF(Indata!G183="","",Indata!G183)</f>
        <v/>
      </c>
      <c r="H179" s="192" t="str">
        <f>IF(Indata!H183="","",Indata!H183)</f>
        <v/>
      </c>
      <c r="I179" s="192" t="str">
        <f>IF(Indata!I183="","",Indata!I183)</f>
        <v/>
      </c>
      <c r="J179" s="194" t="str">
        <f>IF(Indata!J183="","",Indata!J183)</f>
        <v/>
      </c>
      <c r="K179" s="195" t="str">
        <f>IF(Indata!K183="","",Indata!K183)</f>
        <v/>
      </c>
      <c r="L179" s="195" t="str">
        <f>IF(Indata!L183="","",Indata!L183)</f>
        <v/>
      </c>
      <c r="M179" s="195" t="str">
        <f>IF(Indata!M183="","",Indata!M183)</f>
        <v/>
      </c>
      <c r="N179" s="195" t="str">
        <f>IF(Indata!N183="","",Indata!N183)</f>
        <v/>
      </c>
      <c r="O179" s="195" t="str">
        <f>IF(Indata!O183="","",Indata!O183)</f>
        <v/>
      </c>
      <c r="P179" s="195" t="str">
        <f>IF(Indata!P183="","",Indata!P183)</f>
        <v/>
      </c>
      <c r="Q179" s="192" t="str">
        <f>IF(Indata!Q183="","",Indata!Q183)</f>
        <v/>
      </c>
      <c r="R179" s="309" t="str">
        <f>IF(Indata!R183="","",Indata!R183)</f>
        <v/>
      </c>
      <c r="S179" s="411"/>
      <c r="T179" s="411"/>
      <c r="U179" s="411"/>
      <c r="V179" s="411"/>
      <c r="W179" s="411"/>
      <c r="X179" s="411"/>
      <c r="Y179" s="411"/>
      <c r="Z179" s="411"/>
      <c r="AA179" s="411"/>
      <c r="AB179" s="411"/>
      <c r="AC179" s="411"/>
      <c r="AD179" s="411"/>
      <c r="AE179" s="411"/>
      <c r="AF179" s="411"/>
      <c r="AG179" s="411"/>
      <c r="AH179" s="411"/>
      <c r="AI179" s="411"/>
      <c r="AJ179" s="411"/>
      <c r="AK179" s="411"/>
      <c r="AL179" s="411"/>
      <c r="AM179" s="411"/>
      <c r="AN179" s="411"/>
      <c r="AO179" s="411"/>
      <c r="AP179" s="411"/>
      <c r="AQ179" s="411"/>
      <c r="AR179" s="411"/>
      <c r="AS179" s="411"/>
      <c r="AT179" s="411"/>
    </row>
    <row r="180" spans="1:46" s="102" customFormat="1" ht="12" customHeight="1">
      <c r="A180" s="117">
        <v>9</v>
      </c>
      <c r="B180" s="102" t="s">
        <v>255</v>
      </c>
      <c r="C180" s="266" t="str">
        <f>IF(Indata!C184="","",Indata!C184)</f>
        <v/>
      </c>
      <c r="D180" s="192" t="str">
        <f>IF(Indata!D184="","",Indata!D184)</f>
        <v/>
      </c>
      <c r="E180" s="192" t="str">
        <f>IF(Indata!E184="","",Indata!E184)</f>
        <v/>
      </c>
      <c r="F180" s="214" t="str">
        <f>IF(Indata!F184="","",Indata!F184)</f>
        <v/>
      </c>
      <c r="G180" s="192" t="str">
        <f>IF(Indata!G184="","",Indata!G184)</f>
        <v/>
      </c>
      <c r="H180" s="192" t="str">
        <f>IF(Indata!H184="","",Indata!H184)</f>
        <v/>
      </c>
      <c r="I180" s="192" t="str">
        <f>IF(Indata!I184="","",Indata!I184)</f>
        <v/>
      </c>
      <c r="J180" s="194" t="str">
        <f>IF(Indata!J184="","",Indata!J184)</f>
        <v/>
      </c>
      <c r="K180" s="195" t="str">
        <f>IF(Indata!K184="","",Indata!K184)</f>
        <v/>
      </c>
      <c r="L180" s="195" t="str">
        <f>IF(Indata!L184="","",Indata!L184)</f>
        <v/>
      </c>
      <c r="M180" s="195" t="str">
        <f>IF(Indata!M184="","",Indata!M184)</f>
        <v/>
      </c>
      <c r="N180" s="195" t="str">
        <f>IF(Indata!N184="","",Indata!N184)</f>
        <v/>
      </c>
      <c r="O180" s="195" t="str">
        <f>IF(Indata!O184="","",Indata!O184)</f>
        <v/>
      </c>
      <c r="P180" s="195" t="str">
        <f>IF(Indata!P184="","",Indata!P184)</f>
        <v/>
      </c>
      <c r="Q180" s="192" t="str">
        <f>IF(Indata!Q184="","",Indata!Q184)</f>
        <v/>
      </c>
      <c r="R180" s="309" t="str">
        <f>IF(Indata!R184="","",Indata!R184)</f>
        <v/>
      </c>
      <c r="S180" s="411"/>
      <c r="T180" s="411"/>
      <c r="U180" s="411"/>
      <c r="V180" s="411"/>
      <c r="W180" s="411"/>
      <c r="X180" s="411"/>
      <c r="Y180" s="411"/>
      <c r="Z180" s="411"/>
      <c r="AA180" s="411"/>
      <c r="AB180" s="411"/>
      <c r="AC180" s="411"/>
      <c r="AD180" s="411"/>
      <c r="AE180" s="411"/>
      <c r="AF180" s="411"/>
      <c r="AG180" s="411"/>
      <c r="AH180" s="411"/>
      <c r="AI180" s="411"/>
      <c r="AJ180" s="411"/>
      <c r="AK180" s="411"/>
      <c r="AL180" s="411"/>
      <c r="AM180" s="411"/>
      <c r="AN180" s="411"/>
      <c r="AO180" s="411"/>
      <c r="AP180" s="411"/>
      <c r="AQ180" s="411"/>
      <c r="AR180" s="411"/>
      <c r="AS180" s="411"/>
      <c r="AT180" s="411"/>
    </row>
    <row r="181" spans="1:46" s="102" customFormat="1" ht="12" customHeight="1">
      <c r="A181" s="117">
        <v>11</v>
      </c>
      <c r="B181" s="102" t="s">
        <v>256</v>
      </c>
      <c r="C181" s="266" t="str">
        <f>IF(Indata!C185="","",Indata!C185)</f>
        <v/>
      </c>
      <c r="D181" s="192" t="str">
        <f>IF(Indata!D185="","",Indata!D185)</f>
        <v/>
      </c>
      <c r="E181" s="192" t="str">
        <f>IF(Indata!E185="","",Indata!E185)</f>
        <v/>
      </c>
      <c r="F181" s="214" t="str">
        <f>IF(Indata!F185="","",Indata!F185)</f>
        <v/>
      </c>
      <c r="G181" s="192" t="str">
        <f>IF(Indata!G185="","",Indata!G185)</f>
        <v/>
      </c>
      <c r="H181" s="192" t="str">
        <f>IF(Indata!H185="","",Indata!H185)</f>
        <v/>
      </c>
      <c r="I181" s="192" t="str">
        <f>IF(Indata!I185="","",Indata!I185)</f>
        <v/>
      </c>
      <c r="J181" s="194" t="str">
        <f>IF(Indata!J185="","",Indata!J185)</f>
        <v/>
      </c>
      <c r="K181" s="195" t="str">
        <f>IF(Indata!K185="","",Indata!K185)</f>
        <v/>
      </c>
      <c r="L181" s="195" t="str">
        <f>IF(Indata!L185="","",Indata!L185)</f>
        <v/>
      </c>
      <c r="M181" s="195" t="str">
        <f>IF(Indata!M185="","",Indata!M185)</f>
        <v/>
      </c>
      <c r="N181" s="195" t="str">
        <f>IF(Indata!N185="","",Indata!N185)</f>
        <v/>
      </c>
      <c r="O181" s="195" t="str">
        <f>IF(Indata!O185="","",Indata!O185)</f>
        <v/>
      </c>
      <c r="P181" s="195" t="str">
        <f>IF(Indata!P185="","",Indata!P185)</f>
        <v/>
      </c>
      <c r="Q181" s="192" t="str">
        <f>IF(Indata!Q185="","",Indata!Q185)</f>
        <v/>
      </c>
      <c r="R181" s="309" t="str">
        <f>IF(Indata!R185="","",Indata!R185)</f>
        <v/>
      </c>
      <c r="S181" s="411"/>
      <c r="T181" s="411"/>
      <c r="U181" s="411"/>
      <c r="V181" s="411"/>
      <c r="W181" s="411"/>
      <c r="X181" s="411"/>
      <c r="Y181" s="411"/>
      <c r="Z181" s="411"/>
      <c r="AA181" s="411"/>
      <c r="AB181" s="411"/>
      <c r="AC181" s="411"/>
      <c r="AD181" s="411"/>
      <c r="AE181" s="411"/>
      <c r="AF181" s="411"/>
      <c r="AG181" s="411"/>
      <c r="AH181" s="411"/>
      <c r="AI181" s="411"/>
      <c r="AJ181" s="411"/>
      <c r="AK181" s="411"/>
      <c r="AL181" s="411"/>
      <c r="AM181" s="411"/>
      <c r="AN181" s="411"/>
      <c r="AO181" s="411"/>
      <c r="AP181" s="411"/>
      <c r="AQ181" s="411"/>
      <c r="AR181" s="411"/>
      <c r="AS181" s="411"/>
      <c r="AT181" s="411"/>
    </row>
    <row r="182" spans="1:46" s="102" customFormat="1" ht="12" customHeight="1">
      <c r="A182" s="117">
        <v>13</v>
      </c>
      <c r="B182" s="102" t="s">
        <v>257</v>
      </c>
      <c r="C182" s="266" t="str">
        <f>IF(Indata!C186="","",Indata!C186)</f>
        <v/>
      </c>
      <c r="D182" s="192" t="str">
        <f>IF(Indata!D186="","",Indata!D186)</f>
        <v/>
      </c>
      <c r="E182" s="192" t="str">
        <f>IF(Indata!E186="","",Indata!E186)</f>
        <v/>
      </c>
      <c r="F182" s="214" t="str">
        <f>IF(Indata!F186="","",Indata!F186)</f>
        <v/>
      </c>
      <c r="G182" s="192" t="str">
        <f>IF(Indata!G186="","",Indata!G186)</f>
        <v/>
      </c>
      <c r="H182" s="192" t="str">
        <f>IF(Indata!H186="","",Indata!H186)</f>
        <v/>
      </c>
      <c r="I182" s="192" t="str">
        <f>IF(Indata!I186="","",Indata!I186)</f>
        <v/>
      </c>
      <c r="J182" s="194" t="str">
        <f>IF(Indata!J186="","",Indata!J186)</f>
        <v/>
      </c>
      <c r="K182" s="195" t="str">
        <f>IF(Indata!K186="","",Indata!K186)</f>
        <v/>
      </c>
      <c r="L182" s="195" t="str">
        <f>IF(Indata!L186="","",Indata!L186)</f>
        <v/>
      </c>
      <c r="M182" s="195" t="str">
        <f>IF(Indata!M186="","",Indata!M186)</f>
        <v/>
      </c>
      <c r="N182" s="195" t="str">
        <f>IF(Indata!N186="","",Indata!N186)</f>
        <v/>
      </c>
      <c r="O182" s="195" t="str">
        <f>IF(Indata!O186="","",Indata!O186)</f>
        <v/>
      </c>
      <c r="P182" s="195" t="str">
        <f>IF(Indata!P186="","",Indata!P186)</f>
        <v/>
      </c>
      <c r="Q182" s="192" t="str">
        <f>IF(Indata!Q186="","",Indata!Q186)</f>
        <v/>
      </c>
      <c r="R182" s="309" t="str">
        <f>IF(Indata!R186="","",Indata!R186)</f>
        <v/>
      </c>
      <c r="S182" s="411"/>
      <c r="T182" s="411"/>
      <c r="U182" s="411"/>
      <c r="V182" s="411"/>
      <c r="W182" s="411"/>
      <c r="X182" s="411"/>
      <c r="Y182" s="411"/>
      <c r="Z182" s="411"/>
      <c r="AA182" s="411"/>
      <c r="AB182" s="411"/>
      <c r="AC182" s="411"/>
      <c r="AD182" s="411"/>
      <c r="AE182" s="411"/>
      <c r="AF182" s="411"/>
      <c r="AG182" s="411"/>
      <c r="AH182" s="411"/>
      <c r="AI182" s="411"/>
      <c r="AJ182" s="411"/>
      <c r="AK182" s="411"/>
      <c r="AL182" s="411"/>
      <c r="AM182" s="411"/>
      <c r="AN182" s="411"/>
      <c r="AO182" s="411"/>
      <c r="AP182" s="411"/>
      <c r="AQ182" s="411"/>
      <c r="AR182" s="411"/>
      <c r="AS182" s="411"/>
      <c r="AT182" s="411"/>
    </row>
    <row r="183" spans="1:46" s="102" customFormat="1" ht="12" customHeight="1">
      <c r="A183" s="117">
        <v>15</v>
      </c>
      <c r="B183" s="102" t="s">
        <v>258</v>
      </c>
      <c r="C183" s="266" t="str">
        <f>IF(Indata!C187="","",Indata!C187)</f>
        <v/>
      </c>
      <c r="D183" s="192" t="str">
        <f>IF(Indata!D187="","",Indata!D187)</f>
        <v/>
      </c>
      <c r="E183" s="192" t="str">
        <f>IF(Indata!E187="","",Indata!E187)</f>
        <v/>
      </c>
      <c r="F183" s="214" t="str">
        <f>IF(Indata!F187="","",Indata!F187)</f>
        <v/>
      </c>
      <c r="G183" s="192" t="str">
        <f>IF(Indata!G187="","",Indata!G187)</f>
        <v/>
      </c>
      <c r="H183" s="192" t="str">
        <f>IF(Indata!H187="","",Indata!H187)</f>
        <v/>
      </c>
      <c r="I183" s="192" t="str">
        <f>IF(Indata!I187="","",Indata!I187)</f>
        <v/>
      </c>
      <c r="J183" s="194" t="str">
        <f>IF(Indata!J187="","",Indata!J187)</f>
        <v/>
      </c>
      <c r="K183" s="195" t="str">
        <f>IF(Indata!K187="","",Indata!K187)</f>
        <v/>
      </c>
      <c r="L183" s="195" t="str">
        <f>IF(Indata!L187="","",Indata!L187)</f>
        <v/>
      </c>
      <c r="M183" s="195" t="str">
        <f>IF(Indata!M187="","",Indata!M187)</f>
        <v/>
      </c>
      <c r="N183" s="195" t="str">
        <f>IF(Indata!N187="","",Indata!N187)</f>
        <v/>
      </c>
      <c r="O183" s="195" t="str">
        <f>IF(Indata!O187="","",Indata!O187)</f>
        <v/>
      </c>
      <c r="P183" s="195" t="str">
        <f>IF(Indata!P187="","",Indata!P187)</f>
        <v/>
      </c>
      <c r="Q183" s="192" t="str">
        <f>IF(Indata!Q187="","",Indata!Q187)</f>
        <v/>
      </c>
      <c r="R183" s="309" t="str">
        <f>IF(Indata!R187="","",Indata!R187)</f>
        <v/>
      </c>
      <c r="S183" s="411"/>
      <c r="T183" s="411"/>
      <c r="U183" s="411"/>
      <c r="V183" s="411"/>
      <c r="W183" s="411"/>
      <c r="X183" s="411"/>
      <c r="Y183" s="411"/>
      <c r="Z183" s="411"/>
      <c r="AA183" s="411"/>
      <c r="AB183" s="411"/>
      <c r="AC183" s="411"/>
      <c r="AD183" s="411"/>
      <c r="AE183" s="411"/>
      <c r="AF183" s="411"/>
      <c r="AG183" s="411"/>
      <c r="AH183" s="411"/>
      <c r="AI183" s="411"/>
      <c r="AJ183" s="411"/>
      <c r="AK183" s="411"/>
      <c r="AL183" s="411"/>
      <c r="AM183" s="411"/>
      <c r="AN183" s="411"/>
      <c r="AO183" s="411"/>
      <c r="AP183" s="411"/>
      <c r="AQ183" s="411"/>
      <c r="AR183" s="411"/>
      <c r="AS183" s="411"/>
      <c r="AT183" s="411"/>
    </row>
    <row r="184" spans="1:46" s="102" customFormat="1" ht="12" customHeight="1">
      <c r="A184" s="117">
        <v>17</v>
      </c>
      <c r="B184" s="102" t="s">
        <v>259</v>
      </c>
      <c r="C184" s="266" t="str">
        <f>IF(Indata!C188="","",Indata!C188)</f>
        <v/>
      </c>
      <c r="D184" s="192" t="str">
        <f>IF(Indata!D188="","",Indata!D188)</f>
        <v/>
      </c>
      <c r="E184" s="192" t="str">
        <f>IF(Indata!E188="","",Indata!E188)</f>
        <v/>
      </c>
      <c r="F184" s="214" t="str">
        <f>IF(Indata!F188="","",Indata!F188)</f>
        <v/>
      </c>
      <c r="G184" s="192" t="str">
        <f>IF(Indata!G188="","",Indata!G188)</f>
        <v/>
      </c>
      <c r="H184" s="192" t="str">
        <f>IF(Indata!H188="","",Indata!H188)</f>
        <v/>
      </c>
      <c r="I184" s="192" t="str">
        <f>IF(Indata!I188="","",Indata!I188)</f>
        <v/>
      </c>
      <c r="J184" s="194" t="str">
        <f>IF(Indata!J188="","",Indata!J188)</f>
        <v/>
      </c>
      <c r="K184" s="195" t="str">
        <f>IF(Indata!K188="","",Indata!K188)</f>
        <v/>
      </c>
      <c r="L184" s="195" t="str">
        <f>IF(Indata!L188="","",Indata!L188)</f>
        <v/>
      </c>
      <c r="M184" s="195" t="str">
        <f>IF(Indata!M188="","",Indata!M188)</f>
        <v/>
      </c>
      <c r="N184" s="195" t="str">
        <f>IF(Indata!N188="","",Indata!N188)</f>
        <v/>
      </c>
      <c r="O184" s="195" t="str">
        <f>IF(Indata!O188="","",Indata!O188)</f>
        <v/>
      </c>
      <c r="P184" s="195" t="str">
        <f>IF(Indata!P188="","",Indata!P188)</f>
        <v/>
      </c>
      <c r="Q184" s="192" t="str">
        <f>IF(Indata!Q188="","",Indata!Q188)</f>
        <v/>
      </c>
      <c r="R184" s="309" t="str">
        <f>IF(Indata!R188="","",Indata!R188)</f>
        <v/>
      </c>
      <c r="S184" s="411"/>
      <c r="T184" s="411"/>
      <c r="U184" s="411"/>
      <c r="V184" s="411"/>
      <c r="W184" s="411"/>
      <c r="X184" s="411"/>
      <c r="Y184" s="411"/>
      <c r="Z184" s="411"/>
      <c r="AA184" s="411"/>
      <c r="AB184" s="411"/>
      <c r="AC184" s="411"/>
      <c r="AD184" s="411"/>
      <c r="AE184" s="411"/>
      <c r="AF184" s="411"/>
      <c r="AG184" s="411"/>
      <c r="AH184" s="411"/>
      <c r="AI184" s="411"/>
      <c r="AJ184" s="411"/>
      <c r="AK184" s="411"/>
      <c r="AL184" s="411"/>
      <c r="AM184" s="411"/>
      <c r="AN184" s="411"/>
      <c r="AO184" s="411"/>
      <c r="AP184" s="411"/>
      <c r="AQ184" s="411"/>
      <c r="AR184" s="411"/>
      <c r="AS184" s="411"/>
      <c r="AT184" s="411"/>
    </row>
    <row r="185" spans="1:46" s="102" customFormat="1" ht="12" customHeight="1">
      <c r="A185" s="117">
        <v>18</v>
      </c>
      <c r="B185" s="102" t="s">
        <v>266</v>
      </c>
      <c r="C185" s="266" t="str">
        <f>IF(Indata!C189="","",Indata!C189)</f>
        <v/>
      </c>
      <c r="D185" s="192" t="str">
        <f>IF(Indata!D189="","",Indata!D189)</f>
        <v/>
      </c>
      <c r="E185" s="192" t="str">
        <f>IF(Indata!E189="","",Indata!E189)</f>
        <v/>
      </c>
      <c r="F185" s="214" t="str">
        <f>IF(Indata!F189="","",Indata!F189)</f>
        <v/>
      </c>
      <c r="G185" s="192" t="str">
        <f>IF(Indata!G189="","",Indata!G189)</f>
        <v/>
      </c>
      <c r="H185" s="192" t="str">
        <f>IF(Indata!H189="","",Indata!H189)</f>
        <v/>
      </c>
      <c r="I185" s="192" t="str">
        <f>IF(Indata!I189="","",Indata!I189)</f>
        <v/>
      </c>
      <c r="J185" s="194" t="str">
        <f>IF(Indata!J189="","",Indata!J189)</f>
        <v/>
      </c>
      <c r="K185" s="195" t="str">
        <f>IF(Indata!K189="","",Indata!K189)</f>
        <v/>
      </c>
      <c r="L185" s="195" t="str">
        <f>IF(Indata!L189="","",Indata!L189)</f>
        <v/>
      </c>
      <c r="M185" s="195" t="str">
        <f>IF(Indata!M189="","",Indata!M189)</f>
        <v/>
      </c>
      <c r="N185" s="195" t="str">
        <f>IF(Indata!N189="","",Indata!N189)</f>
        <v/>
      </c>
      <c r="O185" s="195" t="str">
        <f>IF(Indata!O189="","",Indata!O189)</f>
        <v/>
      </c>
      <c r="P185" s="195" t="str">
        <f>IF(Indata!P189="","",Indata!P189)</f>
        <v/>
      </c>
      <c r="Q185" s="192" t="str">
        <f>IF(Indata!Q189="","",Indata!Q189)</f>
        <v/>
      </c>
      <c r="R185" s="309" t="str">
        <f>IF(Indata!R189="","",Indata!R189)</f>
        <v/>
      </c>
      <c r="S185" s="411"/>
      <c r="T185" s="411"/>
      <c r="U185" s="411"/>
      <c r="V185" s="411"/>
      <c r="W185" s="411"/>
      <c r="X185" s="411"/>
      <c r="Y185" s="411"/>
      <c r="Z185" s="411"/>
      <c r="AA185" s="411"/>
      <c r="AB185" s="411"/>
      <c r="AC185" s="411"/>
      <c r="AD185" s="411"/>
      <c r="AE185" s="411"/>
      <c r="AF185" s="411"/>
      <c r="AG185" s="411"/>
      <c r="AH185" s="411"/>
      <c r="AI185" s="411"/>
      <c r="AJ185" s="411"/>
      <c r="AK185" s="411"/>
      <c r="AL185" s="411"/>
      <c r="AM185" s="411"/>
      <c r="AN185" s="411"/>
      <c r="AO185" s="411"/>
      <c r="AP185" s="411"/>
      <c r="AQ185" s="411"/>
      <c r="AR185" s="411"/>
      <c r="AS185" s="411"/>
      <c r="AT185" s="411"/>
    </row>
    <row r="186" spans="1:46" s="102" customFormat="1" ht="12" customHeight="1">
      <c r="A186" s="118">
        <v>19</v>
      </c>
      <c r="B186" s="102" t="s">
        <v>260</v>
      </c>
      <c r="C186" s="266" t="str">
        <f>IF(Indata!C190="","",Indata!C190)</f>
        <v/>
      </c>
      <c r="D186" s="192" t="str">
        <f>IF(Indata!D190="","",Indata!D190)</f>
        <v/>
      </c>
      <c r="E186" s="192" t="str">
        <f>IF(Indata!E190="","",Indata!E190)</f>
        <v/>
      </c>
      <c r="F186" s="214" t="str">
        <f>IF(Indata!F190="","",Indata!F190)</f>
        <v/>
      </c>
      <c r="G186" s="192" t="str">
        <f>IF(Indata!G190="","",Indata!G190)</f>
        <v/>
      </c>
      <c r="H186" s="192" t="str">
        <f>IF(Indata!H190="","",Indata!H190)</f>
        <v/>
      </c>
      <c r="I186" s="192" t="str">
        <f>IF(Indata!I190="","",Indata!I190)</f>
        <v/>
      </c>
      <c r="J186" s="194" t="str">
        <f>IF(Indata!J190="","",Indata!J190)</f>
        <v/>
      </c>
      <c r="K186" s="195" t="str">
        <f>IF(Indata!K190="","",Indata!K190)</f>
        <v/>
      </c>
      <c r="L186" s="195" t="str">
        <f>IF(Indata!L190="","",Indata!L190)</f>
        <v/>
      </c>
      <c r="M186" s="195" t="str">
        <f>IF(Indata!M190="","",Indata!M190)</f>
        <v/>
      </c>
      <c r="N186" s="195" t="str">
        <f>IF(Indata!N190="","",Indata!N190)</f>
        <v/>
      </c>
      <c r="O186" s="195" t="str">
        <f>IF(Indata!O190="","",Indata!O190)</f>
        <v/>
      </c>
      <c r="P186" s="195" t="str">
        <f>IF(Indata!P190="","",Indata!P190)</f>
        <v/>
      </c>
      <c r="Q186" s="192" t="str">
        <f>IF(Indata!Q190="","",Indata!Q190)</f>
        <v/>
      </c>
      <c r="R186" s="309" t="str">
        <f>IF(Indata!R190="","",Indata!R190)</f>
        <v/>
      </c>
      <c r="S186" s="411"/>
      <c r="T186" s="411"/>
      <c r="U186" s="411"/>
      <c r="V186" s="411"/>
      <c r="W186" s="411"/>
      <c r="X186" s="411"/>
      <c r="Y186" s="411"/>
      <c r="Z186" s="411"/>
      <c r="AA186" s="411"/>
      <c r="AB186" s="411"/>
      <c r="AC186" s="411"/>
      <c r="AD186" s="411"/>
      <c r="AE186" s="411"/>
      <c r="AF186" s="411"/>
      <c r="AG186" s="411"/>
      <c r="AH186" s="411"/>
      <c r="AI186" s="411"/>
      <c r="AJ186" s="411"/>
      <c r="AK186" s="411"/>
      <c r="AL186" s="411"/>
      <c r="AM186" s="411"/>
      <c r="AN186" s="411"/>
      <c r="AO186" s="411"/>
      <c r="AP186" s="411"/>
      <c r="AQ186" s="411"/>
      <c r="AR186" s="411"/>
      <c r="AS186" s="411"/>
      <c r="AT186" s="411"/>
    </row>
    <row r="187" spans="1:46" s="102" customFormat="1" ht="12" customHeight="1">
      <c r="A187" s="117">
        <v>20</v>
      </c>
      <c r="B187" s="102" t="s">
        <v>267</v>
      </c>
      <c r="C187" s="266" t="str">
        <f>IF(Indata!C191="","",Indata!C191)</f>
        <v/>
      </c>
      <c r="D187" s="192" t="str">
        <f>IF(Indata!D191="","",Indata!D191)</f>
        <v/>
      </c>
      <c r="E187" s="192" t="str">
        <f>IF(Indata!E191="","",Indata!E191)</f>
        <v/>
      </c>
      <c r="F187" s="214" t="str">
        <f>IF(Indata!F191="","",Indata!F191)</f>
        <v/>
      </c>
      <c r="G187" s="192" t="str">
        <f>IF(Indata!G191="","",Indata!G191)</f>
        <v/>
      </c>
      <c r="H187" s="192" t="str">
        <f>IF(Indata!H191="","",Indata!H191)</f>
        <v/>
      </c>
      <c r="I187" s="192" t="str">
        <f>IF(Indata!I191="","",Indata!I191)</f>
        <v/>
      </c>
      <c r="J187" s="194" t="str">
        <f>IF(Indata!J191="","",Indata!J191)</f>
        <v/>
      </c>
      <c r="K187" s="195" t="str">
        <f>IF(Indata!K191="","",Indata!K191)</f>
        <v/>
      </c>
      <c r="L187" s="195" t="str">
        <f>IF(Indata!L191="","",Indata!L191)</f>
        <v/>
      </c>
      <c r="M187" s="195" t="str">
        <f>IF(Indata!M191="","",Indata!M191)</f>
        <v/>
      </c>
      <c r="N187" s="195" t="str">
        <f>IF(Indata!N191="","",Indata!N191)</f>
        <v/>
      </c>
      <c r="O187" s="195" t="str">
        <f>IF(Indata!O191="","",Indata!O191)</f>
        <v/>
      </c>
      <c r="P187" s="195" t="str">
        <f>IF(Indata!P191="","",Indata!P191)</f>
        <v/>
      </c>
      <c r="Q187" s="192" t="str">
        <f>IF(Indata!Q191="","",Indata!Q191)</f>
        <v/>
      </c>
      <c r="R187" s="309" t="str">
        <f>IF(Indata!R191="","",Indata!R191)</f>
        <v/>
      </c>
      <c r="S187" s="411"/>
      <c r="T187" s="411"/>
      <c r="U187" s="411"/>
      <c r="V187" s="411"/>
      <c r="W187" s="411"/>
      <c r="X187" s="411"/>
      <c r="Y187" s="411"/>
      <c r="Z187" s="411"/>
      <c r="AA187" s="411"/>
      <c r="AB187" s="411"/>
      <c r="AC187" s="411"/>
      <c r="AD187" s="411"/>
      <c r="AE187" s="411"/>
      <c r="AF187" s="411"/>
      <c r="AG187" s="411"/>
      <c r="AH187" s="411"/>
      <c r="AI187" s="411"/>
      <c r="AJ187" s="411"/>
      <c r="AK187" s="411"/>
      <c r="AL187" s="411"/>
      <c r="AM187" s="411"/>
      <c r="AN187" s="411"/>
      <c r="AO187" s="411"/>
      <c r="AP187" s="411"/>
      <c r="AQ187" s="411"/>
      <c r="AR187" s="411"/>
      <c r="AS187" s="411"/>
      <c r="AT187" s="411"/>
    </row>
    <row r="188" spans="1:46" s="102" customFormat="1" ht="12" customHeight="1">
      <c r="A188" s="117">
        <v>21</v>
      </c>
      <c r="B188" s="102" t="s">
        <v>261</v>
      </c>
      <c r="C188" s="266" t="str">
        <f>IF(Indata!C192="","",Indata!C192)</f>
        <v/>
      </c>
      <c r="D188" s="192" t="str">
        <f>IF(Indata!D192="","",Indata!D192)</f>
        <v/>
      </c>
      <c r="E188" s="192" t="str">
        <f>IF(Indata!E192="","",Indata!E192)</f>
        <v/>
      </c>
      <c r="F188" s="214" t="str">
        <f>IF(Indata!F192="","",Indata!F192)</f>
        <v/>
      </c>
      <c r="G188" s="192" t="str">
        <f>IF(Indata!G192="","",Indata!G192)</f>
        <v/>
      </c>
      <c r="H188" s="192" t="str">
        <f>IF(Indata!H192="","",Indata!H192)</f>
        <v/>
      </c>
      <c r="I188" s="192" t="str">
        <f>IF(Indata!I192="","",Indata!I192)</f>
        <v/>
      </c>
      <c r="J188" s="194" t="str">
        <f>IF(Indata!J192="","",Indata!J192)</f>
        <v/>
      </c>
      <c r="K188" s="195" t="str">
        <f>IF(Indata!K192="","",Indata!K192)</f>
        <v/>
      </c>
      <c r="L188" s="195" t="str">
        <f>IF(Indata!L192="","",Indata!L192)</f>
        <v/>
      </c>
      <c r="M188" s="195" t="str">
        <f>IF(Indata!M192="","",Indata!M192)</f>
        <v/>
      </c>
      <c r="N188" s="195" t="str">
        <f>IF(Indata!N192="","",Indata!N192)</f>
        <v/>
      </c>
      <c r="O188" s="195" t="str">
        <f>IF(Indata!O192="","",Indata!O192)</f>
        <v/>
      </c>
      <c r="P188" s="195" t="str">
        <f>IF(Indata!P192="","",Indata!P192)</f>
        <v/>
      </c>
      <c r="Q188" s="192" t="str">
        <f>IF(Indata!Q192="","",Indata!Q192)</f>
        <v/>
      </c>
      <c r="R188" s="309" t="str">
        <f>IF(Indata!R192="","",Indata!R192)</f>
        <v/>
      </c>
      <c r="S188" s="411"/>
      <c r="T188" s="411"/>
      <c r="U188" s="411"/>
      <c r="V188" s="411"/>
      <c r="W188" s="411"/>
      <c r="X188" s="411"/>
      <c r="Y188" s="411"/>
      <c r="Z188" s="411"/>
      <c r="AA188" s="411"/>
      <c r="AB188" s="411"/>
      <c r="AC188" s="411"/>
      <c r="AD188" s="411"/>
      <c r="AE188" s="411"/>
      <c r="AF188" s="411"/>
      <c r="AG188" s="411"/>
      <c r="AH188" s="411"/>
      <c r="AI188" s="411"/>
      <c r="AJ188" s="411"/>
      <c r="AK188" s="411"/>
      <c r="AL188" s="411"/>
      <c r="AM188" s="411"/>
      <c r="AN188" s="411"/>
      <c r="AO188" s="411"/>
      <c r="AP188" s="411"/>
      <c r="AQ188" s="411"/>
      <c r="AR188" s="411"/>
      <c r="AS188" s="411"/>
      <c r="AT188" s="411"/>
    </row>
    <row r="189" spans="1:46" s="102" customFormat="1" ht="12" customHeight="1">
      <c r="A189" s="117">
        <v>22</v>
      </c>
      <c r="B189" s="102" t="s">
        <v>268</v>
      </c>
      <c r="C189" s="266" t="str">
        <f>IF(Indata!C193="","",Indata!C193)</f>
        <v/>
      </c>
      <c r="D189" s="192" t="str">
        <f>IF(Indata!D193="","",Indata!D193)</f>
        <v/>
      </c>
      <c r="E189" s="192" t="str">
        <f>IF(Indata!E193="","",Indata!E193)</f>
        <v/>
      </c>
      <c r="F189" s="214" t="str">
        <f>IF(Indata!F193="","",Indata!F193)</f>
        <v/>
      </c>
      <c r="G189" s="192" t="str">
        <f>IF(Indata!G193="","",Indata!G193)</f>
        <v/>
      </c>
      <c r="H189" s="192" t="str">
        <f>IF(Indata!H193="","",Indata!H193)</f>
        <v/>
      </c>
      <c r="I189" s="192" t="str">
        <f>IF(Indata!I193="","",Indata!I193)</f>
        <v/>
      </c>
      <c r="J189" s="194" t="str">
        <f>IF(Indata!J193="","",Indata!J193)</f>
        <v/>
      </c>
      <c r="K189" s="195" t="str">
        <f>IF(Indata!K193="","",Indata!K193)</f>
        <v/>
      </c>
      <c r="L189" s="195" t="str">
        <f>IF(Indata!L193="","",Indata!L193)</f>
        <v/>
      </c>
      <c r="M189" s="195" t="str">
        <f>IF(Indata!M193="","",Indata!M193)</f>
        <v/>
      </c>
      <c r="N189" s="195" t="str">
        <f>IF(Indata!N193="","",Indata!N193)</f>
        <v/>
      </c>
      <c r="O189" s="195" t="str">
        <f>IF(Indata!O193="","",Indata!O193)</f>
        <v/>
      </c>
      <c r="P189" s="195" t="str">
        <f>IF(Indata!P193="","",Indata!P193)</f>
        <v/>
      </c>
      <c r="Q189" s="192" t="str">
        <f>IF(Indata!Q193="","",Indata!Q193)</f>
        <v/>
      </c>
      <c r="R189" s="309" t="str">
        <f>IF(Indata!R193="","",Indata!R193)</f>
        <v/>
      </c>
      <c r="S189" s="411"/>
      <c r="T189" s="411"/>
      <c r="U189" s="411"/>
      <c r="V189" s="411"/>
      <c r="W189" s="411"/>
      <c r="X189" s="411"/>
      <c r="Y189" s="411"/>
      <c r="Z189" s="411"/>
      <c r="AA189" s="411"/>
      <c r="AB189" s="411"/>
      <c r="AC189" s="411"/>
      <c r="AD189" s="411"/>
      <c r="AE189" s="411"/>
      <c r="AF189" s="411"/>
      <c r="AG189" s="411"/>
      <c r="AH189" s="411"/>
      <c r="AI189" s="411"/>
      <c r="AJ189" s="411"/>
      <c r="AK189" s="411"/>
      <c r="AL189" s="411"/>
      <c r="AM189" s="411"/>
      <c r="AN189" s="411"/>
      <c r="AO189" s="411"/>
      <c r="AP189" s="411"/>
      <c r="AQ189" s="411"/>
      <c r="AR189" s="411"/>
      <c r="AS189" s="411"/>
      <c r="AT189" s="411"/>
    </row>
    <row r="190" spans="1:46" s="102" customFormat="1" ht="12" customHeight="1">
      <c r="A190" s="117">
        <v>23</v>
      </c>
      <c r="B190" s="122" t="s">
        <v>297</v>
      </c>
      <c r="C190" s="266" t="str">
        <f>IF(Indata!C194="","",Indata!C194)</f>
        <v/>
      </c>
      <c r="D190" s="192" t="str">
        <f>IF(Indata!D194="","",Indata!D194)</f>
        <v/>
      </c>
      <c r="E190" s="192" t="str">
        <f>IF(Indata!E194="","",Indata!E194)</f>
        <v/>
      </c>
      <c r="F190" s="214" t="str">
        <f>IF(Indata!F194="","",Indata!F194)</f>
        <v/>
      </c>
      <c r="G190" s="192" t="str">
        <f>IF(Indata!G194="","",Indata!G194)</f>
        <v/>
      </c>
      <c r="H190" s="192" t="str">
        <f>IF(Indata!H194="","",Indata!H194)</f>
        <v/>
      </c>
      <c r="I190" s="192" t="str">
        <f>IF(Indata!I194="","",Indata!I194)</f>
        <v/>
      </c>
      <c r="J190" s="194" t="str">
        <f>IF(Indata!J194="","",Indata!J194)</f>
        <v/>
      </c>
      <c r="K190" s="195" t="str">
        <f>IF(Indata!K194="","",Indata!K194)</f>
        <v/>
      </c>
      <c r="L190" s="195" t="str">
        <f>IF(Indata!L194="","",Indata!L194)</f>
        <v/>
      </c>
      <c r="M190" s="195" t="str">
        <f>IF(Indata!M194="","",Indata!M194)</f>
        <v/>
      </c>
      <c r="N190" s="195" t="str">
        <f>IF(Indata!N194="","",Indata!N194)</f>
        <v/>
      </c>
      <c r="O190" s="195" t="str">
        <f>IF(Indata!O194="","",Indata!O194)</f>
        <v/>
      </c>
      <c r="P190" s="195" t="str">
        <f>IF(Indata!P194="","",Indata!P194)</f>
        <v/>
      </c>
      <c r="Q190" s="192" t="str">
        <f>IF(Indata!Q194="","",Indata!Q194)</f>
        <v/>
      </c>
      <c r="R190" s="309" t="str">
        <f>IF(Indata!R194="","",Indata!R194)</f>
        <v/>
      </c>
      <c r="S190" s="411"/>
      <c r="T190" s="411"/>
      <c r="U190" s="411"/>
      <c r="V190" s="411"/>
      <c r="W190" s="411"/>
      <c r="X190" s="411"/>
      <c r="Y190" s="411"/>
      <c r="Z190" s="411"/>
      <c r="AA190" s="411"/>
      <c r="AB190" s="411"/>
      <c r="AC190" s="411"/>
      <c r="AD190" s="411"/>
      <c r="AE190" s="411"/>
      <c r="AF190" s="411"/>
      <c r="AG190" s="411"/>
      <c r="AH190" s="411"/>
      <c r="AI190" s="411"/>
      <c r="AJ190" s="411"/>
      <c r="AK190" s="411"/>
      <c r="AL190" s="411"/>
      <c r="AM190" s="411"/>
      <c r="AN190" s="411"/>
      <c r="AO190" s="411"/>
      <c r="AP190" s="411"/>
      <c r="AQ190" s="411"/>
      <c r="AR190" s="411"/>
      <c r="AS190" s="411"/>
      <c r="AT190" s="411"/>
    </row>
    <row r="191" spans="1:46" s="102" customFormat="1" ht="12" customHeight="1">
      <c r="A191" s="117">
        <v>24</v>
      </c>
      <c r="B191" s="102" t="s">
        <v>269</v>
      </c>
      <c r="C191" s="266" t="str">
        <f>IF(Indata!C195="","",Indata!C195)</f>
        <v/>
      </c>
      <c r="D191" s="192" t="str">
        <f>IF(Indata!D195="","",Indata!D195)</f>
        <v/>
      </c>
      <c r="E191" s="192" t="str">
        <f>IF(Indata!E195="","",Indata!E195)</f>
        <v/>
      </c>
      <c r="F191" s="214" t="str">
        <f>IF(Indata!F195="","",Indata!F195)</f>
        <v/>
      </c>
      <c r="G191" s="192" t="str">
        <f>IF(Indata!G195="","",Indata!G195)</f>
        <v/>
      </c>
      <c r="H191" s="192" t="str">
        <f>IF(Indata!H195="","",Indata!H195)</f>
        <v/>
      </c>
      <c r="I191" s="192" t="str">
        <f>IF(Indata!I195="","",Indata!I195)</f>
        <v/>
      </c>
      <c r="J191" s="194" t="str">
        <f>IF(Indata!J195="","",Indata!J195)</f>
        <v/>
      </c>
      <c r="K191" s="195" t="str">
        <f>IF(Indata!K195="","",Indata!K195)</f>
        <v/>
      </c>
      <c r="L191" s="195" t="str">
        <f>IF(Indata!L195="","",Indata!L195)</f>
        <v/>
      </c>
      <c r="M191" s="195" t="str">
        <f>IF(Indata!M195="","",Indata!M195)</f>
        <v/>
      </c>
      <c r="N191" s="195" t="str">
        <f>IF(Indata!N195="","",Indata!N195)</f>
        <v/>
      </c>
      <c r="O191" s="195" t="str">
        <f>IF(Indata!O195="","",Indata!O195)</f>
        <v/>
      </c>
      <c r="P191" s="195" t="str">
        <f>IF(Indata!P195="","",Indata!P195)</f>
        <v/>
      </c>
      <c r="Q191" s="192" t="str">
        <f>IF(Indata!Q195="","",Indata!Q195)</f>
        <v/>
      </c>
      <c r="R191" s="309" t="str">
        <f>IF(Indata!R195="","",Indata!R195)</f>
        <v/>
      </c>
      <c r="S191" s="411"/>
      <c r="T191" s="411"/>
      <c r="U191" s="411"/>
      <c r="V191" s="411"/>
      <c r="W191" s="411"/>
      <c r="X191" s="411"/>
      <c r="Y191" s="411"/>
      <c r="Z191" s="411"/>
      <c r="AA191" s="411"/>
      <c r="AB191" s="411"/>
      <c r="AC191" s="411"/>
      <c r="AD191" s="411"/>
      <c r="AE191" s="411"/>
      <c r="AF191" s="411"/>
      <c r="AG191" s="411"/>
      <c r="AH191" s="411"/>
      <c r="AI191" s="411"/>
      <c r="AJ191" s="411"/>
      <c r="AK191" s="411"/>
      <c r="AL191" s="411"/>
      <c r="AM191" s="411"/>
      <c r="AN191" s="411"/>
      <c r="AO191" s="411"/>
      <c r="AP191" s="411"/>
      <c r="AQ191" s="411"/>
      <c r="AR191" s="411"/>
      <c r="AS191" s="411"/>
      <c r="AT191" s="411"/>
    </row>
    <row r="192" spans="1:46" s="102" customFormat="1" ht="12" customHeight="1">
      <c r="A192" s="117">
        <v>25</v>
      </c>
      <c r="B192" s="102" t="s">
        <v>263</v>
      </c>
      <c r="C192" s="266" t="str">
        <f>IF(Indata!C196="","",Indata!C196)</f>
        <v/>
      </c>
      <c r="D192" s="192" t="str">
        <f>IF(Indata!D196="","",Indata!D196)</f>
        <v/>
      </c>
      <c r="E192" s="192" t="str">
        <f>IF(Indata!E196="","",Indata!E196)</f>
        <v/>
      </c>
      <c r="F192" s="214" t="str">
        <f>IF(Indata!F196="","",Indata!F196)</f>
        <v/>
      </c>
      <c r="G192" s="192" t="str">
        <f>IF(Indata!G196="","",Indata!G196)</f>
        <v/>
      </c>
      <c r="H192" s="192" t="str">
        <f>IF(Indata!H196="","",Indata!H196)</f>
        <v/>
      </c>
      <c r="I192" s="192" t="str">
        <f>IF(Indata!I196="","",Indata!I196)</f>
        <v/>
      </c>
      <c r="J192" s="194" t="str">
        <f>IF(Indata!J196="","",Indata!J196)</f>
        <v/>
      </c>
      <c r="K192" s="195" t="str">
        <f>IF(Indata!K196="","",Indata!K196)</f>
        <v/>
      </c>
      <c r="L192" s="195" t="str">
        <f>IF(Indata!L196="","",Indata!L196)</f>
        <v/>
      </c>
      <c r="M192" s="195" t="str">
        <f>IF(Indata!M196="","",Indata!M196)</f>
        <v/>
      </c>
      <c r="N192" s="195" t="str">
        <f>IF(Indata!N196="","",Indata!N196)</f>
        <v/>
      </c>
      <c r="O192" s="195" t="str">
        <f>IF(Indata!O196="","",Indata!O196)</f>
        <v/>
      </c>
      <c r="P192" s="195" t="str">
        <f>IF(Indata!P196="","",Indata!P196)</f>
        <v/>
      </c>
      <c r="Q192" s="192" t="str">
        <f>IF(Indata!Q196="","",Indata!Q196)</f>
        <v/>
      </c>
      <c r="R192" s="309" t="str">
        <f>IF(Indata!R196="","",Indata!R196)</f>
        <v/>
      </c>
      <c r="S192" s="411"/>
      <c r="T192" s="411"/>
      <c r="U192" s="411"/>
      <c r="V192" s="411"/>
      <c r="W192" s="411"/>
      <c r="X192" s="411"/>
      <c r="Y192" s="411"/>
      <c r="Z192" s="411"/>
      <c r="AA192" s="411"/>
      <c r="AB192" s="411"/>
      <c r="AC192" s="411"/>
      <c r="AD192" s="411"/>
      <c r="AE192" s="411"/>
      <c r="AF192" s="411"/>
      <c r="AG192" s="411"/>
      <c r="AH192" s="411"/>
      <c r="AI192" s="411"/>
      <c r="AJ192" s="411"/>
      <c r="AK192" s="411"/>
      <c r="AL192" s="411"/>
      <c r="AM192" s="411"/>
      <c r="AN192" s="411"/>
      <c r="AO192" s="411"/>
      <c r="AP192" s="411"/>
      <c r="AQ192" s="411"/>
      <c r="AR192" s="411"/>
      <c r="AS192" s="411"/>
      <c r="AT192" s="411"/>
    </row>
    <row r="193" spans="1:46" s="102" customFormat="1" ht="12" customHeight="1">
      <c r="A193" s="117">
        <v>27</v>
      </c>
      <c r="B193" s="102" t="s">
        <v>264</v>
      </c>
      <c r="C193" s="266" t="str">
        <f>IF(Indata!C197="","",Indata!C197)</f>
        <v/>
      </c>
      <c r="D193" s="192" t="str">
        <f>IF(Indata!D197="","",Indata!D197)</f>
        <v/>
      </c>
      <c r="E193" s="192" t="str">
        <f>IF(Indata!E197="","",Indata!E197)</f>
        <v/>
      </c>
      <c r="F193" s="214" t="str">
        <f>IF(Indata!F197="","",Indata!F197)</f>
        <v/>
      </c>
      <c r="G193" s="192" t="str">
        <f>IF(Indata!G197="","",Indata!G197)</f>
        <v/>
      </c>
      <c r="H193" s="192" t="str">
        <f>IF(Indata!H197="","",Indata!H197)</f>
        <v/>
      </c>
      <c r="I193" s="192" t="str">
        <f>IF(Indata!I197="","",Indata!I197)</f>
        <v/>
      </c>
      <c r="J193" s="194" t="str">
        <f>IF(Indata!J197="","",Indata!J197)</f>
        <v/>
      </c>
      <c r="K193" s="195" t="str">
        <f>IF(Indata!K197="","",Indata!K197)</f>
        <v/>
      </c>
      <c r="L193" s="195" t="str">
        <f>IF(Indata!L197="","",Indata!L197)</f>
        <v/>
      </c>
      <c r="M193" s="195" t="str">
        <f>IF(Indata!M197="","",Indata!M197)</f>
        <v/>
      </c>
      <c r="N193" s="195" t="str">
        <f>IF(Indata!N197="","",Indata!N197)</f>
        <v/>
      </c>
      <c r="O193" s="195" t="str">
        <f>IF(Indata!O197="","",Indata!O197)</f>
        <v/>
      </c>
      <c r="P193" s="195" t="str">
        <f>IF(Indata!P197="","",Indata!P197)</f>
        <v/>
      </c>
      <c r="Q193" s="192" t="str">
        <f>IF(Indata!Q197="","",Indata!Q197)</f>
        <v/>
      </c>
      <c r="R193" s="309" t="str">
        <f>IF(Indata!R197="","",Indata!R197)</f>
        <v/>
      </c>
      <c r="S193" s="411"/>
      <c r="T193" s="411"/>
      <c r="U193" s="411"/>
      <c r="V193" s="411"/>
      <c r="W193" s="411"/>
      <c r="X193" s="411"/>
      <c r="Y193" s="411"/>
      <c r="Z193" s="411"/>
      <c r="AA193" s="411"/>
      <c r="AB193" s="411"/>
      <c r="AC193" s="411"/>
      <c r="AD193" s="411"/>
      <c r="AE193" s="411"/>
      <c r="AF193" s="411"/>
      <c r="AG193" s="411"/>
      <c r="AH193" s="411"/>
      <c r="AI193" s="411"/>
      <c r="AJ193" s="411"/>
      <c r="AK193" s="411"/>
      <c r="AL193" s="411"/>
      <c r="AM193" s="411"/>
      <c r="AN193" s="411"/>
      <c r="AO193" s="411"/>
      <c r="AP193" s="411"/>
      <c r="AQ193" s="411"/>
      <c r="AR193" s="411"/>
      <c r="AS193" s="411"/>
      <c r="AT193" s="411"/>
    </row>
    <row r="194" spans="1:46" s="102" customFormat="1" ht="12" customHeight="1">
      <c r="A194" s="118">
        <v>29</v>
      </c>
      <c r="B194" s="102" t="s">
        <v>295</v>
      </c>
      <c r="C194" s="266" t="str">
        <f>IF(Indata!C198="","",Indata!C198)</f>
        <v/>
      </c>
      <c r="D194" s="192" t="str">
        <f>IF(Indata!D198="","",Indata!D198)</f>
        <v/>
      </c>
      <c r="E194" s="192" t="str">
        <f>IF(Indata!E198="","",Indata!E198)</f>
        <v/>
      </c>
      <c r="F194" s="214" t="str">
        <f>IF(Indata!F198="","",Indata!F198)</f>
        <v/>
      </c>
      <c r="G194" s="192" t="str">
        <f>IF(Indata!G198="","",Indata!G198)</f>
        <v/>
      </c>
      <c r="H194" s="192" t="str">
        <f>IF(Indata!H198="","",Indata!H198)</f>
        <v/>
      </c>
      <c r="I194" s="192" t="str">
        <f>IF(Indata!I198="","",Indata!I198)</f>
        <v/>
      </c>
      <c r="J194" s="194" t="str">
        <f>IF(Indata!J198="","",Indata!J198)</f>
        <v/>
      </c>
      <c r="K194" s="195" t="str">
        <f>IF(Indata!K198="","",Indata!K198)</f>
        <v/>
      </c>
      <c r="L194" s="195" t="str">
        <f>IF(Indata!L198="","",Indata!L198)</f>
        <v/>
      </c>
      <c r="M194" s="195" t="str">
        <f>IF(Indata!M198="","",Indata!M198)</f>
        <v/>
      </c>
      <c r="N194" s="195" t="str">
        <f>IF(Indata!N198="","",Indata!N198)</f>
        <v/>
      </c>
      <c r="O194" s="195" t="str">
        <f>IF(Indata!O198="","",Indata!O198)</f>
        <v/>
      </c>
      <c r="P194" s="195" t="str">
        <f>IF(Indata!P198="","",Indata!P198)</f>
        <v/>
      </c>
      <c r="Q194" s="192" t="str">
        <f>IF(Indata!Q198="","",Indata!Q198)</f>
        <v/>
      </c>
      <c r="R194" s="309" t="str">
        <f>IF(Indata!R198="","",Indata!R198)</f>
        <v/>
      </c>
      <c r="S194" s="411"/>
      <c r="T194" s="411"/>
      <c r="U194" s="411"/>
      <c r="V194" s="411"/>
      <c r="W194" s="411"/>
      <c r="X194" s="411"/>
      <c r="Y194" s="411"/>
      <c r="Z194" s="411"/>
      <c r="AA194" s="411"/>
      <c r="AB194" s="411"/>
      <c r="AC194" s="411"/>
      <c r="AD194" s="411"/>
      <c r="AE194" s="411"/>
      <c r="AF194" s="411"/>
      <c r="AG194" s="411"/>
      <c r="AH194" s="411"/>
      <c r="AI194" s="411"/>
      <c r="AJ194" s="411"/>
      <c r="AK194" s="411"/>
      <c r="AL194" s="411"/>
      <c r="AM194" s="411"/>
      <c r="AN194" s="411"/>
      <c r="AO194" s="411"/>
      <c r="AP194" s="411"/>
      <c r="AQ194" s="411"/>
      <c r="AR194" s="411"/>
      <c r="AS194" s="411"/>
      <c r="AT194" s="411"/>
    </row>
    <row r="195" spans="1:46" s="102" customFormat="1" ht="12" customHeight="1">
      <c r="A195" s="118">
        <v>30</v>
      </c>
      <c r="B195" s="102" t="s">
        <v>296</v>
      </c>
      <c r="C195" s="266" t="str">
        <f>IF(Indata!C199="","",Indata!C199)</f>
        <v/>
      </c>
      <c r="D195" s="192" t="str">
        <f>IF(Indata!D199="","",Indata!D199)</f>
        <v/>
      </c>
      <c r="E195" s="192" t="str">
        <f>IF(Indata!E199="","",Indata!E199)</f>
        <v/>
      </c>
      <c r="F195" s="214" t="str">
        <f>IF(Indata!F199="","",Indata!F199)</f>
        <v/>
      </c>
      <c r="G195" s="192" t="str">
        <f>IF(Indata!G199="","",Indata!G199)</f>
        <v/>
      </c>
      <c r="H195" s="192" t="str">
        <f>IF(Indata!H199="","",Indata!H199)</f>
        <v/>
      </c>
      <c r="I195" s="192" t="str">
        <f>IF(Indata!I199="","",Indata!I199)</f>
        <v/>
      </c>
      <c r="J195" s="194" t="str">
        <f>IF(Indata!J199="","",Indata!J199)</f>
        <v/>
      </c>
      <c r="K195" s="195" t="str">
        <f>IF(Indata!K199="","",Indata!K199)</f>
        <v/>
      </c>
      <c r="L195" s="195" t="str">
        <f>IF(Indata!L199="","",Indata!L199)</f>
        <v/>
      </c>
      <c r="M195" s="195" t="str">
        <f>IF(Indata!M199="","",Indata!M199)</f>
        <v/>
      </c>
      <c r="N195" s="195" t="str">
        <f>IF(Indata!N199="","",Indata!N199)</f>
        <v/>
      </c>
      <c r="O195" s="195" t="str">
        <f>IF(Indata!O199="","",Indata!O199)</f>
        <v/>
      </c>
      <c r="P195" s="195" t="str">
        <f>IF(Indata!P199="","",Indata!P199)</f>
        <v/>
      </c>
      <c r="Q195" s="192" t="str">
        <f>IF(Indata!Q199="","",Indata!Q199)</f>
        <v/>
      </c>
      <c r="R195" s="309" t="str">
        <f>IF(Indata!R199="","",Indata!R199)</f>
        <v/>
      </c>
      <c r="S195" s="411"/>
      <c r="T195" s="411"/>
      <c r="U195" s="411"/>
      <c r="V195" s="411"/>
      <c r="W195" s="411"/>
      <c r="X195" s="411"/>
      <c r="Y195" s="411"/>
      <c r="Z195" s="411"/>
      <c r="AA195" s="411"/>
      <c r="AB195" s="411"/>
      <c r="AC195" s="411"/>
      <c r="AD195" s="411"/>
      <c r="AE195" s="411"/>
      <c r="AF195" s="411"/>
      <c r="AG195" s="411"/>
      <c r="AH195" s="411"/>
      <c r="AI195" s="411"/>
      <c r="AJ195" s="411"/>
      <c r="AK195" s="411"/>
      <c r="AL195" s="411"/>
      <c r="AM195" s="411"/>
      <c r="AN195" s="411"/>
      <c r="AO195" s="411"/>
      <c r="AP195" s="411"/>
      <c r="AQ195" s="411"/>
      <c r="AR195" s="411"/>
      <c r="AS195" s="411"/>
      <c r="AT195" s="411"/>
    </row>
    <row r="196" spans="1:46">
      <c r="A196" s="1">
        <v>200</v>
      </c>
      <c r="B196" s="62"/>
      <c r="C196" s="270"/>
      <c r="D196" s="267"/>
      <c r="E196" s="268"/>
      <c r="F196" s="269"/>
      <c r="G196" s="268"/>
      <c r="H196" s="268"/>
      <c r="I196" s="268"/>
      <c r="J196" s="268"/>
      <c r="K196" s="269"/>
      <c r="L196" s="269"/>
      <c r="M196" s="269"/>
      <c r="N196" s="269"/>
      <c r="O196" s="269"/>
      <c r="P196" s="269"/>
      <c r="Q196" s="268"/>
      <c r="R196" s="309"/>
      <c r="S196" s="388"/>
      <c r="T196" s="388"/>
      <c r="U196" s="388"/>
      <c r="V196" s="388"/>
      <c r="W196" s="388"/>
      <c r="X196" s="388"/>
      <c r="Y196" s="388"/>
      <c r="Z196" s="388"/>
      <c r="AA196" s="388"/>
      <c r="AB196" s="388"/>
      <c r="AC196" s="388"/>
      <c r="AD196" s="388"/>
      <c r="AE196" s="388"/>
      <c r="AF196" s="388"/>
      <c r="AG196" s="388"/>
      <c r="AH196" s="388"/>
      <c r="AI196" s="388"/>
      <c r="AJ196" s="388"/>
      <c r="AK196" s="388"/>
      <c r="AL196" s="388"/>
      <c r="AM196" s="388"/>
      <c r="AN196" s="388"/>
      <c r="AO196" s="388"/>
      <c r="AP196" s="388"/>
      <c r="AQ196" s="388"/>
      <c r="AR196" s="388"/>
      <c r="AS196" s="388"/>
      <c r="AT196" s="388"/>
    </row>
    <row r="197" spans="1:46" s="388" customFormat="1" ht="17.25" customHeight="1">
      <c r="A197" s="381">
        <v>250</v>
      </c>
      <c r="B197" s="382" t="s">
        <v>31</v>
      </c>
      <c r="C197" s="407"/>
      <c r="D197" s="384"/>
      <c r="E197" s="384"/>
      <c r="F197" s="385"/>
      <c r="G197" s="384"/>
      <c r="H197" s="384"/>
      <c r="I197" s="384"/>
      <c r="J197" s="384"/>
      <c r="K197" s="386"/>
      <c r="L197" s="386"/>
      <c r="M197" s="386"/>
      <c r="N197" s="386"/>
      <c r="O197" s="386"/>
      <c r="P197" s="386"/>
      <c r="Q197" s="384"/>
      <c r="R197" s="387"/>
    </row>
    <row r="198" spans="1:46" s="102" customFormat="1">
      <c r="A198" s="117">
        <v>3</v>
      </c>
      <c r="B198" s="102" t="s">
        <v>252</v>
      </c>
      <c r="C198" s="266" t="str">
        <f>IF(Indata!C202="","",Indata!C202)</f>
        <v/>
      </c>
      <c r="D198" s="192" t="str">
        <f>IF(Indata!D202="","",Indata!D202)</f>
        <v/>
      </c>
      <c r="E198" s="192" t="str">
        <f>IF(Indata!E202="","",Indata!E202)</f>
        <v/>
      </c>
      <c r="F198" s="214" t="str">
        <f>IF(Indata!F202="","",Indata!F202)</f>
        <v/>
      </c>
      <c r="G198" s="192" t="str">
        <f>IF(Indata!G202="","",Indata!G202)</f>
        <v/>
      </c>
      <c r="H198" s="192" t="str">
        <f>IF(Indata!H202="","",Indata!H202)</f>
        <v/>
      </c>
      <c r="I198" s="192" t="str">
        <f>IF(Indata!I202="","",Indata!I202)</f>
        <v/>
      </c>
      <c r="J198" s="194" t="str">
        <f>IF(Indata!J202="","",Indata!J202)</f>
        <v/>
      </c>
      <c r="K198" s="195" t="str">
        <f>IF(Indata!K202="","",Indata!K202)</f>
        <v/>
      </c>
      <c r="L198" s="195" t="str">
        <f>IF(Indata!L202="","",Indata!L202)</f>
        <v/>
      </c>
      <c r="M198" s="195" t="str">
        <f>IF(Indata!M202="","",Indata!M202)</f>
        <v/>
      </c>
      <c r="N198" s="195" t="str">
        <f>IF(Indata!N202="","",Indata!N202)</f>
        <v/>
      </c>
      <c r="O198" s="195" t="str">
        <f>IF(Indata!O202="","",Indata!O202)</f>
        <v/>
      </c>
      <c r="P198" s="195" t="str">
        <f>IF(Indata!P202="","",Indata!P202)</f>
        <v/>
      </c>
      <c r="Q198" s="192" t="str">
        <f>IF(Indata!Q202="","",Indata!Q202)</f>
        <v/>
      </c>
      <c r="R198" s="309" t="str">
        <f>IF(Indata!R202="","",Indata!R202)</f>
        <v/>
      </c>
      <c r="S198" s="411"/>
      <c r="T198" s="411"/>
      <c r="U198" s="411"/>
      <c r="V198" s="411"/>
      <c r="W198" s="411"/>
      <c r="X198" s="411"/>
      <c r="Y198" s="411"/>
      <c r="Z198" s="411"/>
      <c r="AA198" s="411"/>
      <c r="AB198" s="411"/>
      <c r="AC198" s="411"/>
      <c r="AD198" s="411"/>
      <c r="AE198" s="411"/>
      <c r="AF198" s="411"/>
      <c r="AG198" s="411"/>
      <c r="AH198" s="411"/>
      <c r="AI198" s="411"/>
      <c r="AJ198" s="411"/>
      <c r="AK198" s="411"/>
      <c r="AL198" s="411"/>
      <c r="AM198" s="411"/>
      <c r="AN198" s="411"/>
      <c r="AO198" s="411"/>
      <c r="AP198" s="411"/>
      <c r="AQ198" s="411"/>
      <c r="AR198" s="411"/>
      <c r="AS198" s="411"/>
      <c r="AT198" s="411"/>
    </row>
    <row r="199" spans="1:46" s="102" customFormat="1">
      <c r="A199" s="117">
        <v>6</v>
      </c>
      <c r="B199" s="102" t="s">
        <v>265</v>
      </c>
      <c r="C199" s="266" t="str">
        <f>IF(Indata!C203="","",Indata!C203)</f>
        <v/>
      </c>
      <c r="D199" s="192" t="str">
        <f>IF(Indata!D203="","",Indata!D203)</f>
        <v/>
      </c>
      <c r="E199" s="192" t="str">
        <f>IF(Indata!E203="","",Indata!E203)</f>
        <v/>
      </c>
      <c r="F199" s="214" t="str">
        <f>IF(Indata!F203="","",Indata!F203)</f>
        <v/>
      </c>
      <c r="G199" s="192" t="str">
        <f>IF(Indata!G203="","",Indata!G203)</f>
        <v/>
      </c>
      <c r="H199" s="192" t="str">
        <f>IF(Indata!H203="","",Indata!H203)</f>
        <v/>
      </c>
      <c r="I199" s="192" t="str">
        <f>IF(Indata!I203="","",Indata!I203)</f>
        <v/>
      </c>
      <c r="J199" s="194" t="str">
        <f>IF(Indata!J203="","",Indata!J203)</f>
        <v/>
      </c>
      <c r="K199" s="195" t="str">
        <f>IF(Indata!K203="","",Indata!K203)</f>
        <v/>
      </c>
      <c r="L199" s="195" t="str">
        <f>IF(Indata!L203="","",Indata!L203)</f>
        <v/>
      </c>
      <c r="M199" s="195" t="str">
        <f>IF(Indata!M203="","",Indata!M203)</f>
        <v/>
      </c>
      <c r="N199" s="195" t="str">
        <f>IF(Indata!N203="","",Indata!N203)</f>
        <v/>
      </c>
      <c r="O199" s="195" t="str">
        <f>IF(Indata!O203="","",Indata!O203)</f>
        <v/>
      </c>
      <c r="P199" s="195" t="str">
        <f>IF(Indata!P203="","",Indata!P203)</f>
        <v/>
      </c>
      <c r="Q199" s="192" t="str">
        <f>IF(Indata!Q203="","",Indata!Q203)</f>
        <v/>
      </c>
      <c r="R199" s="309" t="str">
        <f>IF(Indata!R203="","",Indata!R203)</f>
        <v/>
      </c>
      <c r="S199" s="411"/>
      <c r="T199" s="411"/>
      <c r="U199" s="411"/>
      <c r="V199" s="411"/>
      <c r="W199" s="411"/>
      <c r="X199" s="411"/>
      <c r="Y199" s="411"/>
      <c r="Z199" s="411"/>
      <c r="AA199" s="411"/>
      <c r="AB199" s="411"/>
      <c r="AC199" s="411"/>
      <c r="AD199" s="411"/>
      <c r="AE199" s="411"/>
      <c r="AF199" s="411"/>
      <c r="AG199" s="411"/>
      <c r="AH199" s="411"/>
      <c r="AI199" s="411"/>
      <c r="AJ199" s="411"/>
      <c r="AK199" s="411"/>
      <c r="AL199" s="411"/>
      <c r="AM199" s="411"/>
      <c r="AN199" s="411"/>
      <c r="AO199" s="411"/>
      <c r="AP199" s="411"/>
      <c r="AQ199" s="411"/>
      <c r="AR199" s="411"/>
      <c r="AS199" s="411"/>
      <c r="AT199" s="411"/>
    </row>
    <row r="200" spans="1:46" s="102" customFormat="1">
      <c r="A200" s="117">
        <v>7</v>
      </c>
      <c r="B200" s="102" t="s">
        <v>254</v>
      </c>
      <c r="C200" s="266" t="str">
        <f>IF(Indata!C204="","",Indata!C204)</f>
        <v/>
      </c>
      <c r="D200" s="192" t="str">
        <f>IF(Indata!D204="","",Indata!D204)</f>
        <v/>
      </c>
      <c r="E200" s="192" t="str">
        <f>IF(Indata!E204="","",Indata!E204)</f>
        <v/>
      </c>
      <c r="F200" s="214" t="str">
        <f>IF(Indata!F204="","",Indata!F204)</f>
        <v/>
      </c>
      <c r="G200" s="192" t="str">
        <f>IF(Indata!G204="","",Indata!G204)</f>
        <v/>
      </c>
      <c r="H200" s="192" t="str">
        <f>IF(Indata!H204="","",Indata!H204)</f>
        <v/>
      </c>
      <c r="I200" s="192" t="str">
        <f>IF(Indata!I204="","",Indata!I204)</f>
        <v/>
      </c>
      <c r="J200" s="194" t="str">
        <f>IF(Indata!J204="","",Indata!J204)</f>
        <v/>
      </c>
      <c r="K200" s="195" t="str">
        <f>IF(Indata!K204="","",Indata!K204)</f>
        <v/>
      </c>
      <c r="L200" s="195" t="str">
        <f>IF(Indata!L204="","",Indata!L204)</f>
        <v/>
      </c>
      <c r="M200" s="195" t="str">
        <f>IF(Indata!M204="","",Indata!M204)</f>
        <v/>
      </c>
      <c r="N200" s="195" t="str">
        <f>IF(Indata!N204="","",Indata!N204)</f>
        <v/>
      </c>
      <c r="O200" s="195" t="str">
        <f>IF(Indata!O204="","",Indata!O204)</f>
        <v/>
      </c>
      <c r="P200" s="195" t="str">
        <f>IF(Indata!P204="","",Indata!P204)</f>
        <v/>
      </c>
      <c r="Q200" s="192" t="str">
        <f>IF(Indata!Q204="","",Indata!Q204)</f>
        <v/>
      </c>
      <c r="R200" s="309" t="str">
        <f>IF(Indata!R204="","",Indata!R204)</f>
        <v/>
      </c>
      <c r="S200" s="411"/>
      <c r="T200" s="411"/>
      <c r="U200" s="411"/>
      <c r="V200" s="411"/>
      <c r="W200" s="411"/>
      <c r="X200" s="411"/>
      <c r="Y200" s="411"/>
      <c r="Z200" s="411"/>
      <c r="AA200" s="411"/>
      <c r="AB200" s="411"/>
      <c r="AC200" s="411"/>
      <c r="AD200" s="411"/>
      <c r="AE200" s="411"/>
      <c r="AF200" s="411"/>
      <c r="AG200" s="411"/>
      <c r="AH200" s="411"/>
      <c r="AI200" s="411"/>
      <c r="AJ200" s="411"/>
      <c r="AK200" s="411"/>
      <c r="AL200" s="411"/>
      <c r="AM200" s="411"/>
      <c r="AN200" s="411"/>
      <c r="AO200" s="411"/>
      <c r="AP200" s="411"/>
      <c r="AQ200" s="411"/>
      <c r="AR200" s="411"/>
      <c r="AS200" s="411"/>
      <c r="AT200" s="411"/>
    </row>
    <row r="201" spans="1:46" s="102" customFormat="1">
      <c r="A201" s="117">
        <v>11</v>
      </c>
      <c r="B201" s="102" t="s">
        <v>256</v>
      </c>
      <c r="C201" s="266" t="str">
        <f>IF(Indata!C205="","",Indata!C205)</f>
        <v/>
      </c>
      <c r="D201" s="192" t="str">
        <f>IF(Indata!D205="","",Indata!D205)</f>
        <v/>
      </c>
      <c r="E201" s="192" t="str">
        <f>IF(Indata!E205="","",Indata!E205)</f>
        <v/>
      </c>
      <c r="F201" s="214" t="str">
        <f>IF(Indata!F205="","",Indata!F205)</f>
        <v/>
      </c>
      <c r="G201" s="192" t="str">
        <f>IF(Indata!G205="","",Indata!G205)</f>
        <v/>
      </c>
      <c r="H201" s="192" t="str">
        <f>IF(Indata!H205="","",Indata!H205)</f>
        <v/>
      </c>
      <c r="I201" s="192" t="str">
        <f>IF(Indata!I205="","",Indata!I205)</f>
        <v/>
      </c>
      <c r="J201" s="194" t="str">
        <f>IF(Indata!J205="","",Indata!J205)</f>
        <v/>
      </c>
      <c r="K201" s="195" t="str">
        <f>IF(Indata!K205="","",Indata!K205)</f>
        <v/>
      </c>
      <c r="L201" s="195" t="str">
        <f>IF(Indata!L205="","",Indata!L205)</f>
        <v/>
      </c>
      <c r="M201" s="195" t="str">
        <f>IF(Indata!M205="","",Indata!M205)</f>
        <v/>
      </c>
      <c r="N201" s="195" t="str">
        <f>IF(Indata!N205="","",Indata!N205)</f>
        <v/>
      </c>
      <c r="O201" s="195" t="str">
        <f>IF(Indata!O205="","",Indata!O205)</f>
        <v/>
      </c>
      <c r="P201" s="195" t="str">
        <f>IF(Indata!P205="","",Indata!P205)</f>
        <v/>
      </c>
      <c r="Q201" s="192" t="str">
        <f>IF(Indata!Q205="","",Indata!Q205)</f>
        <v/>
      </c>
      <c r="R201" s="309" t="str">
        <f>IF(Indata!R205="","",Indata!R205)</f>
        <v/>
      </c>
      <c r="S201" s="411"/>
      <c r="T201" s="411"/>
      <c r="U201" s="411"/>
      <c r="V201" s="411"/>
      <c r="W201" s="411"/>
      <c r="X201" s="411"/>
      <c r="Y201" s="411"/>
      <c r="Z201" s="411"/>
      <c r="AA201" s="411"/>
      <c r="AB201" s="411"/>
      <c r="AC201" s="411"/>
      <c r="AD201" s="411"/>
      <c r="AE201" s="411"/>
      <c r="AF201" s="411"/>
      <c r="AG201" s="411"/>
      <c r="AH201" s="411"/>
      <c r="AI201" s="411"/>
      <c r="AJ201" s="411"/>
      <c r="AK201" s="411"/>
      <c r="AL201" s="411"/>
      <c r="AM201" s="411"/>
      <c r="AN201" s="411"/>
      <c r="AO201" s="411"/>
      <c r="AP201" s="411"/>
      <c r="AQ201" s="411"/>
      <c r="AR201" s="411"/>
      <c r="AS201" s="411"/>
      <c r="AT201" s="411"/>
    </row>
    <row r="202" spans="1:46" s="102" customFormat="1" ht="12">
      <c r="A202" s="118">
        <v>19</v>
      </c>
      <c r="B202" s="102" t="s">
        <v>260</v>
      </c>
      <c r="C202" s="266" t="str">
        <f>IF(Indata!C206="","",Indata!C206)</f>
        <v/>
      </c>
      <c r="D202" s="192" t="str">
        <f>IF(Indata!D206="","",Indata!D206)</f>
        <v/>
      </c>
      <c r="E202" s="192" t="str">
        <f>IF(Indata!E206="","",Indata!E206)</f>
        <v/>
      </c>
      <c r="F202" s="214" t="str">
        <f>IF(Indata!F206="","",Indata!F206)</f>
        <v/>
      </c>
      <c r="G202" s="192" t="str">
        <f>IF(Indata!G206="","",Indata!G206)</f>
        <v/>
      </c>
      <c r="H202" s="192" t="str">
        <f>IF(Indata!H206="","",Indata!H206)</f>
        <v/>
      </c>
      <c r="I202" s="192" t="str">
        <f>IF(Indata!I206="","",Indata!I206)</f>
        <v/>
      </c>
      <c r="J202" s="194" t="str">
        <f>IF(Indata!J206="","",Indata!J206)</f>
        <v/>
      </c>
      <c r="K202" s="195" t="str">
        <f>IF(Indata!K206="","",Indata!K206)</f>
        <v/>
      </c>
      <c r="L202" s="195" t="str">
        <f>IF(Indata!L206="","",Indata!L206)</f>
        <v/>
      </c>
      <c r="M202" s="195" t="str">
        <f>IF(Indata!M206="","",Indata!M206)</f>
        <v/>
      </c>
      <c r="N202" s="195" t="str">
        <f>IF(Indata!N206="","",Indata!N206)</f>
        <v/>
      </c>
      <c r="O202" s="195" t="str">
        <f>IF(Indata!O206="","",Indata!O206)</f>
        <v/>
      </c>
      <c r="P202" s="195" t="str">
        <f>IF(Indata!P206="","",Indata!P206)</f>
        <v/>
      </c>
      <c r="Q202" s="192" t="str">
        <f>IF(Indata!Q206="","",Indata!Q206)</f>
        <v/>
      </c>
      <c r="R202" s="309" t="str">
        <f>IF(Indata!R206="","",Indata!R206)</f>
        <v/>
      </c>
      <c r="S202" s="411"/>
      <c r="T202" s="411"/>
      <c r="U202" s="411"/>
      <c r="V202" s="411"/>
      <c r="W202" s="411"/>
      <c r="X202" s="411"/>
      <c r="Y202" s="411"/>
      <c r="Z202" s="411"/>
      <c r="AA202" s="411"/>
      <c r="AB202" s="411"/>
      <c r="AC202" s="411"/>
      <c r="AD202" s="411"/>
      <c r="AE202" s="411"/>
      <c r="AF202" s="411"/>
      <c r="AG202" s="411"/>
      <c r="AH202" s="411"/>
      <c r="AI202" s="411"/>
      <c r="AJ202" s="411"/>
      <c r="AK202" s="411"/>
      <c r="AL202" s="411"/>
      <c r="AM202" s="411"/>
      <c r="AN202" s="411"/>
      <c r="AO202" s="411"/>
      <c r="AP202" s="411"/>
      <c r="AQ202" s="411"/>
      <c r="AR202" s="411"/>
      <c r="AS202" s="411"/>
      <c r="AT202" s="411"/>
    </row>
    <row r="203" spans="1:46" s="102" customFormat="1">
      <c r="A203" s="117">
        <v>20</v>
      </c>
      <c r="B203" s="102" t="s">
        <v>267</v>
      </c>
      <c r="C203" s="266" t="str">
        <f>IF(Indata!C207="","",Indata!C207)</f>
        <v/>
      </c>
      <c r="D203" s="192" t="str">
        <f>IF(Indata!D207="","",Indata!D207)</f>
        <v/>
      </c>
      <c r="E203" s="192" t="str">
        <f>IF(Indata!E207="","",Indata!E207)</f>
        <v/>
      </c>
      <c r="F203" s="214" t="str">
        <f>IF(Indata!F207="","",Indata!F207)</f>
        <v/>
      </c>
      <c r="G203" s="192" t="str">
        <f>IF(Indata!G207="","",Indata!G207)</f>
        <v/>
      </c>
      <c r="H203" s="192" t="str">
        <f>IF(Indata!H207="","",Indata!H207)</f>
        <v/>
      </c>
      <c r="I203" s="192" t="str">
        <f>IF(Indata!I207="","",Indata!I207)</f>
        <v/>
      </c>
      <c r="J203" s="194" t="str">
        <f>IF(Indata!J207="","",Indata!J207)</f>
        <v/>
      </c>
      <c r="K203" s="195" t="str">
        <f>IF(Indata!K207="","",Indata!K207)</f>
        <v/>
      </c>
      <c r="L203" s="195" t="str">
        <f>IF(Indata!L207="","",Indata!L207)</f>
        <v/>
      </c>
      <c r="M203" s="195" t="str">
        <f>IF(Indata!M207="","",Indata!M207)</f>
        <v/>
      </c>
      <c r="N203" s="195" t="str">
        <f>IF(Indata!N207="","",Indata!N207)</f>
        <v/>
      </c>
      <c r="O203" s="195" t="str">
        <f>IF(Indata!O207="","",Indata!O207)</f>
        <v/>
      </c>
      <c r="P203" s="195" t="str">
        <f>IF(Indata!P207="","",Indata!P207)</f>
        <v/>
      </c>
      <c r="Q203" s="192" t="str">
        <f>IF(Indata!Q207="","",Indata!Q207)</f>
        <v/>
      </c>
      <c r="R203" s="309" t="str">
        <f>IF(Indata!R207="","",Indata!R207)</f>
        <v/>
      </c>
      <c r="S203" s="411"/>
      <c r="T203" s="411"/>
      <c r="U203" s="411"/>
      <c r="V203" s="411"/>
      <c r="W203" s="411"/>
      <c r="X203" s="411"/>
      <c r="Y203" s="411"/>
      <c r="Z203" s="411"/>
      <c r="AA203" s="411"/>
      <c r="AB203" s="411"/>
      <c r="AC203" s="411"/>
      <c r="AD203" s="411"/>
      <c r="AE203" s="411"/>
      <c r="AF203" s="411"/>
      <c r="AG203" s="411"/>
      <c r="AH203" s="411"/>
      <c r="AI203" s="411"/>
      <c r="AJ203" s="411"/>
      <c r="AK203" s="411"/>
      <c r="AL203" s="411"/>
      <c r="AM203" s="411"/>
      <c r="AN203" s="411"/>
      <c r="AO203" s="411"/>
      <c r="AP203" s="411"/>
      <c r="AQ203" s="411"/>
      <c r="AR203" s="411"/>
      <c r="AS203" s="411"/>
      <c r="AT203" s="411"/>
    </row>
    <row r="204" spans="1:46" s="102" customFormat="1">
      <c r="A204" s="117">
        <v>21</v>
      </c>
      <c r="B204" s="102" t="s">
        <v>261</v>
      </c>
      <c r="C204" s="266" t="str">
        <f>IF(Indata!C208="","",Indata!C208)</f>
        <v/>
      </c>
      <c r="D204" s="192" t="str">
        <f>IF(Indata!D208="","",Indata!D208)</f>
        <v/>
      </c>
      <c r="E204" s="192" t="str">
        <f>IF(Indata!E208="","",Indata!E208)</f>
        <v/>
      </c>
      <c r="F204" s="214" t="str">
        <f>IF(Indata!F208="","",Indata!F208)</f>
        <v/>
      </c>
      <c r="G204" s="192" t="str">
        <f>IF(Indata!G208="","",Indata!G208)</f>
        <v/>
      </c>
      <c r="H204" s="192" t="str">
        <f>IF(Indata!H208="","",Indata!H208)</f>
        <v/>
      </c>
      <c r="I204" s="192" t="str">
        <f>IF(Indata!I208="","",Indata!I208)</f>
        <v/>
      </c>
      <c r="J204" s="194" t="str">
        <f>IF(Indata!J208="","",Indata!J208)</f>
        <v/>
      </c>
      <c r="K204" s="195" t="str">
        <f>IF(Indata!K208="","",Indata!K208)</f>
        <v/>
      </c>
      <c r="L204" s="195" t="str">
        <f>IF(Indata!L208="","",Indata!L208)</f>
        <v/>
      </c>
      <c r="M204" s="195" t="str">
        <f>IF(Indata!M208="","",Indata!M208)</f>
        <v/>
      </c>
      <c r="N204" s="195" t="str">
        <f>IF(Indata!N208="","",Indata!N208)</f>
        <v/>
      </c>
      <c r="O204" s="195" t="str">
        <f>IF(Indata!O208="","",Indata!O208)</f>
        <v/>
      </c>
      <c r="P204" s="195" t="str">
        <f>IF(Indata!P208="","",Indata!P208)</f>
        <v/>
      </c>
      <c r="Q204" s="192" t="str">
        <f>IF(Indata!Q208="","",Indata!Q208)</f>
        <v/>
      </c>
      <c r="R204" s="309" t="str">
        <f>IF(Indata!R208="","",Indata!R208)</f>
        <v/>
      </c>
      <c r="S204" s="411"/>
      <c r="T204" s="411"/>
      <c r="U204" s="411"/>
      <c r="V204" s="411"/>
      <c r="W204" s="411"/>
      <c r="X204" s="411"/>
      <c r="Y204" s="411"/>
      <c r="Z204" s="411"/>
      <c r="AA204" s="411"/>
      <c r="AB204" s="411"/>
      <c r="AC204" s="411"/>
      <c r="AD204" s="411"/>
      <c r="AE204" s="411"/>
      <c r="AF204" s="411"/>
      <c r="AG204" s="411"/>
      <c r="AH204" s="411"/>
      <c r="AI204" s="411"/>
      <c r="AJ204" s="411"/>
      <c r="AK204" s="411"/>
      <c r="AL204" s="411"/>
      <c r="AM204" s="411"/>
      <c r="AN204" s="411"/>
      <c r="AO204" s="411"/>
      <c r="AP204" s="411"/>
      <c r="AQ204" s="411"/>
      <c r="AR204" s="411"/>
      <c r="AS204" s="411"/>
      <c r="AT204" s="411"/>
    </row>
    <row r="205" spans="1:46" s="102" customFormat="1">
      <c r="A205" s="117">
        <v>25</v>
      </c>
      <c r="B205" s="102" t="s">
        <v>263</v>
      </c>
      <c r="C205" s="266" t="str">
        <f>IF(Indata!C209="","",Indata!C209)</f>
        <v/>
      </c>
      <c r="D205" s="192" t="str">
        <f>IF(Indata!D209="","",Indata!D209)</f>
        <v/>
      </c>
      <c r="E205" s="192" t="str">
        <f>IF(Indata!E209="","",Indata!E209)</f>
        <v/>
      </c>
      <c r="F205" s="214" t="str">
        <f>IF(Indata!F209="","",Indata!F209)</f>
        <v/>
      </c>
      <c r="G205" s="192" t="str">
        <f>IF(Indata!G209="","",Indata!G209)</f>
        <v/>
      </c>
      <c r="H205" s="192" t="str">
        <f>IF(Indata!H209="","",Indata!H209)</f>
        <v/>
      </c>
      <c r="I205" s="192" t="str">
        <f>IF(Indata!I209="","",Indata!I209)</f>
        <v/>
      </c>
      <c r="J205" s="194" t="str">
        <f>IF(Indata!J209="","",Indata!J209)</f>
        <v/>
      </c>
      <c r="K205" s="195" t="str">
        <f>IF(Indata!K209="","",Indata!K209)</f>
        <v/>
      </c>
      <c r="L205" s="195" t="str">
        <f>IF(Indata!L209="","",Indata!L209)</f>
        <v/>
      </c>
      <c r="M205" s="195" t="str">
        <f>IF(Indata!M209="","",Indata!M209)</f>
        <v/>
      </c>
      <c r="N205" s="195" t="str">
        <f>IF(Indata!N209="","",Indata!N209)</f>
        <v/>
      </c>
      <c r="O205" s="195" t="str">
        <f>IF(Indata!O209="","",Indata!O209)</f>
        <v/>
      </c>
      <c r="P205" s="195" t="str">
        <f>IF(Indata!P209="","",Indata!P209)</f>
        <v/>
      </c>
      <c r="Q205" s="192" t="str">
        <f>IF(Indata!Q209="","",Indata!Q209)</f>
        <v/>
      </c>
      <c r="R205" s="309" t="str">
        <f>IF(Indata!R209="","",Indata!R209)</f>
        <v/>
      </c>
      <c r="S205" s="411"/>
      <c r="T205" s="411"/>
      <c r="U205" s="411"/>
      <c r="V205" s="411"/>
      <c r="W205" s="411"/>
      <c r="X205" s="411"/>
      <c r="Y205" s="411"/>
      <c r="Z205" s="411"/>
      <c r="AA205" s="411"/>
      <c r="AB205" s="411"/>
      <c r="AC205" s="411"/>
      <c r="AD205" s="411"/>
      <c r="AE205" s="411"/>
      <c r="AF205" s="411"/>
      <c r="AG205" s="411"/>
      <c r="AH205" s="411"/>
      <c r="AI205" s="411"/>
      <c r="AJ205" s="411"/>
      <c r="AK205" s="411"/>
      <c r="AL205" s="411"/>
      <c r="AM205" s="411"/>
      <c r="AN205" s="411"/>
      <c r="AO205" s="411"/>
      <c r="AP205" s="411"/>
      <c r="AQ205" s="411"/>
      <c r="AR205" s="411"/>
      <c r="AS205" s="411"/>
      <c r="AT205" s="411"/>
    </row>
    <row r="206" spans="1:46" s="102" customFormat="1" ht="12">
      <c r="A206" s="118">
        <v>29</v>
      </c>
      <c r="B206" s="102" t="s">
        <v>295</v>
      </c>
      <c r="C206" s="266" t="str">
        <f>IF(Indata!C210="","",Indata!C210)</f>
        <v/>
      </c>
      <c r="D206" s="192" t="str">
        <f>IF(Indata!D210="","",Indata!D210)</f>
        <v/>
      </c>
      <c r="E206" s="192" t="str">
        <f>IF(Indata!E210="","",Indata!E210)</f>
        <v/>
      </c>
      <c r="F206" s="214" t="str">
        <f>IF(Indata!F210="","",Indata!F210)</f>
        <v/>
      </c>
      <c r="G206" s="192" t="str">
        <f>IF(Indata!G210="","",Indata!G210)</f>
        <v/>
      </c>
      <c r="H206" s="192" t="str">
        <f>IF(Indata!H210="","",Indata!H210)</f>
        <v/>
      </c>
      <c r="I206" s="192" t="str">
        <f>IF(Indata!I210="","",Indata!I210)</f>
        <v/>
      </c>
      <c r="J206" s="194" t="str">
        <f>IF(Indata!J210="","",Indata!J210)</f>
        <v/>
      </c>
      <c r="K206" s="195" t="str">
        <f>IF(Indata!K210="","",Indata!K210)</f>
        <v/>
      </c>
      <c r="L206" s="195" t="str">
        <f>IF(Indata!L210="","",Indata!L210)</f>
        <v/>
      </c>
      <c r="M206" s="195" t="str">
        <f>IF(Indata!M210="","",Indata!M210)</f>
        <v/>
      </c>
      <c r="N206" s="195" t="str">
        <f>IF(Indata!N210="","",Indata!N210)</f>
        <v/>
      </c>
      <c r="O206" s="195" t="str">
        <f>IF(Indata!O210="","",Indata!O210)</f>
        <v/>
      </c>
      <c r="P206" s="195" t="str">
        <f>IF(Indata!P210="","",Indata!P210)</f>
        <v/>
      </c>
      <c r="Q206" s="192" t="str">
        <f>IF(Indata!Q210="","",Indata!Q210)</f>
        <v/>
      </c>
      <c r="R206" s="309" t="str">
        <f>IF(Indata!R210="","",Indata!R210)</f>
        <v/>
      </c>
      <c r="S206" s="411"/>
      <c r="T206" s="411"/>
      <c r="U206" s="411"/>
      <c r="V206" s="411"/>
      <c r="W206" s="411"/>
      <c r="X206" s="411"/>
      <c r="Y206" s="411"/>
      <c r="Z206" s="411"/>
      <c r="AA206" s="411"/>
      <c r="AB206" s="411"/>
      <c r="AC206" s="411"/>
      <c r="AD206" s="411"/>
      <c r="AE206" s="411"/>
      <c r="AF206" s="411"/>
      <c r="AG206" s="411"/>
      <c r="AH206" s="411"/>
      <c r="AI206" s="411"/>
      <c r="AJ206" s="411"/>
      <c r="AK206" s="411"/>
      <c r="AL206" s="411"/>
      <c r="AM206" s="411"/>
      <c r="AN206" s="411"/>
      <c r="AO206" s="411"/>
      <c r="AP206" s="411"/>
      <c r="AQ206" s="411"/>
      <c r="AR206" s="411"/>
      <c r="AS206" s="411"/>
      <c r="AT206" s="411"/>
    </row>
    <row r="207" spans="1:46" s="102" customFormat="1" ht="12">
      <c r="A207" s="118">
        <v>30</v>
      </c>
      <c r="B207" s="102" t="s">
        <v>296</v>
      </c>
      <c r="C207" s="266" t="str">
        <f>IF(Indata!C211="","",Indata!C211)</f>
        <v/>
      </c>
      <c r="D207" s="192" t="str">
        <f>IF(Indata!D211="","",Indata!D211)</f>
        <v/>
      </c>
      <c r="E207" s="192" t="str">
        <f>IF(Indata!E211="","",Indata!E211)</f>
        <v/>
      </c>
      <c r="F207" s="214" t="str">
        <f>IF(Indata!F211="","",Indata!F211)</f>
        <v/>
      </c>
      <c r="G207" s="192" t="str">
        <f>IF(Indata!G211="","",Indata!G211)</f>
        <v/>
      </c>
      <c r="H207" s="192" t="str">
        <f>IF(Indata!H211="","",Indata!H211)</f>
        <v/>
      </c>
      <c r="I207" s="192" t="str">
        <f>IF(Indata!I211="","",Indata!I211)</f>
        <v/>
      </c>
      <c r="J207" s="194" t="str">
        <f>IF(Indata!J211="","",Indata!J211)</f>
        <v/>
      </c>
      <c r="K207" s="195" t="str">
        <f>IF(Indata!K211="","",Indata!K211)</f>
        <v/>
      </c>
      <c r="L207" s="195" t="str">
        <f>IF(Indata!L211="","",Indata!L211)</f>
        <v/>
      </c>
      <c r="M207" s="195" t="str">
        <f>IF(Indata!M211="","",Indata!M211)</f>
        <v/>
      </c>
      <c r="N207" s="195" t="str">
        <f>IF(Indata!N211="","",Indata!N211)</f>
        <v/>
      </c>
      <c r="O207" s="195" t="str">
        <f>IF(Indata!O211="","",Indata!O211)</f>
        <v/>
      </c>
      <c r="P207" s="195" t="str">
        <f>IF(Indata!P211="","",Indata!P211)</f>
        <v/>
      </c>
      <c r="Q207" s="192" t="str">
        <f>IF(Indata!Q211="","",Indata!Q211)</f>
        <v/>
      </c>
      <c r="R207" s="309" t="str">
        <f>IF(Indata!R211="","",Indata!R211)</f>
        <v/>
      </c>
      <c r="S207" s="411"/>
      <c r="T207" s="411"/>
      <c r="U207" s="411"/>
      <c r="V207" s="411"/>
      <c r="W207" s="411"/>
      <c r="X207" s="411"/>
      <c r="Y207" s="411"/>
      <c r="Z207" s="411"/>
      <c r="AA207" s="411"/>
      <c r="AB207" s="411"/>
      <c r="AC207" s="411"/>
      <c r="AD207" s="411"/>
      <c r="AE207" s="411"/>
      <c r="AF207" s="411"/>
      <c r="AG207" s="411"/>
      <c r="AH207" s="411"/>
      <c r="AI207" s="411"/>
      <c r="AJ207" s="411"/>
      <c r="AK207" s="411"/>
      <c r="AL207" s="411"/>
      <c r="AM207" s="411"/>
      <c r="AN207" s="411"/>
      <c r="AO207" s="411"/>
      <c r="AP207" s="411"/>
      <c r="AQ207" s="411"/>
      <c r="AR207" s="411"/>
      <c r="AS207" s="411"/>
      <c r="AT207" s="411"/>
    </row>
    <row r="208" spans="1:46">
      <c r="A208" s="1">
        <v>200</v>
      </c>
      <c r="B208" s="62"/>
      <c r="C208" s="270"/>
      <c r="D208" s="267"/>
      <c r="E208" s="268"/>
      <c r="F208" s="269"/>
      <c r="G208" s="268"/>
      <c r="H208" s="273"/>
      <c r="I208" s="273"/>
      <c r="J208" s="273"/>
      <c r="K208" s="274"/>
      <c r="L208" s="274"/>
      <c r="M208" s="274"/>
      <c r="N208" s="274"/>
      <c r="O208" s="269"/>
      <c r="P208" s="269"/>
      <c r="Q208" s="268"/>
      <c r="R208" s="308"/>
      <c r="S208" s="388"/>
      <c r="T208" s="388"/>
      <c r="U208" s="388"/>
      <c r="V208" s="388"/>
      <c r="W208" s="388"/>
      <c r="X208" s="388"/>
      <c r="Y208" s="388"/>
      <c r="Z208" s="388"/>
      <c r="AA208" s="388"/>
      <c r="AB208" s="388"/>
      <c r="AC208" s="388"/>
      <c r="AD208" s="388"/>
      <c r="AE208" s="388"/>
      <c r="AF208" s="388"/>
      <c r="AG208" s="388"/>
      <c r="AH208" s="388"/>
      <c r="AI208" s="388"/>
      <c r="AJ208" s="388"/>
      <c r="AK208" s="388"/>
      <c r="AL208" s="388"/>
      <c r="AM208" s="388"/>
      <c r="AN208" s="388"/>
      <c r="AO208" s="388"/>
      <c r="AP208" s="388"/>
      <c r="AQ208" s="388"/>
      <c r="AR208" s="388"/>
      <c r="AS208" s="388"/>
      <c r="AT208" s="388"/>
    </row>
    <row r="209" spans="1:46">
      <c r="A209" s="37"/>
      <c r="B209" s="7" t="s">
        <v>18</v>
      </c>
      <c r="C209" s="270"/>
      <c r="D209" s="273"/>
      <c r="E209" s="268"/>
      <c r="F209" s="269"/>
      <c r="G209" s="268"/>
      <c r="H209" s="273"/>
      <c r="I209" s="273"/>
      <c r="J209" s="273"/>
      <c r="K209" s="274"/>
      <c r="L209" s="274"/>
      <c r="M209" s="274"/>
      <c r="N209" s="274"/>
      <c r="O209" s="269"/>
      <c r="P209" s="269"/>
      <c r="Q209" s="268"/>
      <c r="R209" s="30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  <c r="AC209" s="388"/>
      <c r="AD209" s="388"/>
      <c r="AE209" s="388"/>
      <c r="AF209" s="388"/>
      <c r="AG209" s="388"/>
      <c r="AH209" s="388"/>
      <c r="AI209" s="388"/>
      <c r="AJ209" s="388"/>
      <c r="AK209" s="388"/>
      <c r="AL209" s="388"/>
      <c r="AM209" s="388"/>
      <c r="AN209" s="388"/>
      <c r="AO209" s="388"/>
      <c r="AP209" s="388"/>
      <c r="AQ209" s="388"/>
      <c r="AR209" s="388"/>
      <c r="AS209" s="388"/>
      <c r="AT209" s="388"/>
    </row>
    <row r="210" spans="1:46">
      <c r="B210" s="7" t="s">
        <v>18</v>
      </c>
      <c r="C210" s="275"/>
      <c r="D210" s="273"/>
      <c r="E210" s="273"/>
      <c r="F210" s="274"/>
      <c r="G210" s="268"/>
      <c r="H210" s="273"/>
      <c r="I210" s="273"/>
      <c r="J210" s="273"/>
      <c r="K210" s="274"/>
      <c r="L210" s="276"/>
      <c r="M210" s="274"/>
      <c r="N210" s="274"/>
      <c r="O210" s="269"/>
      <c r="P210" s="269"/>
      <c r="Q210" s="268"/>
      <c r="R210" s="308"/>
      <c r="S210" s="388"/>
      <c r="T210" s="388"/>
      <c r="U210" s="388"/>
      <c r="V210" s="388"/>
      <c r="W210" s="388"/>
      <c r="X210" s="388"/>
      <c r="Y210" s="388"/>
      <c r="Z210" s="388"/>
      <c r="AA210" s="388"/>
      <c r="AB210" s="388"/>
      <c r="AC210" s="388"/>
      <c r="AD210" s="388"/>
      <c r="AE210" s="388"/>
      <c r="AF210" s="388"/>
      <c r="AG210" s="388"/>
      <c r="AH210" s="388"/>
      <c r="AI210" s="388"/>
      <c r="AJ210" s="388"/>
      <c r="AK210" s="388"/>
      <c r="AL210" s="388"/>
      <c r="AM210" s="388"/>
      <c r="AN210" s="388"/>
      <c r="AO210" s="388"/>
      <c r="AP210" s="388"/>
      <c r="AQ210" s="388"/>
      <c r="AR210" s="388"/>
      <c r="AS210" s="388"/>
      <c r="AT210" s="388"/>
    </row>
    <row r="211" spans="1:46">
      <c r="B211" s="277"/>
      <c r="C211" s="275"/>
      <c r="D211" s="273"/>
      <c r="E211" s="273"/>
      <c r="F211" s="274"/>
      <c r="G211" s="268"/>
      <c r="H211" s="273"/>
      <c r="I211" s="273"/>
      <c r="J211" s="273"/>
      <c r="K211" s="274"/>
      <c r="L211" s="274"/>
      <c r="M211" s="274"/>
      <c r="N211" s="274"/>
      <c r="O211" s="269"/>
      <c r="P211" s="269"/>
      <c r="Q211" s="268"/>
      <c r="R211" s="310"/>
      <c r="S211" s="388"/>
      <c r="T211" s="388"/>
      <c r="U211" s="388"/>
      <c r="V211" s="388"/>
      <c r="W211" s="388"/>
      <c r="X211" s="388"/>
      <c r="Y211" s="388"/>
      <c r="Z211" s="388"/>
      <c r="AA211" s="388"/>
      <c r="AB211" s="388"/>
      <c r="AC211" s="388"/>
      <c r="AD211" s="388"/>
      <c r="AE211" s="388"/>
      <c r="AF211" s="388"/>
      <c r="AG211" s="388"/>
      <c r="AH211" s="388"/>
      <c r="AI211" s="388"/>
      <c r="AJ211" s="388"/>
      <c r="AK211" s="388"/>
      <c r="AL211" s="388"/>
      <c r="AM211" s="388"/>
      <c r="AN211" s="388"/>
      <c r="AO211" s="388"/>
      <c r="AP211" s="388"/>
      <c r="AQ211" s="388"/>
      <c r="AR211" s="388"/>
      <c r="AS211" s="388"/>
      <c r="AT211" s="388"/>
    </row>
    <row r="212" spans="1:46">
      <c r="B212" s="277"/>
      <c r="C212" s="275"/>
      <c r="D212" s="278"/>
      <c r="E212" s="278"/>
      <c r="F212" s="279"/>
      <c r="G212" s="278"/>
      <c r="H212" s="280"/>
      <c r="I212" s="278"/>
      <c r="J212" s="278"/>
      <c r="K212" s="279"/>
      <c r="L212" s="279"/>
      <c r="M212" s="279"/>
      <c r="N212" s="279"/>
      <c r="O212" s="281"/>
      <c r="P212" s="281"/>
      <c r="Q212" s="732"/>
      <c r="R212" s="310"/>
      <c r="S212" s="388"/>
      <c r="T212" s="388"/>
      <c r="U212" s="388"/>
      <c r="V212" s="388"/>
      <c r="W212" s="388"/>
      <c r="X212" s="388"/>
      <c r="Y212" s="388"/>
      <c r="Z212" s="388"/>
      <c r="AA212" s="388"/>
      <c r="AB212" s="388"/>
      <c r="AC212" s="388"/>
      <c r="AD212" s="388"/>
      <c r="AE212" s="388"/>
      <c r="AF212" s="388"/>
      <c r="AG212" s="388"/>
      <c r="AH212" s="388"/>
      <c r="AI212" s="388"/>
      <c r="AJ212" s="388"/>
      <c r="AK212" s="388"/>
      <c r="AL212" s="388"/>
      <c r="AM212" s="388"/>
      <c r="AN212" s="388"/>
      <c r="AO212" s="388"/>
      <c r="AP212" s="388"/>
      <c r="AQ212" s="388"/>
      <c r="AR212" s="388"/>
      <c r="AS212" s="388"/>
      <c r="AT212" s="388"/>
    </row>
    <row r="213" spans="1:46">
      <c r="B213" s="388"/>
      <c r="C213" s="391"/>
      <c r="D213" s="392"/>
      <c r="E213" s="392"/>
      <c r="F213" s="393"/>
      <c r="G213" s="392"/>
      <c r="H213" s="394"/>
      <c r="I213" s="392"/>
      <c r="J213" s="392"/>
      <c r="K213" s="393"/>
      <c r="L213" s="393"/>
      <c r="M213" s="393"/>
      <c r="N213" s="393"/>
      <c r="O213" s="393"/>
      <c r="P213" s="393"/>
      <c r="Q213" s="394"/>
      <c r="R213" s="395"/>
      <c r="S213" s="388"/>
      <c r="T213" s="388"/>
      <c r="U213" s="388"/>
      <c r="V213" s="388"/>
      <c r="W213" s="388"/>
      <c r="X213" s="388"/>
      <c r="Y213" s="388"/>
      <c r="Z213" s="388"/>
      <c r="AA213" s="388"/>
      <c r="AB213" s="388"/>
      <c r="AC213" s="388"/>
      <c r="AD213" s="388"/>
      <c r="AE213" s="388"/>
      <c r="AF213" s="388"/>
      <c r="AG213" s="388"/>
      <c r="AH213" s="388"/>
      <c r="AI213" s="388"/>
      <c r="AJ213" s="388"/>
      <c r="AK213" s="388"/>
      <c r="AL213" s="388"/>
      <c r="AM213" s="388"/>
      <c r="AN213" s="388"/>
      <c r="AO213" s="388"/>
      <c r="AP213" s="388"/>
      <c r="AQ213" s="388"/>
      <c r="AR213" s="388"/>
      <c r="AS213" s="388"/>
      <c r="AT213" s="388"/>
    </row>
    <row r="214" spans="1:46">
      <c r="B214" s="388"/>
      <c r="C214" s="391"/>
      <c r="D214" s="392"/>
      <c r="E214" s="392"/>
      <c r="F214" s="393"/>
      <c r="G214" s="392"/>
      <c r="H214" s="394"/>
      <c r="I214" s="392"/>
      <c r="J214" s="392"/>
      <c r="K214" s="393"/>
      <c r="L214" s="393"/>
      <c r="M214" s="393"/>
      <c r="N214" s="393"/>
      <c r="O214" s="393"/>
      <c r="P214" s="393"/>
      <c r="Q214" s="394"/>
      <c r="R214" s="395"/>
      <c r="S214" s="388"/>
      <c r="T214" s="388"/>
      <c r="U214" s="388"/>
      <c r="V214" s="388"/>
      <c r="W214" s="388"/>
      <c r="X214" s="388"/>
      <c r="Y214" s="388"/>
      <c r="Z214" s="388"/>
      <c r="AA214" s="388"/>
      <c r="AB214" s="388"/>
      <c r="AC214" s="388"/>
      <c r="AD214" s="388"/>
      <c r="AE214" s="388"/>
      <c r="AF214" s="388"/>
      <c r="AG214" s="388"/>
      <c r="AH214" s="388"/>
      <c r="AI214" s="388"/>
      <c r="AJ214" s="388"/>
      <c r="AK214" s="388"/>
      <c r="AL214" s="388"/>
      <c r="AM214" s="388"/>
      <c r="AN214" s="388"/>
      <c r="AO214" s="388"/>
      <c r="AP214" s="388"/>
      <c r="AQ214" s="388"/>
      <c r="AR214" s="388"/>
      <c r="AS214" s="388"/>
      <c r="AT214" s="388"/>
    </row>
    <row r="215" spans="1:46">
      <c r="B215" s="388"/>
      <c r="C215" s="391"/>
      <c r="D215" s="392"/>
      <c r="E215" s="392"/>
      <c r="F215" s="393"/>
      <c r="G215" s="392"/>
      <c r="H215" s="394"/>
      <c r="I215" s="392"/>
      <c r="J215" s="392"/>
      <c r="K215" s="393"/>
      <c r="L215" s="393"/>
      <c r="M215" s="393"/>
      <c r="N215" s="393"/>
      <c r="O215" s="393"/>
      <c r="P215" s="393"/>
      <c r="Q215" s="394"/>
      <c r="R215" s="395"/>
      <c r="S215" s="388"/>
      <c r="T215" s="388"/>
      <c r="U215" s="388"/>
      <c r="V215" s="388"/>
      <c r="W215" s="388"/>
      <c r="X215" s="388"/>
      <c r="Y215" s="388"/>
      <c r="Z215" s="388"/>
      <c r="AA215" s="388"/>
      <c r="AB215" s="388"/>
      <c r="AC215" s="388"/>
      <c r="AD215" s="388"/>
      <c r="AE215" s="388"/>
      <c r="AF215" s="388"/>
      <c r="AG215" s="388"/>
      <c r="AH215" s="388"/>
      <c r="AI215" s="388"/>
      <c r="AJ215" s="388"/>
      <c r="AK215" s="388"/>
      <c r="AL215" s="388"/>
      <c r="AM215" s="388"/>
      <c r="AN215" s="388"/>
      <c r="AO215" s="388"/>
      <c r="AP215" s="388"/>
      <c r="AQ215" s="388"/>
      <c r="AR215" s="388"/>
      <c r="AS215" s="388"/>
      <c r="AT215" s="388"/>
    </row>
    <row r="216" spans="1:46">
      <c r="B216" s="388"/>
      <c r="C216" s="391"/>
      <c r="D216" s="392"/>
      <c r="E216" s="392"/>
      <c r="F216" s="393"/>
      <c r="G216" s="392"/>
      <c r="H216" s="394"/>
      <c r="I216" s="392"/>
      <c r="J216" s="392"/>
      <c r="K216" s="393"/>
      <c r="L216" s="393"/>
      <c r="M216" s="393"/>
      <c r="N216" s="393"/>
      <c r="O216" s="393"/>
      <c r="P216" s="393"/>
      <c r="Q216" s="394"/>
      <c r="R216" s="395"/>
      <c r="S216" s="388"/>
      <c r="T216" s="388"/>
      <c r="U216" s="388"/>
      <c r="V216" s="388"/>
      <c r="W216" s="388"/>
      <c r="X216" s="388"/>
      <c r="Y216" s="388"/>
      <c r="Z216" s="388"/>
      <c r="AA216" s="388"/>
      <c r="AB216" s="388"/>
      <c r="AC216" s="388"/>
      <c r="AD216" s="388"/>
      <c r="AE216" s="388"/>
      <c r="AF216" s="388"/>
      <c r="AG216" s="388"/>
      <c r="AH216" s="388"/>
      <c r="AI216" s="388"/>
      <c r="AJ216" s="388"/>
      <c r="AK216" s="388"/>
      <c r="AL216" s="388"/>
      <c r="AM216" s="388"/>
      <c r="AN216" s="388"/>
      <c r="AO216" s="388"/>
      <c r="AP216" s="388"/>
      <c r="AQ216" s="388"/>
      <c r="AR216" s="388"/>
      <c r="AS216" s="388"/>
      <c r="AT216" s="388"/>
    </row>
    <row r="217" spans="1:46">
      <c r="B217" s="388"/>
      <c r="C217" s="391"/>
      <c r="D217" s="392"/>
      <c r="E217" s="392"/>
      <c r="F217" s="393"/>
      <c r="G217" s="392"/>
      <c r="H217" s="394"/>
      <c r="I217" s="392"/>
      <c r="J217" s="392"/>
      <c r="K217" s="393"/>
      <c r="L217" s="393"/>
      <c r="M217" s="393"/>
      <c r="N217" s="393"/>
      <c r="O217" s="393"/>
      <c r="P217" s="393"/>
      <c r="Q217" s="394"/>
      <c r="R217" s="395"/>
      <c r="S217" s="388"/>
      <c r="T217" s="388"/>
      <c r="U217" s="388"/>
      <c r="V217" s="388"/>
      <c r="W217" s="388"/>
      <c r="X217" s="388"/>
      <c r="Y217" s="388"/>
      <c r="Z217" s="388"/>
      <c r="AA217" s="388"/>
      <c r="AB217" s="388"/>
      <c r="AC217" s="388"/>
      <c r="AD217" s="388"/>
      <c r="AE217" s="388"/>
      <c r="AF217" s="388"/>
      <c r="AG217" s="388"/>
      <c r="AH217" s="388"/>
      <c r="AI217" s="388"/>
      <c r="AJ217" s="388"/>
      <c r="AK217" s="388"/>
      <c r="AL217" s="388"/>
      <c r="AM217" s="388"/>
      <c r="AN217" s="388"/>
      <c r="AO217" s="388"/>
      <c r="AP217" s="388"/>
      <c r="AQ217" s="388"/>
      <c r="AR217" s="388"/>
      <c r="AS217" s="388"/>
      <c r="AT217" s="388"/>
    </row>
    <row r="218" spans="1:46">
      <c r="B218" s="388"/>
      <c r="C218" s="391"/>
      <c r="D218" s="392"/>
      <c r="E218" s="392"/>
      <c r="F218" s="393"/>
      <c r="G218" s="392"/>
      <c r="H218" s="394"/>
      <c r="I218" s="392"/>
      <c r="J218" s="392"/>
      <c r="K218" s="393"/>
      <c r="L218" s="393"/>
      <c r="M218" s="393"/>
      <c r="N218" s="393"/>
      <c r="O218" s="393"/>
      <c r="P218" s="393"/>
      <c r="Q218" s="394"/>
      <c r="R218" s="395"/>
      <c r="S218" s="388"/>
      <c r="T218" s="388"/>
      <c r="U218" s="388"/>
      <c r="V218" s="388"/>
      <c r="W218" s="388"/>
      <c r="X218" s="388"/>
      <c r="Y218" s="388"/>
      <c r="Z218" s="388"/>
      <c r="AA218" s="388"/>
      <c r="AB218" s="388"/>
      <c r="AC218" s="388"/>
      <c r="AD218" s="388"/>
      <c r="AE218" s="388"/>
      <c r="AF218" s="388"/>
      <c r="AG218" s="388"/>
      <c r="AH218" s="388"/>
      <c r="AI218" s="388"/>
      <c r="AJ218" s="388"/>
      <c r="AK218" s="388"/>
      <c r="AL218" s="388"/>
      <c r="AM218" s="388"/>
      <c r="AN218" s="388"/>
      <c r="AO218" s="388"/>
      <c r="AP218" s="388"/>
      <c r="AQ218" s="388"/>
      <c r="AR218" s="388"/>
      <c r="AS218" s="388"/>
      <c r="AT218" s="388"/>
    </row>
    <row r="219" spans="1:46">
      <c r="B219" s="388"/>
      <c r="C219" s="391"/>
      <c r="D219" s="392"/>
      <c r="E219" s="392"/>
      <c r="F219" s="393"/>
      <c r="G219" s="392"/>
      <c r="H219" s="394"/>
      <c r="I219" s="392"/>
      <c r="J219" s="392"/>
      <c r="K219" s="393"/>
      <c r="L219" s="393"/>
      <c r="M219" s="393"/>
      <c r="N219" s="393"/>
      <c r="O219" s="393"/>
      <c r="P219" s="393"/>
      <c r="Q219" s="394"/>
      <c r="R219" s="395"/>
      <c r="S219" s="388"/>
      <c r="T219" s="388"/>
      <c r="U219" s="388"/>
      <c r="V219" s="388"/>
      <c r="W219" s="388"/>
      <c r="X219" s="388"/>
      <c r="Y219" s="388"/>
      <c r="Z219" s="388"/>
      <c r="AA219" s="388"/>
      <c r="AB219" s="388"/>
      <c r="AC219" s="388"/>
      <c r="AD219" s="388"/>
      <c r="AE219" s="388"/>
      <c r="AF219" s="388"/>
      <c r="AG219" s="388"/>
      <c r="AH219" s="388"/>
      <c r="AI219" s="388"/>
      <c r="AJ219" s="388"/>
      <c r="AK219" s="388"/>
      <c r="AL219" s="388"/>
      <c r="AM219" s="388"/>
      <c r="AN219" s="388"/>
      <c r="AO219" s="388"/>
      <c r="AP219" s="388"/>
      <c r="AQ219" s="388"/>
      <c r="AR219" s="388"/>
      <c r="AS219" s="388"/>
      <c r="AT219" s="388"/>
    </row>
    <row r="220" spans="1:46">
      <c r="B220" s="388"/>
      <c r="C220" s="391"/>
      <c r="D220" s="392"/>
      <c r="E220" s="392"/>
      <c r="F220" s="393"/>
      <c r="G220" s="392"/>
      <c r="H220" s="394"/>
      <c r="I220" s="392"/>
      <c r="J220" s="392"/>
      <c r="K220" s="393"/>
      <c r="L220" s="393"/>
      <c r="M220" s="393"/>
      <c r="N220" s="393"/>
      <c r="O220" s="393"/>
      <c r="P220" s="393"/>
      <c r="Q220" s="394"/>
      <c r="R220" s="395"/>
      <c r="S220" s="388"/>
      <c r="T220" s="388"/>
      <c r="U220" s="388"/>
      <c r="V220" s="388"/>
      <c r="W220" s="388"/>
      <c r="X220" s="388"/>
      <c r="Y220" s="388"/>
      <c r="Z220" s="388"/>
      <c r="AA220" s="388"/>
      <c r="AB220" s="388"/>
      <c r="AC220" s="388"/>
      <c r="AD220" s="388"/>
      <c r="AE220" s="388"/>
      <c r="AF220" s="388"/>
      <c r="AG220" s="388"/>
      <c r="AH220" s="388"/>
      <c r="AI220" s="388"/>
      <c r="AJ220" s="388"/>
      <c r="AK220" s="388"/>
      <c r="AL220" s="388"/>
      <c r="AM220" s="388"/>
      <c r="AN220" s="388"/>
      <c r="AO220" s="388"/>
      <c r="AP220" s="388"/>
      <c r="AQ220" s="388"/>
      <c r="AR220" s="388"/>
      <c r="AS220" s="388"/>
      <c r="AT220" s="388"/>
    </row>
    <row r="221" spans="1:46">
      <c r="B221" s="388"/>
      <c r="C221" s="391"/>
      <c r="D221" s="392"/>
      <c r="E221" s="392"/>
      <c r="F221" s="393"/>
      <c r="G221" s="392"/>
      <c r="H221" s="394"/>
      <c r="I221" s="392"/>
      <c r="J221" s="392"/>
      <c r="K221" s="393"/>
      <c r="L221" s="393"/>
      <c r="M221" s="393"/>
      <c r="N221" s="393"/>
      <c r="O221" s="393"/>
      <c r="P221" s="393"/>
      <c r="Q221" s="394"/>
      <c r="R221" s="395"/>
      <c r="S221" s="388"/>
      <c r="T221" s="388"/>
      <c r="U221" s="388"/>
      <c r="V221" s="388"/>
      <c r="W221" s="388"/>
      <c r="X221" s="388"/>
      <c r="Y221" s="388"/>
      <c r="Z221" s="388"/>
      <c r="AA221" s="388"/>
      <c r="AB221" s="388"/>
      <c r="AC221" s="388"/>
      <c r="AD221" s="388"/>
      <c r="AE221" s="388"/>
      <c r="AF221" s="388"/>
      <c r="AG221" s="388"/>
      <c r="AH221" s="388"/>
      <c r="AI221" s="388"/>
      <c r="AJ221" s="388"/>
      <c r="AK221" s="388"/>
      <c r="AL221" s="388"/>
      <c r="AM221" s="388"/>
      <c r="AN221" s="388"/>
      <c r="AO221" s="388"/>
      <c r="AP221" s="388"/>
      <c r="AQ221" s="388"/>
      <c r="AR221" s="388"/>
      <c r="AS221" s="388"/>
      <c r="AT221" s="388"/>
    </row>
    <row r="222" spans="1:46">
      <c r="B222" s="388"/>
      <c r="C222" s="391"/>
      <c r="D222" s="392"/>
      <c r="E222" s="392"/>
      <c r="F222" s="393"/>
      <c r="G222" s="392"/>
      <c r="H222" s="394"/>
      <c r="I222" s="392"/>
      <c r="J222" s="392"/>
      <c r="K222" s="393"/>
      <c r="L222" s="393"/>
      <c r="M222" s="393"/>
      <c r="N222" s="393"/>
      <c r="O222" s="393"/>
      <c r="P222" s="393"/>
      <c r="Q222" s="394"/>
      <c r="R222" s="395"/>
      <c r="S222" s="388"/>
      <c r="T222" s="388"/>
      <c r="U222" s="388"/>
      <c r="V222" s="388"/>
      <c r="W222" s="388"/>
      <c r="X222" s="388"/>
      <c r="Y222" s="388"/>
      <c r="Z222" s="388"/>
      <c r="AA222" s="388"/>
      <c r="AB222" s="388"/>
      <c r="AC222" s="388"/>
      <c r="AD222" s="388"/>
      <c r="AE222" s="388"/>
      <c r="AF222" s="388"/>
      <c r="AG222" s="388"/>
      <c r="AH222" s="388"/>
      <c r="AI222" s="388"/>
      <c r="AJ222" s="388"/>
      <c r="AK222" s="388"/>
      <c r="AL222" s="388"/>
      <c r="AM222" s="388"/>
      <c r="AN222" s="388"/>
      <c r="AO222" s="388"/>
      <c r="AP222" s="388"/>
      <c r="AQ222" s="388"/>
      <c r="AR222" s="388"/>
      <c r="AS222" s="388"/>
      <c r="AT222" s="388"/>
    </row>
    <row r="223" spans="1:46">
      <c r="B223" s="388"/>
      <c r="C223" s="391"/>
      <c r="D223" s="392"/>
      <c r="E223" s="392"/>
      <c r="F223" s="393"/>
      <c r="G223" s="392"/>
      <c r="H223" s="394"/>
      <c r="I223" s="392"/>
      <c r="J223" s="392"/>
      <c r="K223" s="393"/>
      <c r="L223" s="393"/>
      <c r="M223" s="393"/>
      <c r="N223" s="393"/>
      <c r="O223" s="393"/>
      <c r="P223" s="393"/>
      <c r="Q223" s="394"/>
      <c r="R223" s="395"/>
      <c r="S223" s="388"/>
      <c r="T223" s="388"/>
      <c r="U223" s="388"/>
      <c r="V223" s="388"/>
      <c r="W223" s="388"/>
      <c r="X223" s="388"/>
      <c r="Y223" s="388"/>
      <c r="Z223" s="388"/>
      <c r="AA223" s="388"/>
      <c r="AB223" s="388"/>
      <c r="AC223" s="388"/>
      <c r="AD223" s="388"/>
      <c r="AE223" s="388"/>
      <c r="AF223" s="388"/>
      <c r="AG223" s="388"/>
      <c r="AH223" s="388"/>
      <c r="AI223" s="388"/>
      <c r="AJ223" s="388"/>
      <c r="AK223" s="388"/>
      <c r="AL223" s="388"/>
      <c r="AM223" s="388"/>
      <c r="AN223" s="388"/>
      <c r="AO223" s="388"/>
      <c r="AP223" s="388"/>
      <c r="AQ223" s="388"/>
      <c r="AR223" s="388"/>
      <c r="AS223" s="388"/>
      <c r="AT223" s="388"/>
    </row>
    <row r="224" spans="1:46">
      <c r="B224" s="388"/>
      <c r="C224" s="391"/>
      <c r="D224" s="392"/>
      <c r="E224" s="392"/>
      <c r="F224" s="393"/>
      <c r="G224" s="392"/>
      <c r="H224" s="394"/>
      <c r="I224" s="392"/>
      <c r="J224" s="392"/>
      <c r="K224" s="393"/>
      <c r="L224" s="393"/>
      <c r="M224" s="393"/>
      <c r="N224" s="393"/>
      <c r="O224" s="393"/>
      <c r="P224" s="393"/>
      <c r="Q224" s="394"/>
      <c r="R224" s="395"/>
      <c r="S224" s="388"/>
      <c r="T224" s="388"/>
      <c r="U224" s="388"/>
      <c r="V224" s="388"/>
      <c r="W224" s="388"/>
      <c r="X224" s="388"/>
      <c r="Y224" s="388"/>
      <c r="Z224" s="388"/>
      <c r="AA224" s="388"/>
      <c r="AB224" s="388"/>
      <c r="AC224" s="388"/>
      <c r="AD224" s="388"/>
      <c r="AE224" s="388"/>
      <c r="AF224" s="388"/>
      <c r="AG224" s="388"/>
      <c r="AH224" s="388"/>
      <c r="AI224" s="388"/>
      <c r="AJ224" s="388"/>
      <c r="AK224" s="388"/>
      <c r="AL224" s="388"/>
      <c r="AM224" s="388"/>
      <c r="AN224" s="388"/>
      <c r="AO224" s="388"/>
      <c r="AP224" s="388"/>
      <c r="AQ224" s="388"/>
      <c r="AR224" s="388"/>
      <c r="AS224" s="388"/>
      <c r="AT224" s="388"/>
    </row>
    <row r="225" spans="2:46">
      <c r="B225" s="388"/>
      <c r="C225" s="391"/>
      <c r="D225" s="392"/>
      <c r="E225" s="392"/>
      <c r="F225" s="393"/>
      <c r="G225" s="392"/>
      <c r="H225" s="394"/>
      <c r="I225" s="392"/>
      <c r="J225" s="392"/>
      <c r="K225" s="393"/>
      <c r="L225" s="393"/>
      <c r="M225" s="393"/>
      <c r="N225" s="393"/>
      <c r="O225" s="393"/>
      <c r="P225" s="393"/>
      <c r="Q225" s="394"/>
      <c r="R225" s="395"/>
      <c r="S225" s="388"/>
      <c r="T225" s="388"/>
      <c r="U225" s="388"/>
      <c r="V225" s="388"/>
      <c r="W225" s="388"/>
      <c r="X225" s="388"/>
      <c r="Y225" s="388"/>
      <c r="Z225" s="388"/>
      <c r="AA225" s="388"/>
      <c r="AB225" s="388"/>
      <c r="AC225" s="388"/>
      <c r="AD225" s="388"/>
      <c r="AE225" s="388"/>
      <c r="AF225" s="388"/>
      <c r="AG225" s="388"/>
      <c r="AH225" s="388"/>
      <c r="AI225" s="388"/>
      <c r="AJ225" s="388"/>
      <c r="AK225" s="388"/>
      <c r="AL225" s="388"/>
      <c r="AM225" s="388"/>
      <c r="AN225" s="388"/>
      <c r="AO225" s="388"/>
      <c r="AP225" s="388"/>
      <c r="AQ225" s="388"/>
      <c r="AR225" s="388"/>
      <c r="AS225" s="388"/>
      <c r="AT225" s="388"/>
    </row>
    <row r="226" spans="2:46">
      <c r="B226" s="388"/>
      <c r="C226" s="391"/>
      <c r="D226" s="392"/>
      <c r="E226" s="392"/>
      <c r="F226" s="393"/>
      <c r="G226" s="392"/>
      <c r="H226" s="394"/>
      <c r="I226" s="392"/>
      <c r="J226" s="392"/>
      <c r="K226" s="393"/>
      <c r="L226" s="393"/>
      <c r="M226" s="393"/>
      <c r="N226" s="393"/>
      <c r="O226" s="393"/>
      <c r="P226" s="393"/>
      <c r="Q226" s="394"/>
      <c r="R226" s="395"/>
      <c r="S226" s="388"/>
      <c r="T226" s="388"/>
      <c r="U226" s="388"/>
      <c r="V226" s="388"/>
      <c r="W226" s="388"/>
      <c r="X226" s="388"/>
      <c r="Y226" s="388"/>
      <c r="Z226" s="388"/>
      <c r="AA226" s="388"/>
      <c r="AB226" s="388"/>
      <c r="AC226" s="388"/>
      <c r="AD226" s="388"/>
      <c r="AE226" s="388"/>
      <c r="AF226" s="388"/>
      <c r="AG226" s="388"/>
      <c r="AH226" s="388"/>
      <c r="AI226" s="388"/>
      <c r="AJ226" s="388"/>
      <c r="AK226" s="388"/>
      <c r="AL226" s="388"/>
      <c r="AM226" s="388"/>
      <c r="AN226" s="388"/>
      <c r="AO226" s="388"/>
      <c r="AP226" s="388"/>
      <c r="AQ226" s="388"/>
      <c r="AR226" s="388"/>
      <c r="AS226" s="388"/>
      <c r="AT226" s="388"/>
    </row>
    <row r="227" spans="2:46">
      <c r="B227" s="388"/>
      <c r="C227" s="391"/>
      <c r="D227" s="392"/>
      <c r="E227" s="392"/>
      <c r="F227" s="393"/>
      <c r="G227" s="392"/>
      <c r="H227" s="394"/>
      <c r="I227" s="392"/>
      <c r="J227" s="392"/>
      <c r="K227" s="393"/>
      <c r="L227" s="393"/>
      <c r="M227" s="393"/>
      <c r="N227" s="393"/>
      <c r="O227" s="393"/>
      <c r="P227" s="393"/>
      <c r="Q227" s="394"/>
      <c r="R227" s="395"/>
      <c r="S227" s="388"/>
      <c r="T227" s="388"/>
      <c r="U227" s="388"/>
      <c r="V227" s="388"/>
      <c r="W227" s="388"/>
      <c r="X227" s="388"/>
      <c r="Y227" s="388"/>
      <c r="Z227" s="388"/>
      <c r="AA227" s="388"/>
      <c r="AB227" s="388"/>
      <c r="AC227" s="388"/>
      <c r="AD227" s="388"/>
      <c r="AE227" s="388"/>
      <c r="AF227" s="388"/>
      <c r="AG227" s="388"/>
      <c r="AH227" s="388"/>
      <c r="AI227" s="388"/>
      <c r="AJ227" s="388"/>
      <c r="AK227" s="388"/>
      <c r="AL227" s="388"/>
      <c r="AM227" s="388"/>
      <c r="AN227" s="388"/>
      <c r="AO227" s="388"/>
      <c r="AP227" s="388"/>
      <c r="AQ227" s="388"/>
      <c r="AR227" s="388"/>
      <c r="AS227" s="388"/>
      <c r="AT227" s="388"/>
    </row>
    <row r="228" spans="2:46">
      <c r="B228" s="388"/>
      <c r="C228" s="391"/>
      <c r="D228" s="392"/>
      <c r="E228" s="392"/>
      <c r="F228" s="393"/>
      <c r="G228" s="392"/>
      <c r="H228" s="394"/>
      <c r="I228" s="392"/>
      <c r="J228" s="392"/>
      <c r="K228" s="393"/>
      <c r="L228" s="393"/>
      <c r="M228" s="393"/>
      <c r="N228" s="393"/>
      <c r="O228" s="393"/>
      <c r="P228" s="393"/>
      <c r="Q228" s="394"/>
      <c r="R228" s="395"/>
      <c r="S228" s="388"/>
      <c r="T228" s="388"/>
      <c r="U228" s="388"/>
      <c r="V228" s="388"/>
      <c r="W228" s="388"/>
      <c r="X228" s="388"/>
      <c r="Y228" s="388"/>
      <c r="Z228" s="388"/>
      <c r="AA228" s="388"/>
      <c r="AB228" s="388"/>
      <c r="AC228" s="388"/>
      <c r="AD228" s="388"/>
      <c r="AE228" s="388"/>
      <c r="AF228" s="388"/>
      <c r="AG228" s="388"/>
      <c r="AH228" s="388"/>
      <c r="AI228" s="388"/>
      <c r="AJ228" s="388"/>
      <c r="AK228" s="388"/>
      <c r="AL228" s="388"/>
      <c r="AM228" s="388"/>
      <c r="AN228" s="388"/>
      <c r="AO228" s="388"/>
      <c r="AP228" s="388"/>
      <c r="AQ228" s="388"/>
      <c r="AR228" s="388"/>
      <c r="AS228" s="388"/>
      <c r="AT228" s="388"/>
    </row>
    <row r="229" spans="2:46">
      <c r="B229" s="388"/>
      <c r="C229" s="391"/>
      <c r="D229" s="392"/>
      <c r="E229" s="392"/>
      <c r="F229" s="393"/>
      <c r="G229" s="392"/>
      <c r="H229" s="394"/>
      <c r="I229" s="392"/>
      <c r="J229" s="392"/>
      <c r="K229" s="393"/>
      <c r="L229" s="393"/>
      <c r="M229" s="393"/>
      <c r="N229" s="393"/>
      <c r="O229" s="393"/>
      <c r="P229" s="393"/>
      <c r="Q229" s="394"/>
      <c r="R229" s="395"/>
      <c r="S229" s="388"/>
      <c r="T229" s="388"/>
      <c r="U229" s="388"/>
      <c r="V229" s="388"/>
      <c r="W229" s="388"/>
      <c r="X229" s="388"/>
      <c r="Y229" s="388"/>
      <c r="Z229" s="388"/>
      <c r="AA229" s="388"/>
      <c r="AB229" s="388"/>
      <c r="AC229" s="388"/>
      <c r="AD229" s="388"/>
      <c r="AE229" s="388"/>
      <c r="AF229" s="388"/>
      <c r="AG229" s="388"/>
      <c r="AH229" s="388"/>
      <c r="AI229" s="388"/>
      <c r="AJ229" s="388"/>
      <c r="AK229" s="388"/>
      <c r="AL229" s="388"/>
      <c r="AM229" s="388"/>
      <c r="AN229" s="388"/>
      <c r="AO229" s="388"/>
      <c r="AP229" s="388"/>
      <c r="AQ229" s="388"/>
      <c r="AR229" s="388"/>
      <c r="AS229" s="388"/>
      <c r="AT229" s="388"/>
    </row>
    <row r="230" spans="2:46">
      <c r="B230" s="388"/>
      <c r="C230" s="391"/>
      <c r="D230" s="392"/>
      <c r="E230" s="392"/>
      <c r="F230" s="393"/>
      <c r="G230" s="392"/>
      <c r="H230" s="394"/>
      <c r="I230" s="392"/>
      <c r="J230" s="392"/>
      <c r="K230" s="393"/>
      <c r="L230" s="393"/>
      <c r="M230" s="393"/>
      <c r="N230" s="393"/>
      <c r="O230" s="393"/>
      <c r="P230" s="393"/>
      <c r="Q230" s="394"/>
      <c r="R230" s="395"/>
      <c r="S230" s="388"/>
      <c r="T230" s="388"/>
      <c r="U230" s="388"/>
      <c r="V230" s="388"/>
      <c r="W230" s="388"/>
      <c r="X230" s="388"/>
      <c r="Y230" s="388"/>
      <c r="Z230" s="388"/>
      <c r="AA230" s="388"/>
      <c r="AB230" s="388"/>
      <c r="AC230" s="388"/>
      <c r="AD230" s="388"/>
      <c r="AE230" s="388"/>
      <c r="AF230" s="388"/>
      <c r="AG230" s="388"/>
      <c r="AH230" s="388"/>
      <c r="AI230" s="388"/>
      <c r="AJ230" s="388"/>
      <c r="AK230" s="388"/>
      <c r="AL230" s="388"/>
      <c r="AM230" s="388"/>
      <c r="AN230" s="388"/>
      <c r="AO230" s="388"/>
      <c r="AP230" s="388"/>
      <c r="AQ230" s="388"/>
      <c r="AR230" s="388"/>
      <c r="AS230" s="388"/>
      <c r="AT230" s="388"/>
    </row>
    <row r="231" spans="2:46">
      <c r="B231" s="388"/>
      <c r="C231" s="391"/>
      <c r="D231" s="392"/>
      <c r="E231" s="392"/>
      <c r="F231" s="393"/>
      <c r="G231" s="392"/>
      <c r="H231" s="394"/>
      <c r="I231" s="392"/>
      <c r="J231" s="392"/>
      <c r="K231" s="393"/>
      <c r="L231" s="393"/>
      <c r="M231" s="393"/>
      <c r="N231" s="393"/>
      <c r="O231" s="393"/>
      <c r="P231" s="393"/>
      <c r="Q231" s="394"/>
      <c r="R231" s="395"/>
      <c r="S231" s="388"/>
      <c r="T231" s="388"/>
      <c r="U231" s="388"/>
      <c r="V231" s="388"/>
      <c r="W231" s="388"/>
      <c r="X231" s="388"/>
      <c r="Y231" s="388"/>
      <c r="Z231" s="388"/>
      <c r="AA231" s="388"/>
      <c r="AB231" s="388"/>
      <c r="AC231" s="388"/>
      <c r="AD231" s="388"/>
      <c r="AE231" s="388"/>
      <c r="AF231" s="388"/>
      <c r="AG231" s="388"/>
      <c r="AH231" s="388"/>
      <c r="AI231" s="388"/>
      <c r="AJ231" s="388"/>
      <c r="AK231" s="388"/>
      <c r="AL231" s="388"/>
      <c r="AM231" s="388"/>
      <c r="AN231" s="388"/>
      <c r="AO231" s="388"/>
      <c r="AP231" s="388"/>
      <c r="AQ231" s="388"/>
      <c r="AR231" s="388"/>
      <c r="AS231" s="388"/>
      <c r="AT231" s="388"/>
    </row>
    <row r="232" spans="2:46">
      <c r="B232" s="388"/>
      <c r="C232" s="391"/>
      <c r="D232" s="392"/>
      <c r="E232" s="392"/>
      <c r="F232" s="393"/>
      <c r="G232" s="392"/>
      <c r="H232" s="394"/>
      <c r="I232" s="392"/>
      <c r="J232" s="392"/>
      <c r="K232" s="393"/>
      <c r="L232" s="393"/>
      <c r="M232" s="393"/>
      <c r="N232" s="393"/>
      <c r="O232" s="393"/>
      <c r="P232" s="393"/>
      <c r="Q232" s="394"/>
      <c r="R232" s="395"/>
      <c r="S232" s="388"/>
      <c r="T232" s="388"/>
      <c r="U232" s="388"/>
      <c r="V232" s="388"/>
      <c r="W232" s="388"/>
      <c r="X232" s="388"/>
      <c r="Y232" s="388"/>
      <c r="Z232" s="388"/>
      <c r="AA232" s="388"/>
      <c r="AB232" s="388"/>
      <c r="AC232" s="388"/>
      <c r="AD232" s="388"/>
      <c r="AE232" s="388"/>
      <c r="AF232" s="388"/>
      <c r="AG232" s="388"/>
      <c r="AH232" s="388"/>
      <c r="AI232" s="388"/>
      <c r="AJ232" s="388"/>
      <c r="AK232" s="388"/>
      <c r="AL232" s="388"/>
      <c r="AM232" s="388"/>
      <c r="AN232" s="388"/>
      <c r="AO232" s="388"/>
      <c r="AP232" s="388"/>
      <c r="AQ232" s="388"/>
      <c r="AR232" s="388"/>
      <c r="AS232" s="388"/>
      <c r="AT232" s="388"/>
    </row>
    <row r="233" spans="2:46">
      <c r="B233" s="388"/>
      <c r="C233" s="391"/>
      <c r="D233" s="392"/>
      <c r="E233" s="392"/>
      <c r="F233" s="393"/>
      <c r="G233" s="392"/>
      <c r="H233" s="394"/>
      <c r="I233" s="392"/>
      <c r="J233" s="392"/>
      <c r="K233" s="393"/>
      <c r="L233" s="393"/>
      <c r="M233" s="393"/>
      <c r="N233" s="393"/>
      <c r="O233" s="393"/>
      <c r="P233" s="393"/>
      <c r="Q233" s="394"/>
      <c r="R233" s="395"/>
      <c r="S233" s="388"/>
      <c r="T233" s="388"/>
      <c r="U233" s="388"/>
      <c r="V233" s="388"/>
      <c r="W233" s="388"/>
      <c r="X233" s="388"/>
      <c r="Y233" s="388"/>
      <c r="Z233" s="388"/>
      <c r="AA233" s="388"/>
      <c r="AB233" s="388"/>
      <c r="AC233" s="388"/>
      <c r="AD233" s="388"/>
      <c r="AE233" s="388"/>
      <c r="AF233" s="388"/>
      <c r="AG233" s="388"/>
      <c r="AH233" s="388"/>
      <c r="AI233" s="388"/>
      <c r="AJ233" s="388"/>
      <c r="AK233" s="388"/>
      <c r="AL233" s="388"/>
      <c r="AM233" s="388"/>
      <c r="AN233" s="388"/>
      <c r="AO233" s="388"/>
      <c r="AP233" s="388"/>
      <c r="AQ233" s="388"/>
      <c r="AR233" s="388"/>
      <c r="AS233" s="388"/>
      <c r="AT233" s="388"/>
    </row>
    <row r="234" spans="2:46">
      <c r="B234" s="388"/>
      <c r="C234" s="391"/>
      <c r="D234" s="392"/>
      <c r="E234" s="392"/>
      <c r="F234" s="393"/>
      <c r="G234" s="392"/>
      <c r="H234" s="394"/>
      <c r="I234" s="392"/>
      <c r="J234" s="392"/>
      <c r="K234" s="393"/>
      <c r="L234" s="393"/>
      <c r="M234" s="393"/>
      <c r="N234" s="393"/>
      <c r="O234" s="393"/>
      <c r="P234" s="393"/>
      <c r="Q234" s="394"/>
      <c r="R234" s="395"/>
      <c r="S234" s="388"/>
      <c r="T234" s="388"/>
      <c r="U234" s="388"/>
      <c r="V234" s="388"/>
      <c r="W234" s="388"/>
      <c r="X234" s="388"/>
      <c r="Y234" s="388"/>
      <c r="Z234" s="388"/>
      <c r="AA234" s="388"/>
      <c r="AB234" s="388"/>
      <c r="AC234" s="388"/>
      <c r="AD234" s="388"/>
      <c r="AE234" s="388"/>
      <c r="AF234" s="388"/>
      <c r="AG234" s="388"/>
      <c r="AH234" s="388"/>
      <c r="AI234" s="388"/>
      <c r="AJ234" s="388"/>
      <c r="AK234" s="388"/>
      <c r="AL234" s="388"/>
      <c r="AM234" s="388"/>
      <c r="AN234" s="388"/>
      <c r="AO234" s="388"/>
      <c r="AP234" s="388"/>
      <c r="AQ234" s="388"/>
      <c r="AR234" s="388"/>
      <c r="AS234" s="388"/>
      <c r="AT234" s="388"/>
    </row>
    <row r="235" spans="2:46">
      <c r="B235" s="388"/>
      <c r="C235" s="391"/>
      <c r="D235" s="392"/>
      <c r="E235" s="392"/>
      <c r="F235" s="393"/>
      <c r="G235" s="392"/>
      <c r="H235" s="394"/>
      <c r="I235" s="392"/>
      <c r="J235" s="392"/>
      <c r="K235" s="393"/>
      <c r="L235" s="393"/>
      <c r="M235" s="393"/>
      <c r="N235" s="393"/>
      <c r="O235" s="393"/>
      <c r="P235" s="393"/>
      <c r="Q235" s="394"/>
      <c r="R235" s="395"/>
      <c r="S235" s="388"/>
      <c r="T235" s="388"/>
      <c r="U235" s="388"/>
      <c r="V235" s="388"/>
      <c r="W235" s="388"/>
      <c r="X235" s="388"/>
      <c r="Y235" s="388"/>
      <c r="Z235" s="388"/>
      <c r="AA235" s="388"/>
      <c r="AB235" s="388"/>
      <c r="AC235" s="388"/>
      <c r="AD235" s="388"/>
      <c r="AE235" s="388"/>
      <c r="AF235" s="388"/>
      <c r="AG235" s="388"/>
      <c r="AH235" s="388"/>
      <c r="AI235" s="388"/>
      <c r="AJ235" s="388"/>
      <c r="AK235" s="388"/>
      <c r="AL235" s="388"/>
      <c r="AM235" s="388"/>
      <c r="AN235" s="388"/>
      <c r="AO235" s="388"/>
      <c r="AP235" s="388"/>
      <c r="AQ235" s="388"/>
      <c r="AR235" s="388"/>
      <c r="AS235" s="388"/>
      <c r="AT235" s="388"/>
    </row>
    <row r="236" spans="2:46">
      <c r="B236" s="388"/>
      <c r="C236" s="391"/>
      <c r="D236" s="392"/>
      <c r="E236" s="392"/>
      <c r="F236" s="393"/>
      <c r="G236" s="392"/>
      <c r="H236" s="394"/>
      <c r="I236" s="392"/>
      <c r="J236" s="392"/>
      <c r="K236" s="393"/>
      <c r="L236" s="393"/>
      <c r="M236" s="393"/>
      <c r="N236" s="393"/>
      <c r="O236" s="393"/>
      <c r="P236" s="393"/>
      <c r="Q236" s="394"/>
      <c r="R236" s="395"/>
      <c r="S236" s="388"/>
      <c r="T236" s="388"/>
      <c r="U236" s="388"/>
      <c r="V236" s="388"/>
      <c r="W236" s="388"/>
      <c r="X236" s="388"/>
      <c r="Y236" s="388"/>
      <c r="Z236" s="388"/>
      <c r="AA236" s="388"/>
      <c r="AB236" s="388"/>
      <c r="AC236" s="388"/>
      <c r="AD236" s="388"/>
      <c r="AE236" s="388"/>
      <c r="AF236" s="388"/>
      <c r="AG236" s="388"/>
      <c r="AH236" s="388"/>
      <c r="AI236" s="388"/>
      <c r="AJ236" s="388"/>
      <c r="AK236" s="388"/>
      <c r="AL236" s="388"/>
      <c r="AM236" s="388"/>
      <c r="AN236" s="388"/>
      <c r="AO236" s="388"/>
      <c r="AP236" s="388"/>
      <c r="AQ236" s="388"/>
      <c r="AR236" s="388"/>
      <c r="AS236" s="388"/>
      <c r="AT236" s="388"/>
    </row>
    <row r="237" spans="2:46">
      <c r="B237" s="388"/>
      <c r="C237" s="391"/>
      <c r="D237" s="392"/>
      <c r="E237" s="392"/>
      <c r="F237" s="393"/>
      <c r="G237" s="392"/>
      <c r="H237" s="394"/>
      <c r="I237" s="392"/>
      <c r="J237" s="392"/>
      <c r="K237" s="393"/>
      <c r="L237" s="393"/>
      <c r="M237" s="393"/>
      <c r="N237" s="393"/>
      <c r="O237" s="393"/>
      <c r="P237" s="393"/>
      <c r="Q237" s="394"/>
      <c r="R237" s="395"/>
      <c r="S237" s="388"/>
      <c r="T237" s="388"/>
      <c r="U237" s="388"/>
      <c r="V237" s="388"/>
      <c r="W237" s="388"/>
      <c r="X237" s="388"/>
      <c r="Y237" s="388"/>
      <c r="Z237" s="388"/>
      <c r="AA237" s="388"/>
      <c r="AB237" s="388"/>
      <c r="AC237" s="388"/>
      <c r="AD237" s="388"/>
      <c r="AE237" s="388"/>
      <c r="AF237" s="388"/>
      <c r="AG237" s="388"/>
      <c r="AH237" s="388"/>
      <c r="AI237" s="388"/>
      <c r="AJ237" s="388"/>
      <c r="AK237" s="388"/>
      <c r="AL237" s="388"/>
      <c r="AM237" s="388"/>
      <c r="AN237" s="388"/>
      <c r="AO237" s="388"/>
      <c r="AP237" s="388"/>
      <c r="AQ237" s="388"/>
      <c r="AR237" s="388"/>
      <c r="AS237" s="388"/>
      <c r="AT237" s="388"/>
    </row>
    <row r="238" spans="2:46">
      <c r="B238" s="388"/>
      <c r="C238" s="391"/>
      <c r="D238" s="392"/>
      <c r="E238" s="392"/>
      <c r="F238" s="393"/>
      <c r="G238" s="392"/>
      <c r="H238" s="394"/>
      <c r="I238" s="392"/>
      <c r="J238" s="392"/>
      <c r="K238" s="393"/>
      <c r="L238" s="393"/>
      <c r="M238" s="393"/>
      <c r="N238" s="393"/>
      <c r="O238" s="393"/>
      <c r="P238" s="393"/>
      <c r="Q238" s="394"/>
      <c r="R238" s="395"/>
      <c r="S238" s="388"/>
      <c r="T238" s="388"/>
      <c r="U238" s="388"/>
      <c r="V238" s="388"/>
      <c r="W238" s="388"/>
      <c r="X238" s="388"/>
      <c r="Y238" s="388"/>
      <c r="Z238" s="388"/>
      <c r="AA238" s="388"/>
      <c r="AB238" s="388"/>
      <c r="AC238" s="388"/>
      <c r="AD238" s="388"/>
      <c r="AE238" s="388"/>
      <c r="AF238" s="388"/>
      <c r="AG238" s="388"/>
      <c r="AH238" s="388"/>
      <c r="AI238" s="388"/>
      <c r="AJ238" s="388"/>
      <c r="AK238" s="388"/>
      <c r="AL238" s="388"/>
      <c r="AM238" s="388"/>
      <c r="AN238" s="388"/>
      <c r="AO238" s="388"/>
      <c r="AP238" s="388"/>
      <c r="AQ238" s="388"/>
      <c r="AR238" s="388"/>
      <c r="AS238" s="388"/>
      <c r="AT238" s="388"/>
    </row>
    <row r="239" spans="2:46">
      <c r="B239" s="388"/>
      <c r="C239" s="391"/>
      <c r="D239" s="392"/>
      <c r="E239" s="392"/>
      <c r="F239" s="393"/>
      <c r="G239" s="392"/>
      <c r="H239" s="394"/>
      <c r="I239" s="392"/>
      <c r="J239" s="392"/>
      <c r="K239" s="393"/>
      <c r="L239" s="393"/>
      <c r="M239" s="393"/>
      <c r="N239" s="393"/>
      <c r="O239" s="393"/>
      <c r="P239" s="393"/>
      <c r="Q239" s="394"/>
      <c r="R239" s="395"/>
      <c r="S239" s="388"/>
      <c r="T239" s="388"/>
      <c r="U239" s="388"/>
      <c r="V239" s="388"/>
      <c r="W239" s="388"/>
      <c r="X239" s="388"/>
      <c r="Y239" s="388"/>
      <c r="Z239" s="388"/>
      <c r="AA239" s="388"/>
      <c r="AB239" s="388"/>
      <c r="AC239" s="388"/>
      <c r="AD239" s="388"/>
      <c r="AE239" s="388"/>
      <c r="AF239" s="388"/>
      <c r="AG239" s="388"/>
      <c r="AH239" s="388"/>
      <c r="AI239" s="388"/>
      <c r="AJ239" s="388"/>
      <c r="AK239" s="388"/>
      <c r="AL239" s="388"/>
      <c r="AM239" s="388"/>
      <c r="AN239" s="388"/>
      <c r="AO239" s="388"/>
      <c r="AP239" s="388"/>
      <c r="AQ239" s="388"/>
      <c r="AR239" s="388"/>
      <c r="AS239" s="388"/>
      <c r="AT239" s="388"/>
    </row>
    <row r="240" spans="2:46">
      <c r="B240" s="388"/>
      <c r="C240" s="391"/>
      <c r="D240" s="392"/>
      <c r="E240" s="392"/>
      <c r="F240" s="393"/>
      <c r="G240" s="392"/>
      <c r="H240" s="394"/>
      <c r="I240" s="392"/>
      <c r="J240" s="392"/>
      <c r="K240" s="393"/>
      <c r="L240" s="393"/>
      <c r="M240" s="393"/>
      <c r="N240" s="393"/>
      <c r="O240" s="393"/>
      <c r="P240" s="393"/>
      <c r="Q240" s="394"/>
      <c r="R240" s="395"/>
      <c r="S240" s="388"/>
      <c r="T240" s="388"/>
      <c r="U240" s="388"/>
      <c r="V240" s="388"/>
      <c r="W240" s="388"/>
      <c r="X240" s="388"/>
      <c r="Y240" s="388"/>
      <c r="Z240" s="388"/>
      <c r="AA240" s="388"/>
      <c r="AB240" s="388"/>
      <c r="AC240" s="388"/>
      <c r="AD240" s="388"/>
      <c r="AE240" s="388"/>
      <c r="AF240" s="388"/>
      <c r="AG240" s="388"/>
      <c r="AH240" s="388"/>
      <c r="AI240" s="388"/>
      <c r="AJ240" s="388"/>
      <c r="AK240" s="388"/>
      <c r="AL240" s="388"/>
      <c r="AM240" s="388"/>
      <c r="AN240" s="388"/>
      <c r="AO240" s="388"/>
      <c r="AP240" s="388"/>
      <c r="AQ240" s="388"/>
      <c r="AR240" s="388"/>
      <c r="AS240" s="388"/>
      <c r="AT240" s="388"/>
    </row>
    <row r="241" spans="2:46">
      <c r="B241" s="388"/>
      <c r="C241" s="391"/>
      <c r="D241" s="392"/>
      <c r="E241" s="392"/>
      <c r="F241" s="393"/>
      <c r="G241" s="392"/>
      <c r="H241" s="394"/>
      <c r="I241" s="392"/>
      <c r="J241" s="392"/>
      <c r="K241" s="393"/>
      <c r="L241" s="393"/>
      <c r="M241" s="393"/>
      <c r="N241" s="393"/>
      <c r="O241" s="393"/>
      <c r="P241" s="393"/>
      <c r="Q241" s="394"/>
      <c r="R241" s="395"/>
      <c r="S241" s="388"/>
      <c r="T241" s="388"/>
      <c r="U241" s="388"/>
      <c r="V241" s="388"/>
      <c r="W241" s="388"/>
      <c r="X241" s="388"/>
      <c r="Y241" s="388"/>
      <c r="Z241" s="388"/>
      <c r="AA241" s="388"/>
      <c r="AB241" s="388"/>
      <c r="AC241" s="388"/>
      <c r="AD241" s="388"/>
      <c r="AE241" s="388"/>
      <c r="AF241" s="388"/>
      <c r="AG241" s="388"/>
      <c r="AH241" s="388"/>
      <c r="AI241" s="388"/>
      <c r="AJ241" s="388"/>
      <c r="AK241" s="388"/>
      <c r="AL241" s="388"/>
      <c r="AM241" s="388"/>
      <c r="AN241" s="388"/>
      <c r="AO241" s="388"/>
      <c r="AP241" s="388"/>
      <c r="AQ241" s="388"/>
      <c r="AR241" s="388"/>
      <c r="AS241" s="388"/>
      <c r="AT241" s="388"/>
    </row>
    <row r="242" spans="2:46">
      <c r="B242" s="388"/>
      <c r="C242" s="391"/>
      <c r="D242" s="392"/>
      <c r="E242" s="392"/>
      <c r="F242" s="393"/>
      <c r="G242" s="392"/>
      <c r="H242" s="394"/>
      <c r="I242" s="392"/>
      <c r="J242" s="392"/>
      <c r="K242" s="393"/>
      <c r="L242" s="393"/>
      <c r="M242" s="393"/>
      <c r="N242" s="393"/>
      <c r="O242" s="393"/>
      <c r="P242" s="393"/>
      <c r="Q242" s="394"/>
      <c r="R242" s="395"/>
      <c r="S242" s="388"/>
      <c r="T242" s="388"/>
      <c r="U242" s="388"/>
      <c r="V242" s="388"/>
      <c r="W242" s="388"/>
      <c r="X242" s="388"/>
      <c r="Y242" s="388"/>
      <c r="Z242" s="388"/>
      <c r="AA242" s="388"/>
      <c r="AB242" s="388"/>
      <c r="AC242" s="388"/>
      <c r="AD242" s="388"/>
      <c r="AE242" s="388"/>
      <c r="AF242" s="388"/>
      <c r="AG242" s="388"/>
      <c r="AH242" s="388"/>
      <c r="AI242" s="388"/>
      <c r="AJ242" s="388"/>
      <c r="AK242" s="388"/>
      <c r="AL242" s="388"/>
      <c r="AM242" s="388"/>
      <c r="AN242" s="388"/>
      <c r="AO242" s="388"/>
      <c r="AP242" s="388"/>
      <c r="AQ242" s="388"/>
      <c r="AR242" s="388"/>
      <c r="AS242" s="388"/>
      <c r="AT242" s="388"/>
    </row>
    <row r="243" spans="2:46">
      <c r="B243" s="388"/>
      <c r="C243" s="391"/>
      <c r="D243" s="392"/>
      <c r="E243" s="392"/>
      <c r="F243" s="393"/>
      <c r="G243" s="392"/>
      <c r="H243" s="394"/>
      <c r="I243" s="392"/>
      <c r="J243" s="392"/>
      <c r="K243" s="393"/>
      <c r="L243" s="393"/>
      <c r="M243" s="393"/>
      <c r="N243" s="393"/>
      <c r="O243" s="393"/>
      <c r="P243" s="393"/>
      <c r="Q243" s="394"/>
      <c r="R243" s="395"/>
      <c r="S243" s="388"/>
      <c r="T243" s="388"/>
      <c r="U243" s="388"/>
      <c r="V243" s="388"/>
      <c r="W243" s="388"/>
      <c r="X243" s="388"/>
      <c r="Y243" s="388"/>
      <c r="Z243" s="388"/>
      <c r="AA243" s="388"/>
      <c r="AB243" s="388"/>
      <c r="AC243" s="388"/>
      <c r="AD243" s="388"/>
      <c r="AE243" s="388"/>
      <c r="AF243" s="388"/>
      <c r="AG243" s="388"/>
      <c r="AH243" s="388"/>
      <c r="AI243" s="388"/>
      <c r="AJ243" s="388"/>
      <c r="AK243" s="388"/>
      <c r="AL243" s="388"/>
      <c r="AM243" s="388"/>
      <c r="AN243" s="388"/>
      <c r="AO243" s="388"/>
      <c r="AP243" s="388"/>
      <c r="AQ243" s="388"/>
      <c r="AR243" s="388"/>
      <c r="AS243" s="388"/>
      <c r="AT243" s="388"/>
    </row>
    <row r="244" spans="2:46">
      <c r="B244" s="388"/>
      <c r="C244" s="391"/>
      <c r="D244" s="392"/>
      <c r="E244" s="392"/>
      <c r="F244" s="393"/>
      <c r="G244" s="392"/>
      <c r="H244" s="394"/>
      <c r="I244" s="392"/>
      <c r="J244" s="392"/>
      <c r="K244" s="393"/>
      <c r="L244" s="393"/>
      <c r="M244" s="393"/>
      <c r="N244" s="393"/>
      <c r="O244" s="393"/>
      <c r="P244" s="393"/>
      <c r="Q244" s="394"/>
      <c r="R244" s="395"/>
      <c r="S244" s="388"/>
      <c r="T244" s="388"/>
      <c r="U244" s="388"/>
      <c r="V244" s="388"/>
      <c r="W244" s="388"/>
      <c r="X244" s="388"/>
      <c r="Y244" s="388"/>
      <c r="Z244" s="388"/>
      <c r="AA244" s="388"/>
      <c r="AB244" s="388"/>
      <c r="AC244" s="388"/>
      <c r="AD244" s="388"/>
      <c r="AE244" s="388"/>
      <c r="AF244" s="388"/>
      <c r="AG244" s="388"/>
      <c r="AH244" s="388"/>
      <c r="AI244" s="388"/>
      <c r="AJ244" s="388"/>
      <c r="AK244" s="388"/>
      <c r="AL244" s="388"/>
      <c r="AM244" s="388"/>
      <c r="AN244" s="388"/>
      <c r="AO244" s="388"/>
      <c r="AP244" s="388"/>
      <c r="AQ244" s="388"/>
      <c r="AR244" s="388"/>
      <c r="AS244" s="388"/>
      <c r="AT244" s="388"/>
    </row>
    <row r="245" spans="2:46">
      <c r="B245" s="388"/>
      <c r="C245" s="391"/>
      <c r="D245" s="392"/>
      <c r="E245" s="392"/>
      <c r="F245" s="393"/>
      <c r="G245" s="392"/>
      <c r="H245" s="394"/>
      <c r="I245" s="392"/>
      <c r="J245" s="392"/>
      <c r="K245" s="393"/>
      <c r="L245" s="393"/>
      <c r="M245" s="393"/>
      <c r="N245" s="393"/>
      <c r="O245" s="393"/>
      <c r="P245" s="393"/>
      <c r="Q245" s="394"/>
      <c r="R245" s="395"/>
      <c r="S245" s="388"/>
      <c r="T245" s="388"/>
      <c r="U245" s="388"/>
      <c r="V245" s="388"/>
      <c r="W245" s="388"/>
      <c r="X245" s="388"/>
      <c r="Y245" s="388"/>
      <c r="Z245" s="388"/>
      <c r="AA245" s="388"/>
      <c r="AB245" s="388"/>
      <c r="AC245" s="388"/>
      <c r="AD245" s="388"/>
      <c r="AE245" s="388"/>
      <c r="AF245" s="388"/>
      <c r="AG245" s="388"/>
      <c r="AH245" s="388"/>
      <c r="AI245" s="388"/>
      <c r="AJ245" s="388"/>
      <c r="AK245" s="388"/>
      <c r="AL245" s="388"/>
      <c r="AM245" s="388"/>
      <c r="AN245" s="388"/>
      <c r="AO245" s="388"/>
      <c r="AP245" s="388"/>
      <c r="AQ245" s="388"/>
      <c r="AR245" s="388"/>
      <c r="AS245" s="388"/>
      <c r="AT245" s="388"/>
    </row>
    <row r="246" spans="2:46">
      <c r="B246" s="388"/>
      <c r="C246" s="391"/>
      <c r="D246" s="392"/>
      <c r="E246" s="392"/>
      <c r="F246" s="393"/>
      <c r="G246" s="392"/>
      <c r="H246" s="394"/>
      <c r="I246" s="392"/>
      <c r="J246" s="392"/>
      <c r="K246" s="393"/>
      <c r="L246" s="393"/>
      <c r="M246" s="393"/>
      <c r="N246" s="393"/>
      <c r="O246" s="393"/>
      <c r="P246" s="393"/>
      <c r="Q246" s="394"/>
      <c r="R246" s="395"/>
      <c r="S246" s="388"/>
      <c r="T246" s="388"/>
      <c r="U246" s="388"/>
      <c r="V246" s="388"/>
      <c r="W246" s="388"/>
      <c r="X246" s="388"/>
      <c r="Y246" s="388"/>
      <c r="Z246" s="388"/>
      <c r="AA246" s="388"/>
      <c r="AB246" s="388"/>
      <c r="AC246" s="388"/>
      <c r="AD246" s="388"/>
      <c r="AE246" s="388"/>
      <c r="AF246" s="388"/>
      <c r="AG246" s="388"/>
      <c r="AH246" s="388"/>
      <c r="AI246" s="388"/>
      <c r="AJ246" s="388"/>
      <c r="AK246" s="388"/>
      <c r="AL246" s="388"/>
      <c r="AM246" s="388"/>
      <c r="AN246" s="388"/>
      <c r="AO246" s="388"/>
      <c r="AP246" s="388"/>
      <c r="AQ246" s="388"/>
      <c r="AR246" s="388"/>
      <c r="AS246" s="388"/>
      <c r="AT246" s="388"/>
    </row>
    <row r="247" spans="2:46">
      <c r="B247" s="388"/>
      <c r="C247" s="391"/>
      <c r="D247" s="392"/>
      <c r="E247" s="392"/>
      <c r="F247" s="393"/>
      <c r="G247" s="392"/>
      <c r="H247" s="394"/>
      <c r="I247" s="392"/>
      <c r="J247" s="392"/>
      <c r="K247" s="393"/>
      <c r="L247" s="393"/>
      <c r="M247" s="393"/>
      <c r="N247" s="393"/>
      <c r="O247" s="393"/>
      <c r="P247" s="393"/>
      <c r="Q247" s="394"/>
      <c r="R247" s="395"/>
      <c r="S247" s="388"/>
      <c r="T247" s="388"/>
      <c r="U247" s="388"/>
      <c r="V247" s="388"/>
      <c r="W247" s="388"/>
      <c r="X247" s="388"/>
      <c r="Y247" s="388"/>
      <c r="Z247" s="388"/>
      <c r="AA247" s="388"/>
      <c r="AB247" s="388"/>
      <c r="AC247" s="388"/>
      <c r="AD247" s="388"/>
      <c r="AE247" s="388"/>
      <c r="AF247" s="388"/>
      <c r="AG247" s="388"/>
      <c r="AH247" s="388"/>
      <c r="AI247" s="388"/>
      <c r="AJ247" s="388"/>
      <c r="AK247" s="388"/>
      <c r="AL247" s="388"/>
      <c r="AM247" s="388"/>
      <c r="AN247" s="388"/>
      <c r="AO247" s="388"/>
      <c r="AP247" s="388"/>
      <c r="AQ247" s="388"/>
      <c r="AR247" s="388"/>
      <c r="AS247" s="388"/>
      <c r="AT247" s="388"/>
    </row>
    <row r="248" spans="2:46">
      <c r="B248" s="388"/>
      <c r="C248" s="391"/>
      <c r="D248" s="392"/>
      <c r="E248" s="392"/>
      <c r="F248" s="393"/>
      <c r="G248" s="392"/>
      <c r="H248" s="394"/>
      <c r="I248" s="392"/>
      <c r="J248" s="392"/>
      <c r="K248" s="393"/>
      <c r="L248" s="393"/>
      <c r="M248" s="393"/>
      <c r="N248" s="393"/>
      <c r="O248" s="393"/>
      <c r="P248" s="393"/>
      <c r="Q248" s="394"/>
      <c r="R248" s="395"/>
      <c r="S248" s="388"/>
      <c r="T248" s="388"/>
      <c r="U248" s="388"/>
      <c r="V248" s="388"/>
      <c r="W248" s="388"/>
      <c r="X248" s="388"/>
      <c r="Y248" s="388"/>
      <c r="Z248" s="388"/>
      <c r="AA248" s="388"/>
      <c r="AB248" s="388"/>
      <c r="AC248" s="388"/>
      <c r="AD248" s="388"/>
      <c r="AE248" s="388"/>
      <c r="AF248" s="388"/>
      <c r="AG248" s="388"/>
      <c r="AH248" s="388"/>
      <c r="AI248" s="388"/>
      <c r="AJ248" s="388"/>
      <c r="AK248" s="388"/>
      <c r="AL248" s="388"/>
      <c r="AM248" s="388"/>
      <c r="AN248" s="388"/>
      <c r="AO248" s="388"/>
      <c r="AP248" s="388"/>
      <c r="AQ248" s="388"/>
      <c r="AR248" s="388"/>
      <c r="AS248" s="388"/>
      <c r="AT248" s="388"/>
    </row>
    <row r="249" spans="2:46">
      <c r="B249" s="388"/>
      <c r="C249" s="391"/>
      <c r="D249" s="392"/>
      <c r="E249" s="392"/>
      <c r="F249" s="393"/>
      <c r="G249" s="392"/>
      <c r="H249" s="394"/>
      <c r="I249" s="392"/>
      <c r="J249" s="392"/>
      <c r="K249" s="393"/>
      <c r="L249" s="393"/>
      <c r="M249" s="393"/>
      <c r="N249" s="393"/>
      <c r="O249" s="393"/>
      <c r="P249" s="393"/>
      <c r="Q249" s="394"/>
      <c r="R249" s="395"/>
      <c r="S249" s="388"/>
      <c r="T249" s="388"/>
      <c r="U249" s="388"/>
      <c r="V249" s="388"/>
      <c r="W249" s="388"/>
      <c r="X249" s="388"/>
      <c r="Y249" s="388"/>
      <c r="Z249" s="388"/>
      <c r="AA249" s="388"/>
      <c r="AB249" s="388"/>
      <c r="AC249" s="388"/>
      <c r="AD249" s="388"/>
      <c r="AE249" s="388"/>
      <c r="AF249" s="388"/>
      <c r="AG249" s="388"/>
      <c r="AH249" s="388"/>
      <c r="AI249" s="388"/>
      <c r="AJ249" s="388"/>
      <c r="AK249" s="388"/>
      <c r="AL249" s="388"/>
      <c r="AM249" s="388"/>
      <c r="AN249" s="388"/>
      <c r="AO249" s="388"/>
      <c r="AP249" s="388"/>
      <c r="AQ249" s="388"/>
      <c r="AR249" s="388"/>
      <c r="AS249" s="388"/>
      <c r="AT249" s="388"/>
    </row>
    <row r="250" spans="2:46">
      <c r="B250" s="388"/>
      <c r="C250" s="391"/>
      <c r="D250" s="392"/>
      <c r="E250" s="392"/>
      <c r="F250" s="393"/>
      <c r="G250" s="392"/>
      <c r="H250" s="394"/>
      <c r="I250" s="392"/>
      <c r="J250" s="392"/>
      <c r="K250" s="393"/>
      <c r="L250" s="393"/>
      <c r="M250" s="393"/>
      <c r="N250" s="393"/>
      <c r="O250" s="393"/>
      <c r="P250" s="393"/>
      <c r="Q250" s="394"/>
      <c r="R250" s="395"/>
      <c r="S250" s="388"/>
      <c r="T250" s="388"/>
      <c r="U250" s="388"/>
      <c r="V250" s="388"/>
      <c r="W250" s="388"/>
      <c r="X250" s="388"/>
      <c r="Y250" s="388"/>
      <c r="Z250" s="388"/>
      <c r="AA250" s="388"/>
      <c r="AB250" s="388"/>
      <c r="AC250" s="388"/>
      <c r="AD250" s="388"/>
      <c r="AE250" s="388"/>
      <c r="AF250" s="388"/>
      <c r="AG250" s="388"/>
      <c r="AH250" s="388"/>
      <c r="AI250" s="388"/>
      <c r="AJ250" s="388"/>
      <c r="AK250" s="388"/>
      <c r="AL250" s="388"/>
      <c r="AM250" s="388"/>
      <c r="AN250" s="388"/>
      <c r="AO250" s="388"/>
      <c r="AP250" s="388"/>
      <c r="AQ250" s="388"/>
      <c r="AR250" s="388"/>
      <c r="AS250" s="388"/>
      <c r="AT250" s="388"/>
    </row>
    <row r="251" spans="2:46">
      <c r="B251" s="388"/>
      <c r="C251" s="391"/>
      <c r="D251" s="392"/>
      <c r="E251" s="392"/>
      <c r="F251" s="393"/>
      <c r="G251" s="392"/>
      <c r="H251" s="394"/>
      <c r="I251" s="392"/>
      <c r="J251" s="392"/>
      <c r="K251" s="393"/>
      <c r="L251" s="393"/>
      <c r="M251" s="393"/>
      <c r="N251" s="393"/>
      <c r="O251" s="393"/>
      <c r="P251" s="393"/>
      <c r="Q251" s="394"/>
      <c r="R251" s="395"/>
      <c r="S251" s="388"/>
      <c r="T251" s="388"/>
      <c r="U251" s="388"/>
      <c r="V251" s="388"/>
      <c r="W251" s="388"/>
      <c r="X251" s="388"/>
      <c r="Y251" s="388"/>
      <c r="Z251" s="388"/>
      <c r="AA251" s="388"/>
      <c r="AB251" s="388"/>
      <c r="AC251" s="388"/>
      <c r="AD251" s="388"/>
      <c r="AE251" s="388"/>
      <c r="AF251" s="388"/>
      <c r="AG251" s="388"/>
      <c r="AH251" s="388"/>
      <c r="AI251" s="388"/>
      <c r="AJ251" s="388"/>
      <c r="AK251" s="388"/>
      <c r="AL251" s="388"/>
      <c r="AM251" s="388"/>
      <c r="AN251" s="388"/>
      <c r="AO251" s="388"/>
      <c r="AP251" s="388"/>
      <c r="AQ251" s="388"/>
      <c r="AR251" s="388"/>
      <c r="AS251" s="388"/>
      <c r="AT251" s="388"/>
    </row>
    <row r="252" spans="2:46">
      <c r="B252" s="388"/>
      <c r="C252" s="391"/>
      <c r="D252" s="392"/>
      <c r="E252" s="392"/>
      <c r="F252" s="393"/>
      <c r="G252" s="392"/>
      <c r="H252" s="394"/>
      <c r="I252" s="392"/>
      <c r="J252" s="392"/>
      <c r="K252" s="393"/>
      <c r="L252" s="393"/>
      <c r="M252" s="393"/>
      <c r="N252" s="393"/>
      <c r="O252" s="393"/>
      <c r="P252" s="393"/>
      <c r="Q252" s="394"/>
      <c r="R252" s="395"/>
      <c r="S252" s="388"/>
      <c r="T252" s="388"/>
      <c r="U252" s="388"/>
      <c r="V252" s="388"/>
      <c r="W252" s="388"/>
      <c r="X252" s="388"/>
      <c r="Y252" s="388"/>
      <c r="Z252" s="388"/>
      <c r="AA252" s="388"/>
      <c r="AB252" s="388"/>
      <c r="AC252" s="388"/>
      <c r="AD252" s="388"/>
      <c r="AE252" s="388"/>
      <c r="AF252" s="388"/>
      <c r="AG252" s="388"/>
      <c r="AH252" s="388"/>
      <c r="AI252" s="388"/>
      <c r="AJ252" s="388"/>
      <c r="AK252" s="388"/>
      <c r="AL252" s="388"/>
      <c r="AM252" s="388"/>
      <c r="AN252" s="388"/>
      <c r="AO252" s="388"/>
      <c r="AP252" s="388"/>
      <c r="AQ252" s="388"/>
      <c r="AR252" s="388"/>
      <c r="AS252" s="388"/>
      <c r="AT252" s="388"/>
    </row>
    <row r="253" spans="2:46">
      <c r="B253" s="388"/>
      <c r="C253" s="391"/>
      <c r="D253" s="392"/>
      <c r="E253" s="392"/>
      <c r="F253" s="393"/>
      <c r="G253" s="392"/>
      <c r="H253" s="394"/>
      <c r="I253" s="392"/>
      <c r="J253" s="392"/>
      <c r="K253" s="393"/>
      <c r="L253" s="393"/>
      <c r="M253" s="393"/>
      <c r="N253" s="393"/>
      <c r="O253" s="393"/>
      <c r="P253" s="393"/>
      <c r="Q253" s="394"/>
      <c r="R253" s="395"/>
      <c r="S253" s="388"/>
      <c r="T253" s="388"/>
      <c r="U253" s="388"/>
      <c r="V253" s="388"/>
      <c r="W253" s="388"/>
      <c r="X253" s="388"/>
      <c r="Y253" s="388"/>
      <c r="Z253" s="388"/>
      <c r="AA253" s="388"/>
      <c r="AB253" s="388"/>
      <c r="AC253" s="388"/>
      <c r="AD253" s="388"/>
      <c r="AE253" s="388"/>
      <c r="AF253" s="388"/>
      <c r="AG253" s="388"/>
      <c r="AH253" s="388"/>
      <c r="AI253" s="388"/>
      <c r="AJ253" s="388"/>
      <c r="AK253" s="388"/>
      <c r="AL253" s="388"/>
      <c r="AM253" s="388"/>
      <c r="AN253" s="388"/>
      <c r="AO253" s="388"/>
      <c r="AP253" s="388"/>
      <c r="AQ253" s="388"/>
      <c r="AR253" s="388"/>
      <c r="AS253" s="388"/>
      <c r="AT253" s="388"/>
    </row>
    <row r="254" spans="2:46">
      <c r="B254" s="388"/>
      <c r="C254" s="391"/>
      <c r="D254" s="392"/>
      <c r="E254" s="392"/>
      <c r="F254" s="393"/>
      <c r="G254" s="392"/>
      <c r="H254" s="394"/>
      <c r="I254" s="392"/>
      <c r="J254" s="392"/>
      <c r="K254" s="393"/>
      <c r="L254" s="393"/>
      <c r="M254" s="393"/>
      <c r="N254" s="393"/>
      <c r="O254" s="393"/>
      <c r="P254" s="393"/>
      <c r="Q254" s="394"/>
      <c r="R254" s="395"/>
      <c r="S254" s="388"/>
      <c r="T254" s="388"/>
      <c r="U254" s="388"/>
      <c r="V254" s="388"/>
      <c r="W254" s="388"/>
      <c r="X254" s="388"/>
      <c r="Y254" s="388"/>
      <c r="Z254" s="388"/>
      <c r="AA254" s="388"/>
      <c r="AB254" s="388"/>
      <c r="AC254" s="388"/>
      <c r="AD254" s="388"/>
      <c r="AE254" s="388"/>
      <c r="AF254" s="388"/>
      <c r="AG254" s="388"/>
      <c r="AH254" s="388"/>
      <c r="AI254" s="388"/>
      <c r="AJ254" s="388"/>
      <c r="AK254" s="388"/>
      <c r="AL254" s="388"/>
      <c r="AM254" s="388"/>
      <c r="AN254" s="388"/>
      <c r="AO254" s="388"/>
      <c r="AP254" s="388"/>
      <c r="AQ254" s="388"/>
      <c r="AR254" s="388"/>
      <c r="AS254" s="388"/>
      <c r="AT254" s="388"/>
    </row>
    <row r="255" spans="2:46">
      <c r="B255" s="388"/>
      <c r="C255" s="391"/>
      <c r="D255" s="392"/>
      <c r="E255" s="392"/>
      <c r="F255" s="393"/>
      <c r="G255" s="392"/>
      <c r="H255" s="394"/>
      <c r="I255" s="392"/>
      <c r="J255" s="392"/>
      <c r="K255" s="393"/>
      <c r="L255" s="393"/>
      <c r="M255" s="393"/>
      <c r="N255" s="393"/>
      <c r="O255" s="393"/>
      <c r="P255" s="393"/>
      <c r="Q255" s="394"/>
      <c r="R255" s="395"/>
      <c r="S255" s="388"/>
      <c r="T255" s="388"/>
      <c r="U255" s="388"/>
      <c r="V255" s="388"/>
      <c r="W255" s="388"/>
      <c r="X255" s="388"/>
      <c r="Y255" s="388"/>
      <c r="Z255" s="388"/>
      <c r="AA255" s="388"/>
      <c r="AB255" s="388"/>
      <c r="AC255" s="388"/>
      <c r="AD255" s="388"/>
      <c r="AE255" s="388"/>
      <c r="AF255" s="388"/>
      <c r="AG255" s="388"/>
      <c r="AH255" s="388"/>
      <c r="AI255" s="388"/>
      <c r="AJ255" s="388"/>
      <c r="AK255" s="388"/>
      <c r="AL255" s="388"/>
      <c r="AM255" s="388"/>
      <c r="AN255" s="388"/>
      <c r="AO255" s="388"/>
      <c r="AP255" s="388"/>
      <c r="AQ255" s="388"/>
      <c r="AR255" s="388"/>
      <c r="AS255" s="388"/>
      <c r="AT255" s="388"/>
    </row>
    <row r="256" spans="2:46">
      <c r="B256" s="388"/>
      <c r="C256" s="391"/>
      <c r="D256" s="392"/>
      <c r="E256" s="392"/>
      <c r="F256" s="393"/>
      <c r="G256" s="392"/>
      <c r="H256" s="394"/>
      <c r="I256" s="392"/>
      <c r="J256" s="392"/>
      <c r="K256" s="393"/>
      <c r="L256" s="393"/>
      <c r="M256" s="393"/>
      <c r="N256" s="393"/>
      <c r="O256" s="393"/>
      <c r="P256" s="393"/>
      <c r="Q256" s="394"/>
      <c r="R256" s="395"/>
      <c r="S256" s="388"/>
      <c r="T256" s="388"/>
      <c r="U256" s="388"/>
      <c r="V256" s="388"/>
      <c r="W256" s="388"/>
      <c r="X256" s="388"/>
      <c r="Y256" s="388"/>
      <c r="Z256" s="388"/>
      <c r="AA256" s="388"/>
      <c r="AB256" s="388"/>
      <c r="AC256" s="388"/>
      <c r="AD256" s="388"/>
      <c r="AE256" s="388"/>
      <c r="AF256" s="388"/>
      <c r="AG256" s="388"/>
      <c r="AH256" s="388"/>
      <c r="AI256" s="388"/>
      <c r="AJ256" s="388"/>
      <c r="AK256" s="388"/>
      <c r="AL256" s="388"/>
      <c r="AM256" s="388"/>
      <c r="AN256" s="388"/>
      <c r="AO256" s="388"/>
      <c r="AP256" s="388"/>
      <c r="AQ256" s="388"/>
      <c r="AR256" s="388"/>
      <c r="AS256" s="388"/>
      <c r="AT256" s="388"/>
    </row>
    <row r="257" spans="2:46">
      <c r="B257" s="388"/>
      <c r="C257" s="391"/>
      <c r="D257" s="392"/>
      <c r="E257" s="392"/>
      <c r="F257" s="393"/>
      <c r="G257" s="392"/>
      <c r="H257" s="394"/>
      <c r="I257" s="392"/>
      <c r="J257" s="392"/>
      <c r="K257" s="393"/>
      <c r="L257" s="393"/>
      <c r="M257" s="393"/>
      <c r="N257" s="393"/>
      <c r="O257" s="393"/>
      <c r="P257" s="393"/>
      <c r="Q257" s="394"/>
      <c r="R257" s="395"/>
      <c r="S257" s="388"/>
      <c r="T257" s="388"/>
      <c r="U257" s="388"/>
      <c r="V257" s="388"/>
      <c r="W257" s="388"/>
      <c r="X257" s="388"/>
      <c r="Y257" s="388"/>
      <c r="Z257" s="388"/>
      <c r="AA257" s="388"/>
      <c r="AB257" s="388"/>
      <c r="AC257" s="388"/>
      <c r="AD257" s="388"/>
      <c r="AE257" s="388"/>
      <c r="AF257" s="388"/>
      <c r="AG257" s="388"/>
      <c r="AH257" s="388"/>
      <c r="AI257" s="388"/>
      <c r="AJ257" s="388"/>
      <c r="AK257" s="388"/>
      <c r="AL257" s="388"/>
      <c r="AM257" s="388"/>
      <c r="AN257" s="388"/>
      <c r="AO257" s="388"/>
      <c r="AP257" s="388"/>
      <c r="AQ257" s="388"/>
      <c r="AR257" s="388"/>
      <c r="AS257" s="388"/>
      <c r="AT257" s="388"/>
    </row>
    <row r="258" spans="2:46">
      <c r="B258" s="388"/>
      <c r="C258" s="391"/>
      <c r="D258" s="392"/>
      <c r="E258" s="392"/>
      <c r="F258" s="393"/>
      <c r="G258" s="392"/>
      <c r="H258" s="394"/>
      <c r="I258" s="392"/>
      <c r="J258" s="392"/>
      <c r="K258" s="393"/>
      <c r="L258" s="393"/>
      <c r="M258" s="393"/>
      <c r="N258" s="393"/>
      <c r="O258" s="393"/>
      <c r="P258" s="393"/>
      <c r="Q258" s="394"/>
      <c r="R258" s="395"/>
      <c r="S258" s="388"/>
      <c r="T258" s="388"/>
      <c r="U258" s="388"/>
      <c r="V258" s="388"/>
      <c r="W258" s="388"/>
      <c r="X258" s="388"/>
      <c r="Y258" s="388"/>
      <c r="Z258" s="388"/>
      <c r="AA258" s="388"/>
      <c r="AB258" s="388"/>
      <c r="AC258" s="388"/>
      <c r="AD258" s="388"/>
      <c r="AE258" s="388"/>
      <c r="AF258" s="388"/>
      <c r="AG258" s="388"/>
      <c r="AH258" s="388"/>
      <c r="AI258" s="388"/>
      <c r="AJ258" s="388"/>
      <c r="AK258" s="388"/>
      <c r="AL258" s="388"/>
      <c r="AM258" s="388"/>
      <c r="AN258" s="388"/>
      <c r="AO258" s="388"/>
      <c r="AP258" s="388"/>
      <c r="AQ258" s="388"/>
      <c r="AR258" s="388"/>
      <c r="AS258" s="388"/>
      <c r="AT258" s="388"/>
    </row>
    <row r="259" spans="2:46">
      <c r="B259" s="388"/>
      <c r="C259" s="391"/>
      <c r="D259" s="392"/>
      <c r="E259" s="392"/>
      <c r="F259" s="393"/>
      <c r="G259" s="392"/>
      <c r="H259" s="394"/>
      <c r="I259" s="392"/>
      <c r="J259" s="392"/>
      <c r="K259" s="393"/>
      <c r="L259" s="393"/>
      <c r="M259" s="393"/>
      <c r="N259" s="393"/>
      <c r="O259" s="393"/>
      <c r="P259" s="393"/>
      <c r="Q259" s="394"/>
      <c r="R259" s="395"/>
      <c r="S259" s="388"/>
      <c r="T259" s="388"/>
      <c r="U259" s="388"/>
      <c r="V259" s="388"/>
      <c r="W259" s="388"/>
      <c r="X259" s="388"/>
      <c r="Y259" s="388"/>
      <c r="Z259" s="388"/>
      <c r="AA259" s="388"/>
      <c r="AB259" s="388"/>
      <c r="AC259" s="388"/>
      <c r="AD259" s="388"/>
      <c r="AE259" s="388"/>
      <c r="AF259" s="388"/>
      <c r="AG259" s="388"/>
      <c r="AH259" s="388"/>
      <c r="AI259" s="388"/>
      <c r="AJ259" s="388"/>
      <c r="AK259" s="388"/>
      <c r="AL259" s="388"/>
      <c r="AM259" s="388"/>
      <c r="AN259" s="388"/>
      <c r="AO259" s="388"/>
      <c r="AP259" s="388"/>
      <c r="AQ259" s="388"/>
      <c r="AR259" s="388"/>
      <c r="AS259" s="388"/>
      <c r="AT259" s="388"/>
    </row>
    <row r="260" spans="2:46">
      <c r="B260" s="388"/>
      <c r="C260" s="391"/>
      <c r="D260" s="392"/>
      <c r="E260" s="392"/>
      <c r="F260" s="393"/>
      <c r="G260" s="392"/>
      <c r="H260" s="394"/>
      <c r="I260" s="392"/>
      <c r="J260" s="392"/>
      <c r="K260" s="393"/>
      <c r="L260" s="393"/>
      <c r="M260" s="393"/>
      <c r="N260" s="393"/>
      <c r="O260" s="393"/>
      <c r="P260" s="393"/>
      <c r="Q260" s="394"/>
      <c r="R260" s="395"/>
      <c r="S260" s="388"/>
      <c r="T260" s="388"/>
      <c r="U260" s="388"/>
      <c r="V260" s="388"/>
      <c r="W260" s="388"/>
      <c r="X260" s="388"/>
      <c r="Y260" s="388"/>
      <c r="Z260" s="388"/>
      <c r="AA260" s="388"/>
      <c r="AB260" s="388"/>
      <c r="AC260" s="388"/>
      <c r="AD260" s="388"/>
      <c r="AE260" s="388"/>
      <c r="AF260" s="388"/>
      <c r="AG260" s="388"/>
      <c r="AH260" s="388"/>
      <c r="AI260" s="388"/>
      <c r="AJ260" s="388"/>
      <c r="AK260" s="388"/>
      <c r="AL260" s="388"/>
      <c r="AM260" s="388"/>
      <c r="AN260" s="388"/>
      <c r="AO260" s="388"/>
      <c r="AP260" s="388"/>
      <c r="AQ260" s="388"/>
      <c r="AR260" s="388"/>
      <c r="AS260" s="388"/>
      <c r="AT260" s="388"/>
    </row>
    <row r="261" spans="2:46">
      <c r="B261" s="388"/>
      <c r="C261" s="391"/>
      <c r="D261" s="392"/>
      <c r="E261" s="392"/>
      <c r="F261" s="393"/>
      <c r="G261" s="392"/>
      <c r="H261" s="394"/>
      <c r="I261" s="392"/>
      <c r="J261" s="392"/>
      <c r="K261" s="393"/>
      <c r="L261" s="393"/>
      <c r="M261" s="393"/>
      <c r="N261" s="393"/>
      <c r="O261" s="393"/>
      <c r="P261" s="393"/>
      <c r="Q261" s="394"/>
      <c r="R261" s="395"/>
      <c r="S261" s="388"/>
      <c r="T261" s="388"/>
      <c r="U261" s="388"/>
      <c r="V261" s="388"/>
      <c r="W261" s="388"/>
      <c r="X261" s="388"/>
      <c r="Y261" s="388"/>
      <c r="Z261" s="388"/>
      <c r="AA261" s="388"/>
      <c r="AB261" s="388"/>
      <c r="AC261" s="388"/>
      <c r="AD261" s="388"/>
      <c r="AE261" s="388"/>
      <c r="AF261" s="388"/>
      <c r="AG261" s="388"/>
      <c r="AH261" s="388"/>
      <c r="AI261" s="388"/>
      <c r="AJ261" s="388"/>
      <c r="AK261" s="388"/>
      <c r="AL261" s="388"/>
      <c r="AM261" s="388"/>
      <c r="AN261" s="388"/>
      <c r="AO261" s="388"/>
      <c r="AP261" s="388"/>
      <c r="AQ261" s="388"/>
      <c r="AR261" s="388"/>
      <c r="AS261" s="388"/>
      <c r="AT261" s="388"/>
    </row>
    <row r="262" spans="2:46">
      <c r="B262" s="388"/>
      <c r="C262" s="391"/>
      <c r="D262" s="392"/>
      <c r="E262" s="392"/>
      <c r="F262" s="393"/>
      <c r="G262" s="392"/>
      <c r="H262" s="394"/>
      <c r="I262" s="392"/>
      <c r="J262" s="392"/>
      <c r="K262" s="393"/>
      <c r="L262" s="393"/>
      <c r="M262" s="393"/>
      <c r="N262" s="393"/>
      <c r="O262" s="393"/>
      <c r="P262" s="393"/>
      <c r="Q262" s="394"/>
      <c r="R262" s="395"/>
      <c r="S262" s="388"/>
      <c r="T262" s="388"/>
      <c r="U262" s="388"/>
      <c r="V262" s="388"/>
      <c r="W262" s="388"/>
      <c r="X262" s="388"/>
      <c r="Y262" s="388"/>
      <c r="Z262" s="388"/>
      <c r="AA262" s="388"/>
      <c r="AB262" s="388"/>
      <c r="AC262" s="388"/>
      <c r="AD262" s="388"/>
      <c r="AE262" s="388"/>
      <c r="AF262" s="388"/>
      <c r="AG262" s="388"/>
      <c r="AH262" s="388"/>
      <c r="AI262" s="388"/>
      <c r="AJ262" s="388"/>
      <c r="AK262" s="388"/>
      <c r="AL262" s="388"/>
      <c r="AM262" s="388"/>
      <c r="AN262" s="388"/>
      <c r="AO262" s="388"/>
      <c r="AP262" s="388"/>
      <c r="AQ262" s="388"/>
      <c r="AR262" s="388"/>
      <c r="AS262" s="388"/>
      <c r="AT262" s="388"/>
    </row>
    <row r="263" spans="2:46">
      <c r="B263" s="388"/>
      <c r="C263" s="391"/>
      <c r="D263" s="392"/>
      <c r="E263" s="392"/>
      <c r="F263" s="393"/>
      <c r="G263" s="392"/>
      <c r="H263" s="394"/>
      <c r="I263" s="392"/>
      <c r="J263" s="392"/>
      <c r="K263" s="393"/>
      <c r="L263" s="393"/>
      <c r="M263" s="393"/>
      <c r="N263" s="393"/>
      <c r="O263" s="393"/>
      <c r="P263" s="393"/>
      <c r="Q263" s="394"/>
      <c r="R263" s="395"/>
      <c r="S263" s="388"/>
      <c r="T263" s="388"/>
      <c r="U263" s="388"/>
      <c r="V263" s="388"/>
      <c r="W263" s="388"/>
      <c r="X263" s="388"/>
      <c r="Y263" s="388"/>
      <c r="Z263" s="388"/>
      <c r="AA263" s="388"/>
      <c r="AB263" s="388"/>
      <c r="AC263" s="388"/>
      <c r="AD263" s="388"/>
      <c r="AE263" s="388"/>
      <c r="AF263" s="388"/>
      <c r="AG263" s="388"/>
      <c r="AH263" s="388"/>
      <c r="AI263" s="388"/>
      <c r="AJ263" s="388"/>
      <c r="AK263" s="388"/>
      <c r="AL263" s="388"/>
      <c r="AM263" s="388"/>
      <c r="AN263" s="388"/>
      <c r="AO263" s="388"/>
      <c r="AP263" s="388"/>
      <c r="AQ263" s="388"/>
      <c r="AR263" s="388"/>
      <c r="AS263" s="388"/>
      <c r="AT263" s="388"/>
    </row>
    <row r="264" spans="2:46">
      <c r="B264" s="388"/>
      <c r="C264" s="391"/>
      <c r="D264" s="392"/>
      <c r="E264" s="392"/>
      <c r="F264" s="393"/>
      <c r="G264" s="392"/>
      <c r="H264" s="394"/>
      <c r="I264" s="392"/>
      <c r="J264" s="392"/>
      <c r="K264" s="393"/>
      <c r="L264" s="393"/>
      <c r="M264" s="393"/>
      <c r="N264" s="393"/>
      <c r="O264" s="393"/>
      <c r="P264" s="393"/>
      <c r="Q264" s="394"/>
      <c r="R264" s="395"/>
      <c r="S264" s="388"/>
      <c r="T264" s="388"/>
      <c r="U264" s="388"/>
      <c r="V264" s="388"/>
      <c r="W264" s="388"/>
      <c r="X264" s="388"/>
      <c r="Y264" s="388"/>
      <c r="Z264" s="388"/>
      <c r="AA264" s="388"/>
      <c r="AB264" s="388"/>
      <c r="AC264" s="388"/>
      <c r="AD264" s="388"/>
      <c r="AE264" s="388"/>
      <c r="AF264" s="388"/>
      <c r="AG264" s="388"/>
      <c r="AH264" s="388"/>
      <c r="AI264" s="388"/>
      <c r="AJ264" s="388"/>
      <c r="AK264" s="388"/>
      <c r="AL264" s="388"/>
      <c r="AM264" s="388"/>
      <c r="AN264" s="388"/>
      <c r="AO264" s="388"/>
      <c r="AP264" s="388"/>
      <c r="AQ264" s="388"/>
      <c r="AR264" s="388"/>
      <c r="AS264" s="388"/>
      <c r="AT264" s="388"/>
    </row>
    <row r="265" spans="2:46">
      <c r="B265" s="388"/>
      <c r="C265" s="391"/>
      <c r="D265" s="392"/>
      <c r="E265" s="392"/>
      <c r="F265" s="393"/>
      <c r="G265" s="392"/>
      <c r="H265" s="394"/>
      <c r="I265" s="392"/>
      <c r="J265" s="392"/>
      <c r="K265" s="393"/>
      <c r="L265" s="393"/>
      <c r="M265" s="393"/>
      <c r="N265" s="393"/>
      <c r="O265" s="393"/>
      <c r="P265" s="393"/>
      <c r="Q265" s="394"/>
      <c r="R265" s="395"/>
      <c r="S265" s="388"/>
      <c r="T265" s="388"/>
      <c r="U265" s="388"/>
      <c r="V265" s="388"/>
      <c r="W265" s="388"/>
      <c r="X265" s="388"/>
      <c r="Y265" s="388"/>
      <c r="Z265" s="388"/>
      <c r="AA265" s="388"/>
      <c r="AB265" s="388"/>
      <c r="AC265" s="388"/>
      <c r="AD265" s="388"/>
      <c r="AE265" s="388"/>
      <c r="AF265" s="388"/>
      <c r="AG265" s="388"/>
      <c r="AH265" s="388"/>
      <c r="AI265" s="388"/>
      <c r="AJ265" s="388"/>
      <c r="AK265" s="388"/>
      <c r="AL265" s="388"/>
      <c r="AM265" s="388"/>
      <c r="AN265" s="388"/>
      <c r="AO265" s="388"/>
      <c r="AP265" s="388"/>
      <c r="AQ265" s="388"/>
      <c r="AR265" s="388"/>
      <c r="AS265" s="388"/>
      <c r="AT265" s="388"/>
    </row>
    <row r="266" spans="2:46">
      <c r="B266" s="388"/>
      <c r="C266" s="391"/>
      <c r="D266" s="392"/>
      <c r="E266" s="392"/>
      <c r="F266" s="393"/>
      <c r="G266" s="392"/>
      <c r="H266" s="394"/>
      <c r="I266" s="392"/>
      <c r="J266" s="392"/>
      <c r="K266" s="393"/>
      <c r="L266" s="393"/>
      <c r="M266" s="393"/>
      <c r="N266" s="393"/>
      <c r="O266" s="393"/>
      <c r="P266" s="393"/>
      <c r="Q266" s="394"/>
      <c r="R266" s="395"/>
      <c r="S266" s="388"/>
      <c r="T266" s="388"/>
      <c r="U266" s="388"/>
      <c r="V266" s="388"/>
      <c r="W266" s="388"/>
      <c r="X266" s="388"/>
      <c r="Y266" s="388"/>
      <c r="Z266" s="388"/>
      <c r="AA266" s="388"/>
      <c r="AB266" s="388"/>
      <c r="AC266" s="388"/>
      <c r="AD266" s="388"/>
      <c r="AE266" s="388"/>
      <c r="AF266" s="388"/>
      <c r="AG266" s="388"/>
      <c r="AH266" s="388"/>
      <c r="AI266" s="388"/>
      <c r="AJ266" s="388"/>
      <c r="AK266" s="388"/>
      <c r="AL266" s="388"/>
      <c r="AM266" s="388"/>
      <c r="AN266" s="388"/>
      <c r="AO266" s="388"/>
      <c r="AP266" s="388"/>
      <c r="AQ266" s="388"/>
      <c r="AR266" s="388"/>
      <c r="AS266" s="388"/>
      <c r="AT266" s="388"/>
    </row>
    <row r="267" spans="2:46">
      <c r="B267" s="388"/>
      <c r="C267" s="391"/>
      <c r="D267" s="392"/>
      <c r="E267" s="392"/>
      <c r="F267" s="393"/>
      <c r="G267" s="392"/>
      <c r="H267" s="394"/>
      <c r="I267" s="392"/>
      <c r="J267" s="392"/>
      <c r="K267" s="393"/>
      <c r="L267" s="393"/>
      <c r="M267" s="393"/>
      <c r="N267" s="393"/>
      <c r="O267" s="393"/>
      <c r="P267" s="393"/>
      <c r="Q267" s="394"/>
      <c r="R267" s="395"/>
      <c r="S267" s="388"/>
      <c r="T267" s="388"/>
      <c r="U267" s="388"/>
      <c r="V267" s="388"/>
      <c r="W267" s="388"/>
      <c r="X267" s="388"/>
      <c r="Y267" s="388"/>
      <c r="Z267" s="388"/>
      <c r="AA267" s="388"/>
      <c r="AB267" s="388"/>
      <c r="AC267" s="388"/>
      <c r="AD267" s="388"/>
      <c r="AE267" s="388"/>
      <c r="AF267" s="388"/>
      <c r="AG267" s="388"/>
      <c r="AH267" s="388"/>
      <c r="AI267" s="388"/>
      <c r="AJ267" s="388"/>
      <c r="AK267" s="388"/>
      <c r="AL267" s="388"/>
      <c r="AM267" s="388"/>
      <c r="AN267" s="388"/>
      <c r="AO267" s="388"/>
      <c r="AP267" s="388"/>
      <c r="AQ267" s="388"/>
      <c r="AR267" s="388"/>
      <c r="AS267" s="388"/>
      <c r="AT267" s="388"/>
    </row>
    <row r="268" spans="2:46">
      <c r="B268" s="388"/>
      <c r="C268" s="391"/>
      <c r="D268" s="392"/>
      <c r="E268" s="392"/>
      <c r="F268" s="393"/>
      <c r="G268" s="392"/>
      <c r="H268" s="394"/>
      <c r="I268" s="392"/>
      <c r="J268" s="392"/>
      <c r="K268" s="393"/>
      <c r="L268" s="393"/>
      <c r="M268" s="393"/>
      <c r="N268" s="393"/>
      <c r="O268" s="393"/>
      <c r="P268" s="393"/>
      <c r="Q268" s="394"/>
      <c r="R268" s="395"/>
      <c r="S268" s="388"/>
      <c r="T268" s="388"/>
      <c r="U268" s="388"/>
      <c r="V268" s="388"/>
      <c r="W268" s="388"/>
      <c r="X268" s="388"/>
      <c r="Y268" s="388"/>
      <c r="Z268" s="388"/>
      <c r="AA268" s="388"/>
      <c r="AB268" s="388"/>
      <c r="AC268" s="388"/>
      <c r="AD268" s="388"/>
      <c r="AE268" s="388"/>
      <c r="AF268" s="388"/>
      <c r="AG268" s="388"/>
      <c r="AH268" s="388"/>
      <c r="AI268" s="388"/>
      <c r="AJ268" s="388"/>
      <c r="AK268" s="388"/>
      <c r="AL268" s="388"/>
      <c r="AM268" s="388"/>
      <c r="AN268" s="388"/>
      <c r="AO268" s="388"/>
      <c r="AP268" s="388"/>
      <c r="AQ268" s="388"/>
      <c r="AR268" s="388"/>
      <c r="AS268" s="388"/>
      <c r="AT268" s="388"/>
    </row>
    <row r="269" spans="2:46">
      <c r="B269" s="388"/>
      <c r="C269" s="391"/>
      <c r="D269" s="392"/>
      <c r="E269" s="392"/>
      <c r="F269" s="393"/>
      <c r="G269" s="392"/>
      <c r="H269" s="394"/>
      <c r="I269" s="392"/>
      <c r="J269" s="392"/>
      <c r="K269" s="393"/>
      <c r="L269" s="393"/>
      <c r="M269" s="393"/>
      <c r="N269" s="393"/>
      <c r="O269" s="393"/>
      <c r="P269" s="393"/>
      <c r="Q269" s="394"/>
      <c r="R269" s="395"/>
      <c r="S269" s="388"/>
      <c r="T269" s="388"/>
      <c r="U269" s="388"/>
      <c r="V269" s="388"/>
      <c r="W269" s="388"/>
      <c r="X269" s="388"/>
      <c r="Y269" s="388"/>
      <c r="Z269" s="388"/>
      <c r="AA269" s="388"/>
      <c r="AB269" s="388"/>
      <c r="AC269" s="388"/>
      <c r="AD269" s="388"/>
      <c r="AE269" s="388"/>
      <c r="AF269" s="388"/>
      <c r="AG269" s="388"/>
      <c r="AH269" s="388"/>
      <c r="AI269" s="388"/>
      <c r="AJ269" s="388"/>
      <c r="AK269" s="388"/>
      <c r="AL269" s="388"/>
      <c r="AM269" s="388"/>
      <c r="AN269" s="388"/>
      <c r="AO269" s="388"/>
      <c r="AP269" s="388"/>
      <c r="AQ269" s="388"/>
      <c r="AR269" s="388"/>
      <c r="AS269" s="388"/>
      <c r="AT269" s="388"/>
    </row>
    <row r="270" spans="2:46">
      <c r="B270" s="388"/>
      <c r="C270" s="391"/>
      <c r="D270" s="392"/>
      <c r="E270" s="392"/>
      <c r="F270" s="393"/>
      <c r="G270" s="392"/>
      <c r="H270" s="394"/>
      <c r="I270" s="392"/>
      <c r="J270" s="392"/>
      <c r="K270" s="393"/>
      <c r="L270" s="393"/>
      <c r="M270" s="393"/>
      <c r="N270" s="393"/>
      <c r="O270" s="393"/>
      <c r="P270" s="393"/>
      <c r="Q270" s="394"/>
      <c r="R270" s="395"/>
      <c r="S270" s="388"/>
      <c r="T270" s="388"/>
      <c r="U270" s="388"/>
      <c r="V270" s="388"/>
      <c r="W270" s="388"/>
      <c r="X270" s="388"/>
      <c r="Y270" s="388"/>
      <c r="Z270" s="388"/>
      <c r="AA270" s="388"/>
      <c r="AB270" s="388"/>
      <c r="AC270" s="388"/>
      <c r="AD270" s="388"/>
      <c r="AE270" s="388"/>
      <c r="AF270" s="388"/>
      <c r="AG270" s="388"/>
      <c r="AH270" s="388"/>
      <c r="AI270" s="388"/>
      <c r="AJ270" s="388"/>
      <c r="AK270" s="388"/>
      <c r="AL270" s="388"/>
      <c r="AM270" s="388"/>
      <c r="AN270" s="388"/>
      <c r="AO270" s="388"/>
      <c r="AP270" s="388"/>
      <c r="AQ270" s="388"/>
      <c r="AR270" s="388"/>
      <c r="AS270" s="388"/>
      <c r="AT270" s="388"/>
    </row>
    <row r="271" spans="2:46">
      <c r="B271" s="388"/>
      <c r="C271" s="391"/>
      <c r="D271" s="392"/>
      <c r="E271" s="392"/>
      <c r="F271" s="393"/>
      <c r="G271" s="392"/>
      <c r="H271" s="394"/>
      <c r="I271" s="392"/>
      <c r="J271" s="392"/>
      <c r="K271" s="393"/>
      <c r="L271" s="393"/>
      <c r="M271" s="393"/>
      <c r="N271" s="393"/>
      <c r="O271" s="393"/>
      <c r="P271" s="393"/>
      <c r="Q271" s="394"/>
      <c r="R271" s="395"/>
      <c r="S271" s="388"/>
      <c r="T271" s="388"/>
      <c r="U271" s="388"/>
      <c r="V271" s="388"/>
      <c r="W271" s="388"/>
      <c r="X271" s="388"/>
      <c r="Y271" s="388"/>
      <c r="Z271" s="388"/>
      <c r="AA271" s="388"/>
      <c r="AB271" s="388"/>
      <c r="AC271" s="388"/>
      <c r="AD271" s="388"/>
      <c r="AE271" s="388"/>
      <c r="AF271" s="388"/>
      <c r="AG271" s="388"/>
      <c r="AH271" s="388"/>
      <c r="AI271" s="388"/>
      <c r="AJ271" s="388"/>
      <c r="AK271" s="388"/>
      <c r="AL271" s="388"/>
      <c r="AM271" s="388"/>
      <c r="AN271" s="388"/>
      <c r="AO271" s="388"/>
      <c r="AP271" s="388"/>
      <c r="AQ271" s="388"/>
      <c r="AR271" s="388"/>
      <c r="AS271" s="388"/>
      <c r="AT271" s="388"/>
    </row>
    <row r="272" spans="2:46">
      <c r="B272" s="388"/>
      <c r="C272" s="391"/>
      <c r="D272" s="392"/>
      <c r="E272" s="392"/>
      <c r="F272" s="393"/>
      <c r="G272" s="392"/>
      <c r="H272" s="394"/>
      <c r="I272" s="392"/>
      <c r="J272" s="392"/>
      <c r="K272" s="393"/>
      <c r="L272" s="393"/>
      <c r="M272" s="393"/>
      <c r="N272" s="393"/>
      <c r="O272" s="393"/>
      <c r="P272" s="393"/>
      <c r="Q272" s="394"/>
      <c r="R272" s="395"/>
      <c r="S272" s="388"/>
      <c r="T272" s="388"/>
      <c r="U272" s="388"/>
      <c r="V272" s="388"/>
      <c r="W272" s="388"/>
      <c r="X272" s="388"/>
      <c r="Y272" s="388"/>
      <c r="Z272" s="388"/>
      <c r="AA272" s="388"/>
      <c r="AB272" s="388"/>
      <c r="AC272" s="388"/>
      <c r="AD272" s="388"/>
      <c r="AE272" s="388"/>
      <c r="AF272" s="388"/>
      <c r="AG272" s="388"/>
      <c r="AH272" s="388"/>
      <c r="AI272" s="388"/>
      <c r="AJ272" s="388"/>
      <c r="AK272" s="388"/>
      <c r="AL272" s="388"/>
      <c r="AM272" s="388"/>
      <c r="AN272" s="388"/>
      <c r="AO272" s="388"/>
      <c r="AP272" s="388"/>
      <c r="AQ272" s="388"/>
      <c r="AR272" s="388"/>
      <c r="AS272" s="388"/>
      <c r="AT272" s="388"/>
    </row>
    <row r="273" spans="2:46">
      <c r="B273" s="388"/>
      <c r="C273" s="391"/>
      <c r="D273" s="392"/>
      <c r="E273" s="392"/>
      <c r="F273" s="393"/>
      <c r="G273" s="392"/>
      <c r="H273" s="394"/>
      <c r="I273" s="392"/>
      <c r="J273" s="392"/>
      <c r="K273" s="393"/>
      <c r="L273" s="393"/>
      <c r="M273" s="393"/>
      <c r="N273" s="393"/>
      <c r="O273" s="393"/>
      <c r="P273" s="393"/>
      <c r="Q273" s="394"/>
      <c r="R273" s="395"/>
      <c r="S273" s="388"/>
      <c r="T273" s="388"/>
      <c r="U273" s="388"/>
      <c r="V273" s="388"/>
      <c r="W273" s="388"/>
      <c r="X273" s="388"/>
      <c r="Y273" s="388"/>
      <c r="Z273" s="388"/>
      <c r="AA273" s="388"/>
      <c r="AB273" s="388"/>
      <c r="AC273" s="388"/>
      <c r="AD273" s="388"/>
      <c r="AE273" s="388"/>
      <c r="AF273" s="388"/>
      <c r="AG273" s="388"/>
      <c r="AH273" s="388"/>
      <c r="AI273" s="388"/>
      <c r="AJ273" s="388"/>
      <c r="AK273" s="388"/>
      <c r="AL273" s="388"/>
      <c r="AM273" s="388"/>
      <c r="AN273" s="388"/>
      <c r="AO273" s="388"/>
      <c r="AP273" s="388"/>
      <c r="AQ273" s="388"/>
      <c r="AR273" s="388"/>
      <c r="AS273" s="388"/>
      <c r="AT273" s="388"/>
    </row>
    <row r="274" spans="2:46">
      <c r="B274" s="388"/>
      <c r="C274" s="391"/>
      <c r="D274" s="392"/>
      <c r="E274" s="392"/>
      <c r="F274" s="393"/>
      <c r="G274" s="392"/>
      <c r="H274" s="394"/>
      <c r="I274" s="392"/>
      <c r="J274" s="392"/>
      <c r="K274" s="393"/>
      <c r="L274" s="393"/>
      <c r="M274" s="393"/>
      <c r="N274" s="393"/>
      <c r="O274" s="393"/>
      <c r="P274" s="393"/>
      <c r="Q274" s="394"/>
      <c r="R274" s="395"/>
      <c r="S274" s="388"/>
      <c r="T274" s="388"/>
      <c r="U274" s="388"/>
      <c r="V274" s="388"/>
      <c r="W274" s="388"/>
      <c r="X274" s="388"/>
      <c r="Y274" s="388"/>
      <c r="Z274" s="388"/>
      <c r="AA274" s="388"/>
      <c r="AB274" s="388"/>
      <c r="AC274" s="388"/>
      <c r="AD274" s="388"/>
      <c r="AE274" s="388"/>
      <c r="AF274" s="388"/>
      <c r="AG274" s="388"/>
      <c r="AH274" s="388"/>
      <c r="AI274" s="388"/>
      <c r="AJ274" s="388"/>
      <c r="AK274" s="388"/>
      <c r="AL274" s="388"/>
      <c r="AM274" s="388"/>
      <c r="AN274" s="388"/>
      <c r="AO274" s="388"/>
      <c r="AP274" s="388"/>
      <c r="AQ274" s="388"/>
      <c r="AR274" s="388"/>
      <c r="AS274" s="388"/>
      <c r="AT274" s="388"/>
    </row>
    <row r="275" spans="2:46">
      <c r="B275" s="388"/>
      <c r="C275" s="391"/>
      <c r="D275" s="392"/>
      <c r="E275" s="392"/>
      <c r="F275" s="393"/>
      <c r="G275" s="392"/>
      <c r="H275" s="394"/>
      <c r="I275" s="392"/>
      <c r="J275" s="392"/>
      <c r="K275" s="393"/>
      <c r="L275" s="393"/>
      <c r="M275" s="393"/>
      <c r="N275" s="393"/>
      <c r="O275" s="393"/>
      <c r="P275" s="393"/>
      <c r="Q275" s="394"/>
      <c r="R275" s="395"/>
      <c r="S275" s="388"/>
      <c r="T275" s="388"/>
      <c r="U275" s="388"/>
      <c r="V275" s="388"/>
      <c r="W275" s="388"/>
      <c r="X275" s="388"/>
      <c r="Y275" s="388"/>
      <c r="Z275" s="388"/>
      <c r="AA275" s="388"/>
      <c r="AB275" s="388"/>
      <c r="AC275" s="388"/>
      <c r="AD275" s="388"/>
      <c r="AE275" s="388"/>
      <c r="AF275" s="388"/>
      <c r="AG275" s="388"/>
      <c r="AH275" s="388"/>
      <c r="AI275" s="388"/>
      <c r="AJ275" s="388"/>
      <c r="AK275" s="388"/>
      <c r="AL275" s="388"/>
      <c r="AM275" s="388"/>
      <c r="AN275" s="388"/>
      <c r="AO275" s="388"/>
      <c r="AP275" s="388"/>
      <c r="AQ275" s="388"/>
      <c r="AR275" s="388"/>
      <c r="AS275" s="388"/>
      <c r="AT275" s="388"/>
    </row>
    <row r="276" spans="2:46">
      <c r="B276" s="388"/>
      <c r="C276" s="391"/>
      <c r="D276" s="392"/>
      <c r="E276" s="392"/>
      <c r="F276" s="393"/>
      <c r="G276" s="392"/>
      <c r="H276" s="394"/>
      <c r="I276" s="392"/>
      <c r="J276" s="392"/>
      <c r="K276" s="393"/>
      <c r="L276" s="393"/>
      <c r="M276" s="393"/>
      <c r="N276" s="393"/>
      <c r="O276" s="393"/>
      <c r="P276" s="393"/>
      <c r="Q276" s="394"/>
      <c r="R276" s="395"/>
      <c r="S276" s="388"/>
      <c r="T276" s="388"/>
      <c r="U276" s="388"/>
      <c r="V276" s="388"/>
      <c r="W276" s="388"/>
      <c r="X276" s="388"/>
      <c r="Y276" s="388"/>
      <c r="Z276" s="388"/>
      <c r="AA276" s="388"/>
      <c r="AB276" s="388"/>
      <c r="AC276" s="388"/>
      <c r="AD276" s="388"/>
      <c r="AE276" s="388"/>
      <c r="AF276" s="388"/>
      <c r="AG276" s="388"/>
      <c r="AH276" s="388"/>
      <c r="AI276" s="388"/>
      <c r="AJ276" s="388"/>
      <c r="AK276" s="388"/>
      <c r="AL276" s="388"/>
      <c r="AM276" s="388"/>
      <c r="AN276" s="388"/>
      <c r="AO276" s="388"/>
      <c r="AP276" s="388"/>
      <c r="AQ276" s="388"/>
      <c r="AR276" s="388"/>
      <c r="AS276" s="388"/>
      <c r="AT276" s="388"/>
    </row>
    <row r="277" spans="2:46">
      <c r="B277" s="388"/>
      <c r="C277" s="391"/>
      <c r="D277" s="392"/>
      <c r="E277" s="392"/>
      <c r="F277" s="393"/>
      <c r="G277" s="392"/>
      <c r="H277" s="394"/>
      <c r="I277" s="392"/>
      <c r="J277" s="392"/>
      <c r="K277" s="393"/>
      <c r="L277" s="393"/>
      <c r="M277" s="393"/>
      <c r="N277" s="393"/>
      <c r="O277" s="393"/>
      <c r="P277" s="393"/>
      <c r="Q277" s="394"/>
      <c r="R277" s="395"/>
      <c r="S277" s="388"/>
      <c r="T277" s="388"/>
      <c r="U277" s="388"/>
      <c r="V277" s="388"/>
      <c r="W277" s="388"/>
      <c r="X277" s="388"/>
      <c r="Y277" s="388"/>
      <c r="Z277" s="388"/>
      <c r="AA277" s="388"/>
      <c r="AB277" s="388"/>
      <c r="AC277" s="388"/>
      <c r="AD277" s="388"/>
      <c r="AE277" s="388"/>
      <c r="AF277" s="388"/>
      <c r="AG277" s="388"/>
      <c r="AH277" s="388"/>
      <c r="AI277" s="388"/>
      <c r="AJ277" s="388"/>
      <c r="AK277" s="388"/>
      <c r="AL277" s="388"/>
      <c r="AM277" s="388"/>
      <c r="AN277" s="388"/>
      <c r="AO277" s="388"/>
      <c r="AP277" s="388"/>
      <c r="AQ277" s="388"/>
      <c r="AR277" s="388"/>
      <c r="AS277" s="388"/>
      <c r="AT277" s="388"/>
    </row>
    <row r="278" spans="2:46">
      <c r="B278" s="388"/>
      <c r="C278" s="391"/>
      <c r="D278" s="392"/>
      <c r="E278" s="392"/>
      <c r="F278" s="393"/>
      <c r="G278" s="392"/>
      <c r="H278" s="394"/>
      <c r="I278" s="392"/>
      <c r="J278" s="392"/>
      <c r="K278" s="393"/>
      <c r="L278" s="393"/>
      <c r="M278" s="393"/>
      <c r="N278" s="393"/>
      <c r="O278" s="393"/>
      <c r="P278" s="393"/>
      <c r="Q278" s="394"/>
      <c r="R278" s="395"/>
      <c r="S278" s="388"/>
      <c r="T278" s="388"/>
      <c r="U278" s="388"/>
      <c r="V278" s="388"/>
      <c r="W278" s="388"/>
      <c r="X278" s="388"/>
      <c r="Y278" s="388"/>
      <c r="Z278" s="388"/>
      <c r="AA278" s="388"/>
      <c r="AB278" s="388"/>
      <c r="AC278" s="388"/>
      <c r="AD278" s="388"/>
      <c r="AE278" s="388"/>
      <c r="AF278" s="388"/>
      <c r="AG278" s="388"/>
      <c r="AH278" s="388"/>
      <c r="AI278" s="388"/>
      <c r="AJ278" s="388"/>
      <c r="AK278" s="388"/>
      <c r="AL278" s="388"/>
      <c r="AM278" s="388"/>
      <c r="AN278" s="388"/>
      <c r="AO278" s="388"/>
      <c r="AP278" s="388"/>
      <c r="AQ278" s="388"/>
      <c r="AR278" s="388"/>
      <c r="AS278" s="388"/>
      <c r="AT278" s="388"/>
    </row>
    <row r="279" spans="2:46">
      <c r="B279" s="388"/>
      <c r="C279" s="391"/>
      <c r="D279" s="392"/>
      <c r="E279" s="392"/>
      <c r="F279" s="393"/>
      <c r="G279" s="392"/>
      <c r="H279" s="394"/>
      <c r="I279" s="392"/>
      <c r="J279" s="392"/>
      <c r="K279" s="393"/>
      <c r="L279" s="393"/>
      <c r="M279" s="393"/>
      <c r="N279" s="393"/>
      <c r="O279" s="393"/>
      <c r="P279" s="393"/>
      <c r="Q279" s="394"/>
      <c r="R279" s="395"/>
      <c r="S279" s="388"/>
      <c r="T279" s="388"/>
      <c r="U279" s="388"/>
      <c r="V279" s="388"/>
      <c r="W279" s="388"/>
      <c r="X279" s="388"/>
      <c r="Y279" s="388"/>
      <c r="Z279" s="388"/>
      <c r="AA279" s="388"/>
      <c r="AB279" s="388"/>
      <c r="AC279" s="388"/>
      <c r="AD279" s="388"/>
      <c r="AE279" s="388"/>
      <c r="AF279" s="388"/>
      <c r="AG279" s="388"/>
      <c r="AH279" s="388"/>
      <c r="AI279" s="388"/>
      <c r="AJ279" s="388"/>
      <c r="AK279" s="388"/>
      <c r="AL279" s="388"/>
      <c r="AM279" s="388"/>
      <c r="AN279" s="388"/>
      <c r="AO279" s="388"/>
      <c r="AP279" s="388"/>
      <c r="AQ279" s="388"/>
      <c r="AR279" s="388"/>
      <c r="AS279" s="388"/>
      <c r="AT279" s="388"/>
    </row>
    <row r="280" spans="2:46">
      <c r="B280" s="388"/>
      <c r="C280" s="391"/>
      <c r="D280" s="392"/>
      <c r="E280" s="392"/>
      <c r="F280" s="393"/>
      <c r="G280" s="392"/>
      <c r="H280" s="394"/>
      <c r="I280" s="392"/>
      <c r="J280" s="392"/>
      <c r="K280" s="393"/>
      <c r="L280" s="393"/>
      <c r="M280" s="393"/>
      <c r="N280" s="393"/>
      <c r="O280" s="393"/>
      <c r="P280" s="393"/>
      <c r="Q280" s="394"/>
      <c r="R280" s="395"/>
      <c r="S280" s="388"/>
      <c r="T280" s="388"/>
      <c r="U280" s="388"/>
      <c r="V280" s="388"/>
      <c r="W280" s="388"/>
      <c r="X280" s="388"/>
      <c r="Y280" s="388"/>
      <c r="Z280" s="388"/>
      <c r="AA280" s="388"/>
      <c r="AB280" s="388"/>
      <c r="AC280" s="388"/>
      <c r="AD280" s="388"/>
      <c r="AE280" s="388"/>
      <c r="AF280" s="388"/>
      <c r="AG280" s="388"/>
      <c r="AH280" s="388"/>
      <c r="AI280" s="388"/>
      <c r="AJ280" s="388"/>
      <c r="AK280" s="388"/>
      <c r="AL280" s="388"/>
      <c r="AM280" s="388"/>
      <c r="AN280" s="388"/>
      <c r="AO280" s="388"/>
      <c r="AP280" s="388"/>
      <c r="AQ280" s="388"/>
      <c r="AR280" s="388"/>
      <c r="AS280" s="388"/>
      <c r="AT280" s="388"/>
    </row>
    <row r="281" spans="2:46">
      <c r="B281" s="388"/>
      <c r="C281" s="391"/>
      <c r="D281" s="392"/>
      <c r="E281" s="392"/>
      <c r="F281" s="393"/>
      <c r="G281" s="392"/>
      <c r="H281" s="394"/>
      <c r="I281" s="392"/>
      <c r="J281" s="392"/>
      <c r="K281" s="393"/>
      <c r="L281" s="393"/>
      <c r="M281" s="393"/>
      <c r="N281" s="393"/>
      <c r="O281" s="393"/>
      <c r="P281" s="393"/>
      <c r="Q281" s="394"/>
      <c r="R281" s="395"/>
      <c r="S281" s="388"/>
      <c r="T281" s="388"/>
      <c r="U281" s="388"/>
      <c r="V281" s="388"/>
      <c r="W281" s="388"/>
      <c r="X281" s="388"/>
      <c r="Y281" s="388"/>
      <c r="Z281" s="388"/>
      <c r="AA281" s="388"/>
      <c r="AB281" s="388"/>
      <c r="AC281" s="388"/>
      <c r="AD281" s="388"/>
      <c r="AE281" s="388"/>
      <c r="AF281" s="388"/>
      <c r="AG281" s="388"/>
      <c r="AH281" s="388"/>
      <c r="AI281" s="388"/>
      <c r="AJ281" s="388"/>
      <c r="AK281" s="388"/>
      <c r="AL281" s="388"/>
      <c r="AM281" s="388"/>
      <c r="AN281" s="388"/>
      <c r="AO281" s="388"/>
      <c r="AP281" s="388"/>
      <c r="AQ281" s="388"/>
      <c r="AR281" s="388"/>
      <c r="AS281" s="388"/>
      <c r="AT281" s="388"/>
    </row>
    <row r="282" spans="2:46">
      <c r="B282" s="388"/>
      <c r="C282" s="391"/>
      <c r="D282" s="392"/>
      <c r="E282" s="392"/>
      <c r="F282" s="393"/>
      <c r="G282" s="392"/>
      <c r="H282" s="394"/>
      <c r="I282" s="392"/>
      <c r="J282" s="392"/>
      <c r="K282" s="393"/>
      <c r="L282" s="393"/>
      <c r="M282" s="393"/>
      <c r="N282" s="393"/>
      <c r="O282" s="393"/>
      <c r="P282" s="393"/>
      <c r="Q282" s="394"/>
      <c r="R282" s="395"/>
      <c r="S282" s="388"/>
      <c r="T282" s="388"/>
      <c r="U282" s="388"/>
      <c r="V282" s="388"/>
      <c r="W282" s="388"/>
      <c r="X282" s="388"/>
      <c r="Y282" s="388"/>
      <c r="Z282" s="388"/>
      <c r="AA282" s="388"/>
      <c r="AB282" s="388"/>
      <c r="AC282" s="388"/>
      <c r="AD282" s="388"/>
      <c r="AE282" s="388"/>
      <c r="AF282" s="388"/>
      <c r="AG282" s="388"/>
      <c r="AH282" s="388"/>
      <c r="AI282" s="388"/>
      <c r="AJ282" s="388"/>
      <c r="AK282" s="388"/>
      <c r="AL282" s="388"/>
      <c r="AM282" s="388"/>
      <c r="AN282" s="388"/>
      <c r="AO282" s="388"/>
      <c r="AP282" s="388"/>
      <c r="AQ282" s="388"/>
      <c r="AR282" s="388"/>
      <c r="AS282" s="388"/>
      <c r="AT282" s="388"/>
    </row>
    <row r="283" spans="2:46">
      <c r="B283" s="388"/>
      <c r="C283" s="391"/>
      <c r="D283" s="392"/>
      <c r="E283" s="392"/>
      <c r="F283" s="393"/>
      <c r="G283" s="392"/>
      <c r="H283" s="394"/>
      <c r="I283" s="392"/>
      <c r="J283" s="392"/>
      <c r="K283" s="393"/>
      <c r="L283" s="393"/>
      <c r="M283" s="393"/>
      <c r="N283" s="393"/>
      <c r="O283" s="393"/>
      <c r="P283" s="393"/>
      <c r="Q283" s="394"/>
      <c r="R283" s="395"/>
      <c r="S283" s="388"/>
      <c r="T283" s="388"/>
      <c r="U283" s="388"/>
      <c r="V283" s="388"/>
      <c r="W283" s="388"/>
      <c r="X283" s="388"/>
      <c r="Y283" s="388"/>
      <c r="Z283" s="388"/>
      <c r="AA283" s="388"/>
      <c r="AB283" s="388"/>
      <c r="AC283" s="388"/>
      <c r="AD283" s="388"/>
      <c r="AE283" s="388"/>
      <c r="AF283" s="388"/>
      <c r="AG283" s="388"/>
      <c r="AH283" s="388"/>
      <c r="AI283" s="388"/>
      <c r="AJ283" s="388"/>
      <c r="AK283" s="388"/>
      <c r="AL283" s="388"/>
      <c r="AM283" s="388"/>
      <c r="AN283" s="388"/>
      <c r="AO283" s="388"/>
      <c r="AP283" s="388"/>
      <c r="AQ283" s="388"/>
      <c r="AR283" s="388"/>
      <c r="AS283" s="388"/>
      <c r="AT283" s="388"/>
    </row>
    <row r="284" spans="2:46">
      <c r="B284" s="388"/>
      <c r="C284" s="391"/>
      <c r="D284" s="392"/>
      <c r="E284" s="392"/>
      <c r="F284" s="393"/>
      <c r="G284" s="392"/>
      <c r="H284" s="394"/>
      <c r="I284" s="392"/>
      <c r="J284" s="392"/>
      <c r="K284" s="393"/>
      <c r="L284" s="393"/>
      <c r="M284" s="393"/>
      <c r="N284" s="393"/>
      <c r="O284" s="393"/>
      <c r="P284" s="393"/>
      <c r="Q284" s="394"/>
      <c r="R284" s="395"/>
      <c r="S284" s="388"/>
      <c r="T284" s="388"/>
      <c r="U284" s="388"/>
      <c r="V284" s="388"/>
      <c r="W284" s="388"/>
      <c r="X284" s="388"/>
      <c r="Y284" s="388"/>
      <c r="Z284" s="388"/>
      <c r="AA284" s="388"/>
      <c r="AB284" s="388"/>
      <c r="AC284" s="388"/>
      <c r="AD284" s="388"/>
      <c r="AE284" s="388"/>
      <c r="AF284" s="388"/>
      <c r="AG284" s="388"/>
      <c r="AH284" s="388"/>
      <c r="AI284" s="388"/>
      <c r="AJ284" s="388"/>
      <c r="AK284" s="388"/>
      <c r="AL284" s="388"/>
      <c r="AM284" s="388"/>
      <c r="AN284" s="388"/>
      <c r="AO284" s="388"/>
      <c r="AP284" s="388"/>
      <c r="AQ284" s="388"/>
      <c r="AR284" s="388"/>
      <c r="AS284" s="388"/>
      <c r="AT284" s="388"/>
    </row>
    <row r="285" spans="2:46">
      <c r="B285" s="388"/>
      <c r="C285" s="391"/>
      <c r="D285" s="392"/>
      <c r="E285" s="392"/>
      <c r="F285" s="393"/>
      <c r="G285" s="392"/>
      <c r="H285" s="394"/>
      <c r="I285" s="392"/>
      <c r="J285" s="392"/>
      <c r="K285" s="393"/>
      <c r="L285" s="393"/>
      <c r="M285" s="393"/>
      <c r="N285" s="393"/>
      <c r="O285" s="393"/>
      <c r="P285" s="393"/>
      <c r="Q285" s="394"/>
      <c r="R285" s="395"/>
      <c r="S285" s="388"/>
      <c r="T285" s="388"/>
      <c r="U285" s="388"/>
      <c r="V285" s="388"/>
      <c r="W285" s="388"/>
      <c r="X285" s="388"/>
      <c r="Y285" s="388"/>
      <c r="Z285" s="388"/>
      <c r="AA285" s="388"/>
      <c r="AB285" s="388"/>
      <c r="AC285" s="388"/>
      <c r="AD285" s="388"/>
      <c r="AE285" s="388"/>
      <c r="AF285" s="388"/>
      <c r="AG285" s="388"/>
      <c r="AH285" s="388"/>
      <c r="AI285" s="388"/>
      <c r="AJ285" s="388"/>
      <c r="AK285" s="388"/>
      <c r="AL285" s="388"/>
      <c r="AM285" s="388"/>
      <c r="AN285" s="388"/>
      <c r="AO285" s="388"/>
      <c r="AP285" s="388"/>
      <c r="AQ285" s="388"/>
      <c r="AR285" s="388"/>
      <c r="AS285" s="388"/>
      <c r="AT285" s="388"/>
    </row>
    <row r="286" spans="2:46">
      <c r="B286" s="388"/>
      <c r="C286" s="391"/>
      <c r="D286" s="392"/>
      <c r="E286" s="392"/>
      <c r="F286" s="393"/>
      <c r="G286" s="392"/>
      <c r="H286" s="394"/>
      <c r="I286" s="392"/>
      <c r="J286" s="392"/>
      <c r="K286" s="393"/>
      <c r="L286" s="393"/>
      <c r="M286" s="393"/>
      <c r="N286" s="393"/>
      <c r="O286" s="393"/>
      <c r="P286" s="393"/>
      <c r="Q286" s="394"/>
      <c r="R286" s="395"/>
      <c r="S286" s="388"/>
      <c r="T286" s="388"/>
      <c r="U286" s="388"/>
      <c r="V286" s="388"/>
      <c r="W286" s="388"/>
      <c r="X286" s="388"/>
      <c r="Y286" s="388"/>
      <c r="Z286" s="388"/>
      <c r="AA286" s="388"/>
      <c r="AB286" s="388"/>
      <c r="AC286" s="388"/>
      <c r="AD286" s="388"/>
      <c r="AE286" s="388"/>
      <c r="AF286" s="388"/>
      <c r="AG286" s="388"/>
      <c r="AH286" s="388"/>
      <c r="AI286" s="388"/>
      <c r="AJ286" s="388"/>
      <c r="AK286" s="388"/>
      <c r="AL286" s="388"/>
      <c r="AM286" s="388"/>
      <c r="AN286" s="388"/>
      <c r="AO286" s="388"/>
      <c r="AP286" s="388"/>
      <c r="AQ286" s="388"/>
      <c r="AR286" s="388"/>
      <c r="AS286" s="388"/>
      <c r="AT286" s="388"/>
    </row>
    <row r="287" spans="2:46">
      <c r="B287" s="388"/>
      <c r="C287" s="391"/>
      <c r="D287" s="392"/>
      <c r="E287" s="392"/>
      <c r="F287" s="393"/>
      <c r="G287" s="392"/>
      <c r="H287" s="394"/>
      <c r="I287" s="392"/>
      <c r="J287" s="392"/>
      <c r="K287" s="393"/>
      <c r="L287" s="393"/>
      <c r="M287" s="393"/>
      <c r="N287" s="393"/>
      <c r="O287" s="393"/>
      <c r="P287" s="393"/>
      <c r="Q287" s="394"/>
      <c r="R287" s="395"/>
      <c r="S287" s="388"/>
      <c r="T287" s="388"/>
      <c r="U287" s="388"/>
      <c r="V287" s="388"/>
      <c r="W287" s="388"/>
      <c r="X287" s="388"/>
      <c r="Y287" s="388"/>
      <c r="Z287" s="388"/>
      <c r="AA287" s="388"/>
      <c r="AB287" s="388"/>
      <c r="AC287" s="388"/>
      <c r="AD287" s="388"/>
      <c r="AE287" s="388"/>
      <c r="AF287" s="388"/>
      <c r="AG287" s="388"/>
      <c r="AH287" s="388"/>
      <c r="AI287" s="388"/>
      <c r="AJ287" s="388"/>
      <c r="AK287" s="388"/>
      <c r="AL287" s="388"/>
      <c r="AM287" s="388"/>
      <c r="AN287" s="388"/>
      <c r="AO287" s="388"/>
      <c r="AP287" s="388"/>
      <c r="AQ287" s="388"/>
      <c r="AR287" s="388"/>
      <c r="AS287" s="388"/>
      <c r="AT287" s="388"/>
    </row>
    <row r="288" spans="2:46">
      <c r="B288" s="388"/>
      <c r="C288" s="391"/>
      <c r="D288" s="392"/>
      <c r="E288" s="392"/>
      <c r="F288" s="393"/>
      <c r="G288" s="392"/>
      <c r="H288" s="394"/>
      <c r="I288" s="392"/>
      <c r="J288" s="392"/>
      <c r="K288" s="393"/>
      <c r="L288" s="393"/>
      <c r="M288" s="393"/>
      <c r="N288" s="393"/>
      <c r="O288" s="393"/>
      <c r="P288" s="393"/>
      <c r="Q288" s="394"/>
      <c r="R288" s="395"/>
      <c r="S288" s="388"/>
      <c r="T288" s="388"/>
      <c r="U288" s="388"/>
      <c r="V288" s="388"/>
      <c r="W288" s="388"/>
      <c r="X288" s="388"/>
      <c r="Y288" s="388"/>
      <c r="Z288" s="388"/>
      <c r="AA288" s="388"/>
      <c r="AB288" s="388"/>
      <c r="AC288" s="388"/>
      <c r="AD288" s="388"/>
      <c r="AE288" s="388"/>
      <c r="AF288" s="388"/>
      <c r="AG288" s="388"/>
      <c r="AH288" s="388"/>
      <c r="AI288" s="388"/>
      <c r="AJ288" s="388"/>
      <c r="AK288" s="388"/>
      <c r="AL288" s="388"/>
      <c r="AM288" s="388"/>
      <c r="AN288" s="388"/>
      <c r="AO288" s="388"/>
      <c r="AP288" s="388"/>
      <c r="AQ288" s="388"/>
      <c r="AR288" s="388"/>
      <c r="AS288" s="388"/>
      <c r="AT288" s="388"/>
    </row>
    <row r="289" spans="2:46">
      <c r="B289" s="388"/>
      <c r="C289" s="391"/>
      <c r="D289" s="392"/>
      <c r="E289" s="392"/>
      <c r="F289" s="393"/>
      <c r="G289" s="392"/>
      <c r="H289" s="394"/>
      <c r="I289" s="392"/>
      <c r="J289" s="392"/>
      <c r="K289" s="393"/>
      <c r="L289" s="393"/>
      <c r="M289" s="393"/>
      <c r="N289" s="393"/>
      <c r="O289" s="393"/>
      <c r="P289" s="393"/>
      <c r="Q289" s="394"/>
      <c r="R289" s="395"/>
      <c r="S289" s="388"/>
      <c r="T289" s="388"/>
      <c r="U289" s="388"/>
      <c r="V289" s="388"/>
      <c r="W289" s="388"/>
      <c r="X289" s="388"/>
      <c r="Y289" s="388"/>
      <c r="Z289" s="388"/>
      <c r="AA289" s="388"/>
      <c r="AB289" s="388"/>
      <c r="AC289" s="388"/>
      <c r="AD289" s="388"/>
      <c r="AE289" s="388"/>
      <c r="AF289" s="388"/>
      <c r="AG289" s="388"/>
      <c r="AH289" s="388"/>
      <c r="AI289" s="388"/>
      <c r="AJ289" s="388"/>
      <c r="AK289" s="388"/>
      <c r="AL289" s="388"/>
      <c r="AM289" s="388"/>
      <c r="AN289" s="388"/>
      <c r="AO289" s="388"/>
      <c r="AP289" s="388"/>
      <c r="AQ289" s="388"/>
      <c r="AR289" s="388"/>
      <c r="AS289" s="388"/>
      <c r="AT289" s="388"/>
    </row>
    <row r="290" spans="2:46">
      <c r="B290" s="388"/>
      <c r="C290" s="391"/>
      <c r="D290" s="392"/>
      <c r="E290" s="392"/>
      <c r="F290" s="393"/>
      <c r="G290" s="392"/>
      <c r="H290" s="394"/>
      <c r="I290" s="392"/>
      <c r="J290" s="392"/>
      <c r="K290" s="393"/>
      <c r="L290" s="393"/>
      <c r="M290" s="393"/>
      <c r="N290" s="393"/>
      <c r="O290" s="393"/>
      <c r="P290" s="393"/>
      <c r="Q290" s="394"/>
      <c r="R290" s="395"/>
      <c r="S290" s="388"/>
      <c r="T290" s="388"/>
      <c r="U290" s="388"/>
      <c r="V290" s="388"/>
      <c r="W290" s="388"/>
      <c r="X290" s="388"/>
      <c r="Y290" s="388"/>
      <c r="Z290" s="388"/>
      <c r="AA290" s="388"/>
      <c r="AB290" s="388"/>
      <c r="AC290" s="388"/>
      <c r="AD290" s="388"/>
      <c r="AE290" s="388"/>
      <c r="AF290" s="388"/>
      <c r="AG290" s="388"/>
      <c r="AH290" s="388"/>
      <c r="AI290" s="388"/>
      <c r="AJ290" s="388"/>
      <c r="AK290" s="388"/>
      <c r="AL290" s="388"/>
      <c r="AM290" s="388"/>
      <c r="AN290" s="388"/>
      <c r="AO290" s="388"/>
      <c r="AP290" s="388"/>
      <c r="AQ290" s="388"/>
      <c r="AR290" s="388"/>
      <c r="AS290" s="388"/>
      <c r="AT290" s="388"/>
    </row>
    <row r="291" spans="2:46">
      <c r="B291" s="388"/>
      <c r="C291" s="391"/>
      <c r="D291" s="392"/>
      <c r="E291" s="392"/>
      <c r="F291" s="393"/>
      <c r="G291" s="392"/>
      <c r="H291" s="394"/>
      <c r="I291" s="392"/>
      <c r="J291" s="392"/>
      <c r="K291" s="393"/>
      <c r="L291" s="393"/>
      <c r="M291" s="393"/>
      <c r="N291" s="393"/>
      <c r="O291" s="393"/>
      <c r="P291" s="393"/>
      <c r="Q291" s="394"/>
      <c r="R291" s="395"/>
      <c r="S291" s="388"/>
      <c r="T291" s="388"/>
      <c r="U291" s="388"/>
      <c r="V291" s="388"/>
      <c r="W291" s="388"/>
      <c r="X291" s="388"/>
      <c r="Y291" s="388"/>
      <c r="Z291" s="388"/>
      <c r="AA291" s="388"/>
      <c r="AB291" s="388"/>
      <c r="AC291" s="388"/>
      <c r="AD291" s="388"/>
      <c r="AE291" s="388"/>
      <c r="AF291" s="388"/>
      <c r="AG291" s="388"/>
      <c r="AH291" s="388"/>
      <c r="AI291" s="388"/>
      <c r="AJ291" s="388"/>
      <c r="AK291" s="388"/>
      <c r="AL291" s="388"/>
      <c r="AM291" s="388"/>
      <c r="AN291" s="388"/>
      <c r="AO291" s="388"/>
      <c r="AP291" s="388"/>
      <c r="AQ291" s="388"/>
      <c r="AR291" s="388"/>
      <c r="AS291" s="388"/>
      <c r="AT291" s="388"/>
    </row>
    <row r="292" spans="2:46">
      <c r="B292" s="388"/>
      <c r="C292" s="391"/>
      <c r="D292" s="392"/>
      <c r="E292" s="392"/>
      <c r="F292" s="393"/>
      <c r="G292" s="392"/>
      <c r="H292" s="394"/>
      <c r="I292" s="392"/>
      <c r="J292" s="392"/>
      <c r="K292" s="393"/>
      <c r="L292" s="393"/>
      <c r="M292" s="393"/>
      <c r="N292" s="393"/>
      <c r="O292" s="393"/>
      <c r="P292" s="393"/>
      <c r="Q292" s="394"/>
      <c r="R292" s="395"/>
      <c r="S292" s="388"/>
      <c r="T292" s="388"/>
      <c r="U292" s="388"/>
      <c r="V292" s="388"/>
      <c r="W292" s="388"/>
      <c r="X292" s="388"/>
      <c r="Y292" s="388"/>
      <c r="Z292" s="388"/>
      <c r="AA292" s="388"/>
      <c r="AB292" s="388"/>
      <c r="AC292" s="388"/>
      <c r="AD292" s="388"/>
      <c r="AE292" s="388"/>
      <c r="AF292" s="388"/>
      <c r="AG292" s="388"/>
      <c r="AH292" s="388"/>
      <c r="AI292" s="388"/>
      <c r="AJ292" s="388"/>
      <c r="AK292" s="388"/>
      <c r="AL292" s="388"/>
      <c r="AM292" s="388"/>
      <c r="AN292" s="388"/>
      <c r="AO292" s="388"/>
      <c r="AP292" s="388"/>
      <c r="AQ292" s="388"/>
      <c r="AR292" s="388"/>
      <c r="AS292" s="388"/>
      <c r="AT292" s="388"/>
    </row>
    <row r="293" spans="2:46">
      <c r="B293" s="388"/>
      <c r="C293" s="391"/>
      <c r="D293" s="392"/>
      <c r="E293" s="392"/>
      <c r="F293" s="393"/>
      <c r="G293" s="392"/>
      <c r="H293" s="394"/>
      <c r="I293" s="392"/>
      <c r="J293" s="392"/>
      <c r="K293" s="393"/>
      <c r="L293" s="393"/>
      <c r="M293" s="393"/>
      <c r="N293" s="393"/>
      <c r="O293" s="393"/>
      <c r="P293" s="393"/>
      <c r="Q293" s="394"/>
      <c r="R293" s="395"/>
      <c r="S293" s="388"/>
      <c r="T293" s="388"/>
      <c r="U293" s="388"/>
      <c r="V293" s="388"/>
      <c r="W293" s="388"/>
      <c r="X293" s="388"/>
      <c r="Y293" s="388"/>
      <c r="Z293" s="388"/>
      <c r="AA293" s="388"/>
      <c r="AB293" s="388"/>
      <c r="AC293" s="388"/>
      <c r="AD293" s="388"/>
      <c r="AE293" s="388"/>
      <c r="AF293" s="388"/>
      <c r="AG293" s="388"/>
      <c r="AH293" s="388"/>
      <c r="AI293" s="388"/>
      <c r="AJ293" s="388"/>
      <c r="AK293" s="388"/>
      <c r="AL293" s="388"/>
      <c r="AM293" s="388"/>
      <c r="AN293" s="388"/>
      <c r="AO293" s="388"/>
      <c r="AP293" s="388"/>
      <c r="AQ293" s="388"/>
      <c r="AR293" s="388"/>
      <c r="AS293" s="388"/>
      <c r="AT293" s="388"/>
    </row>
    <row r="294" spans="2:46">
      <c r="B294" s="388"/>
      <c r="C294" s="391"/>
      <c r="D294" s="392"/>
      <c r="E294" s="392"/>
      <c r="F294" s="393"/>
      <c r="G294" s="392"/>
      <c r="H294" s="394"/>
      <c r="I294" s="392"/>
      <c r="J294" s="392"/>
      <c r="K294" s="393"/>
      <c r="L294" s="393"/>
      <c r="M294" s="393"/>
      <c r="N294" s="393"/>
      <c r="O294" s="393"/>
      <c r="P294" s="393"/>
      <c r="Q294" s="394"/>
      <c r="R294" s="395"/>
      <c r="S294" s="388"/>
      <c r="T294" s="388"/>
      <c r="U294" s="388"/>
      <c r="V294" s="388"/>
      <c r="W294" s="388"/>
      <c r="X294" s="388"/>
      <c r="Y294" s="388"/>
      <c r="Z294" s="388"/>
      <c r="AA294" s="388"/>
      <c r="AB294" s="388"/>
      <c r="AC294" s="388"/>
      <c r="AD294" s="388"/>
      <c r="AE294" s="388"/>
      <c r="AF294" s="388"/>
      <c r="AG294" s="388"/>
      <c r="AH294" s="388"/>
      <c r="AI294" s="388"/>
      <c r="AJ294" s="388"/>
      <c r="AK294" s="388"/>
      <c r="AL294" s="388"/>
      <c r="AM294" s="388"/>
      <c r="AN294" s="388"/>
      <c r="AO294" s="388"/>
      <c r="AP294" s="388"/>
      <c r="AQ294" s="388"/>
      <c r="AR294" s="388"/>
      <c r="AS294" s="388"/>
      <c r="AT294" s="388"/>
    </row>
    <row r="295" spans="2:46">
      <c r="B295" s="388"/>
      <c r="C295" s="391"/>
      <c r="D295" s="392"/>
      <c r="E295" s="392"/>
      <c r="F295" s="393"/>
      <c r="G295" s="392"/>
      <c r="H295" s="394"/>
      <c r="I295" s="392"/>
      <c r="J295" s="392"/>
      <c r="K295" s="393"/>
      <c r="L295" s="393"/>
      <c r="M295" s="393"/>
      <c r="N295" s="393"/>
      <c r="O295" s="393"/>
      <c r="P295" s="393"/>
      <c r="Q295" s="394"/>
      <c r="R295" s="395"/>
      <c r="S295" s="388"/>
      <c r="T295" s="388"/>
      <c r="U295" s="388"/>
      <c r="V295" s="388"/>
      <c r="W295" s="388"/>
      <c r="X295" s="388"/>
      <c r="Y295" s="388"/>
      <c r="Z295" s="388"/>
      <c r="AA295" s="388"/>
      <c r="AB295" s="388"/>
      <c r="AC295" s="388"/>
      <c r="AD295" s="388"/>
      <c r="AE295" s="388"/>
      <c r="AF295" s="388"/>
      <c r="AG295" s="388"/>
      <c r="AH295" s="388"/>
      <c r="AI295" s="388"/>
      <c r="AJ295" s="388"/>
      <c r="AK295" s="388"/>
      <c r="AL295" s="388"/>
      <c r="AM295" s="388"/>
      <c r="AN295" s="388"/>
      <c r="AO295" s="388"/>
      <c r="AP295" s="388"/>
      <c r="AQ295" s="388"/>
      <c r="AR295" s="388"/>
      <c r="AS295" s="388"/>
      <c r="AT295" s="388"/>
    </row>
    <row r="296" spans="2:46">
      <c r="B296" s="388"/>
      <c r="C296" s="391"/>
      <c r="D296" s="392"/>
      <c r="E296" s="392"/>
      <c r="F296" s="393"/>
      <c r="G296" s="392"/>
      <c r="H296" s="394"/>
      <c r="I296" s="392"/>
      <c r="J296" s="392"/>
      <c r="K296" s="393"/>
      <c r="L296" s="393"/>
      <c r="M296" s="393"/>
      <c r="N296" s="393"/>
      <c r="O296" s="393"/>
      <c r="P296" s="393"/>
      <c r="Q296" s="394"/>
      <c r="R296" s="395"/>
      <c r="S296" s="388"/>
      <c r="T296" s="388"/>
      <c r="U296" s="388"/>
      <c r="V296" s="388"/>
      <c r="W296" s="388"/>
      <c r="X296" s="388"/>
      <c r="Y296" s="388"/>
      <c r="Z296" s="388"/>
      <c r="AA296" s="388"/>
      <c r="AB296" s="388"/>
      <c r="AC296" s="388"/>
      <c r="AD296" s="388"/>
      <c r="AE296" s="388"/>
      <c r="AF296" s="388"/>
      <c r="AG296" s="388"/>
      <c r="AH296" s="388"/>
      <c r="AI296" s="388"/>
      <c r="AJ296" s="388"/>
      <c r="AK296" s="388"/>
      <c r="AL296" s="388"/>
      <c r="AM296" s="388"/>
      <c r="AN296" s="388"/>
      <c r="AO296" s="388"/>
      <c r="AP296" s="388"/>
      <c r="AQ296" s="388"/>
      <c r="AR296" s="388"/>
      <c r="AS296" s="388"/>
      <c r="AT296" s="388"/>
    </row>
    <row r="297" spans="2:46">
      <c r="B297" s="388"/>
      <c r="C297" s="391"/>
      <c r="D297" s="392"/>
      <c r="E297" s="392"/>
      <c r="F297" s="393"/>
      <c r="G297" s="392"/>
      <c r="H297" s="394"/>
      <c r="I297" s="392"/>
      <c r="J297" s="392"/>
      <c r="K297" s="393"/>
      <c r="L297" s="393"/>
      <c r="M297" s="393"/>
      <c r="N297" s="393"/>
      <c r="O297" s="393"/>
      <c r="P297" s="393"/>
      <c r="Q297" s="394"/>
      <c r="R297" s="395"/>
      <c r="S297" s="388"/>
      <c r="T297" s="388"/>
      <c r="U297" s="388"/>
      <c r="V297" s="388"/>
      <c r="W297" s="388"/>
      <c r="X297" s="388"/>
      <c r="Y297" s="388"/>
      <c r="Z297" s="388"/>
      <c r="AA297" s="388"/>
      <c r="AB297" s="388"/>
      <c r="AC297" s="388"/>
      <c r="AD297" s="388"/>
      <c r="AE297" s="388"/>
      <c r="AF297" s="388"/>
      <c r="AG297" s="388"/>
      <c r="AH297" s="388"/>
      <c r="AI297" s="388"/>
      <c r="AJ297" s="388"/>
      <c r="AK297" s="388"/>
      <c r="AL297" s="388"/>
      <c r="AM297" s="388"/>
      <c r="AN297" s="388"/>
      <c r="AO297" s="388"/>
      <c r="AP297" s="388"/>
      <c r="AQ297" s="388"/>
      <c r="AR297" s="388"/>
      <c r="AS297" s="388"/>
      <c r="AT297" s="388"/>
    </row>
    <row r="298" spans="2:46">
      <c r="B298" s="388"/>
      <c r="C298" s="391"/>
      <c r="D298" s="392"/>
      <c r="E298" s="392"/>
      <c r="F298" s="393"/>
      <c r="G298" s="392"/>
      <c r="H298" s="394"/>
      <c r="I298" s="392"/>
      <c r="J298" s="392"/>
      <c r="K298" s="393"/>
      <c r="L298" s="393"/>
      <c r="M298" s="393"/>
      <c r="N298" s="393"/>
      <c r="O298" s="393"/>
      <c r="P298" s="393"/>
      <c r="Q298" s="394"/>
      <c r="R298" s="395"/>
      <c r="S298" s="388"/>
      <c r="T298" s="388"/>
      <c r="U298" s="388"/>
      <c r="V298" s="388"/>
      <c r="W298" s="388"/>
      <c r="X298" s="388"/>
      <c r="Y298" s="388"/>
      <c r="Z298" s="388"/>
      <c r="AA298" s="388"/>
      <c r="AB298" s="388"/>
      <c r="AC298" s="388"/>
      <c r="AD298" s="388"/>
      <c r="AE298" s="388"/>
      <c r="AF298" s="388"/>
      <c r="AG298" s="388"/>
      <c r="AH298" s="388"/>
      <c r="AI298" s="388"/>
      <c r="AJ298" s="388"/>
      <c r="AK298" s="388"/>
      <c r="AL298" s="388"/>
      <c r="AM298" s="388"/>
      <c r="AN298" s="388"/>
      <c r="AO298" s="388"/>
      <c r="AP298" s="388"/>
      <c r="AQ298" s="388"/>
      <c r="AR298" s="388"/>
      <c r="AS298" s="388"/>
      <c r="AT298" s="388"/>
    </row>
    <row r="299" spans="2:46">
      <c r="B299" s="388"/>
      <c r="C299" s="391"/>
      <c r="D299" s="392"/>
      <c r="E299" s="392"/>
      <c r="F299" s="393"/>
      <c r="G299" s="392"/>
      <c r="H299" s="394"/>
      <c r="I299" s="392"/>
      <c r="J299" s="392"/>
      <c r="K299" s="393"/>
      <c r="L299" s="393"/>
      <c r="M299" s="393"/>
      <c r="N299" s="393"/>
      <c r="O299" s="393"/>
      <c r="P299" s="393"/>
      <c r="Q299" s="394"/>
      <c r="R299" s="395"/>
      <c r="S299" s="388"/>
      <c r="T299" s="388"/>
      <c r="U299" s="388"/>
      <c r="V299" s="388"/>
      <c r="W299" s="388"/>
      <c r="X299" s="388"/>
      <c r="Y299" s="388"/>
      <c r="Z299" s="388"/>
      <c r="AA299" s="388"/>
      <c r="AB299" s="388"/>
      <c r="AC299" s="388"/>
      <c r="AD299" s="388"/>
      <c r="AE299" s="388"/>
      <c r="AF299" s="388"/>
      <c r="AG299" s="388"/>
      <c r="AH299" s="388"/>
      <c r="AI299" s="388"/>
      <c r="AJ299" s="388"/>
      <c r="AK299" s="388"/>
      <c r="AL299" s="388"/>
      <c r="AM299" s="388"/>
      <c r="AN299" s="388"/>
      <c r="AO299" s="388"/>
      <c r="AP299" s="388"/>
      <c r="AQ299" s="388"/>
      <c r="AR299" s="388"/>
      <c r="AS299" s="388"/>
      <c r="AT299" s="388"/>
    </row>
    <row r="300" spans="2:46">
      <c r="B300" s="388"/>
      <c r="C300" s="391"/>
      <c r="D300" s="392"/>
      <c r="E300" s="392"/>
      <c r="F300" s="393"/>
      <c r="G300" s="392"/>
      <c r="H300" s="394"/>
      <c r="I300" s="392"/>
      <c r="J300" s="392"/>
      <c r="K300" s="393"/>
      <c r="L300" s="393"/>
      <c r="M300" s="393"/>
      <c r="N300" s="393"/>
      <c r="O300" s="393"/>
      <c r="P300" s="393"/>
      <c r="Q300" s="394"/>
      <c r="R300" s="395"/>
      <c r="S300" s="388"/>
      <c r="T300" s="388"/>
      <c r="U300" s="388"/>
      <c r="V300" s="388"/>
      <c r="W300" s="388"/>
      <c r="X300" s="388"/>
      <c r="Y300" s="388"/>
      <c r="Z300" s="388"/>
      <c r="AA300" s="388"/>
      <c r="AB300" s="388"/>
      <c r="AC300" s="388"/>
      <c r="AD300" s="388"/>
      <c r="AE300" s="388"/>
      <c r="AF300" s="388"/>
      <c r="AG300" s="388"/>
      <c r="AH300" s="388"/>
      <c r="AI300" s="388"/>
      <c r="AJ300" s="388"/>
      <c r="AK300" s="388"/>
      <c r="AL300" s="388"/>
      <c r="AM300" s="388"/>
      <c r="AN300" s="388"/>
      <c r="AO300" s="388"/>
      <c r="AP300" s="388"/>
      <c r="AQ300" s="388"/>
      <c r="AR300" s="388"/>
      <c r="AS300" s="388"/>
      <c r="AT300" s="388"/>
    </row>
    <row r="301" spans="2:46">
      <c r="B301" s="388"/>
      <c r="C301" s="391"/>
      <c r="D301" s="392"/>
      <c r="E301" s="392"/>
      <c r="F301" s="393"/>
      <c r="G301" s="392"/>
      <c r="H301" s="394"/>
      <c r="I301" s="392"/>
      <c r="J301" s="392"/>
      <c r="K301" s="393"/>
      <c r="L301" s="393"/>
      <c r="M301" s="393"/>
      <c r="N301" s="393"/>
      <c r="O301" s="393"/>
      <c r="P301" s="393"/>
      <c r="Q301" s="394"/>
      <c r="R301" s="395"/>
      <c r="S301" s="388"/>
      <c r="T301" s="388"/>
      <c r="U301" s="388"/>
      <c r="V301" s="388"/>
      <c r="W301" s="388"/>
      <c r="X301" s="388"/>
      <c r="Y301" s="388"/>
      <c r="Z301" s="388"/>
      <c r="AA301" s="388"/>
      <c r="AB301" s="388"/>
      <c r="AC301" s="388"/>
      <c r="AD301" s="388"/>
      <c r="AE301" s="388"/>
      <c r="AF301" s="388"/>
      <c r="AG301" s="388"/>
      <c r="AH301" s="388"/>
      <c r="AI301" s="388"/>
      <c r="AJ301" s="388"/>
      <c r="AK301" s="388"/>
      <c r="AL301" s="388"/>
      <c r="AM301" s="388"/>
      <c r="AN301" s="388"/>
      <c r="AO301" s="388"/>
      <c r="AP301" s="388"/>
      <c r="AQ301" s="388"/>
      <c r="AR301" s="388"/>
      <c r="AS301" s="388"/>
      <c r="AT301" s="388"/>
    </row>
    <row r="302" spans="2:46">
      <c r="B302" s="388"/>
      <c r="C302" s="391"/>
      <c r="D302" s="392"/>
      <c r="E302" s="392"/>
      <c r="F302" s="393"/>
      <c r="G302" s="392"/>
      <c r="H302" s="394"/>
      <c r="I302" s="392"/>
      <c r="J302" s="392"/>
      <c r="K302" s="393"/>
      <c r="L302" s="393"/>
      <c r="M302" s="393"/>
      <c r="N302" s="393"/>
      <c r="O302" s="393"/>
      <c r="P302" s="393"/>
      <c r="Q302" s="394"/>
      <c r="R302" s="395"/>
      <c r="S302" s="388"/>
      <c r="T302" s="388"/>
      <c r="U302" s="388"/>
      <c r="V302" s="388"/>
      <c r="W302" s="388"/>
      <c r="X302" s="388"/>
      <c r="Y302" s="388"/>
      <c r="Z302" s="388"/>
      <c r="AA302" s="388"/>
      <c r="AB302" s="388"/>
      <c r="AC302" s="388"/>
      <c r="AD302" s="388"/>
      <c r="AE302" s="388"/>
      <c r="AF302" s="388"/>
      <c r="AG302" s="388"/>
      <c r="AH302" s="388"/>
      <c r="AI302" s="388"/>
      <c r="AJ302" s="388"/>
      <c r="AK302" s="388"/>
      <c r="AL302" s="388"/>
      <c r="AM302" s="388"/>
      <c r="AN302" s="388"/>
      <c r="AO302" s="388"/>
      <c r="AP302" s="388"/>
      <c r="AQ302" s="388"/>
      <c r="AR302" s="388"/>
      <c r="AS302" s="388"/>
      <c r="AT302" s="388"/>
    </row>
    <row r="303" spans="2:46">
      <c r="B303" s="388"/>
      <c r="C303" s="391"/>
      <c r="D303" s="392"/>
      <c r="E303" s="392"/>
      <c r="F303" s="393"/>
      <c r="G303" s="392"/>
      <c r="H303" s="394"/>
      <c r="I303" s="392"/>
      <c r="J303" s="392"/>
      <c r="K303" s="393"/>
      <c r="L303" s="393"/>
      <c r="M303" s="393"/>
      <c r="N303" s="393"/>
      <c r="O303" s="393"/>
      <c r="P303" s="393"/>
      <c r="Q303" s="394"/>
      <c r="R303" s="395"/>
      <c r="S303" s="388"/>
      <c r="T303" s="388"/>
      <c r="U303" s="388"/>
      <c r="V303" s="388"/>
      <c r="W303" s="388"/>
      <c r="X303" s="388"/>
      <c r="Y303" s="388"/>
      <c r="Z303" s="388"/>
      <c r="AA303" s="388"/>
      <c r="AB303" s="388"/>
      <c r="AC303" s="388"/>
      <c r="AD303" s="388"/>
      <c r="AE303" s="388"/>
      <c r="AF303" s="388"/>
      <c r="AG303" s="388"/>
      <c r="AH303" s="388"/>
      <c r="AI303" s="388"/>
      <c r="AJ303" s="388"/>
      <c r="AK303" s="388"/>
      <c r="AL303" s="388"/>
      <c r="AM303" s="388"/>
      <c r="AN303" s="388"/>
      <c r="AO303" s="388"/>
      <c r="AP303" s="388"/>
      <c r="AQ303" s="388"/>
      <c r="AR303" s="388"/>
      <c r="AS303" s="388"/>
      <c r="AT303" s="388"/>
    </row>
    <row r="304" spans="2:46">
      <c r="B304" s="388"/>
      <c r="C304" s="391"/>
      <c r="D304" s="392"/>
      <c r="E304" s="392"/>
      <c r="F304" s="393"/>
      <c r="G304" s="392"/>
      <c r="H304" s="394"/>
      <c r="I304" s="392"/>
      <c r="J304" s="392"/>
      <c r="K304" s="393"/>
      <c r="L304" s="393"/>
      <c r="M304" s="393"/>
      <c r="N304" s="393"/>
      <c r="O304" s="393"/>
      <c r="P304" s="393"/>
      <c r="Q304" s="394"/>
      <c r="R304" s="395"/>
      <c r="S304" s="388"/>
      <c r="T304" s="388"/>
      <c r="U304" s="388"/>
      <c r="V304" s="388"/>
      <c r="W304" s="388"/>
      <c r="X304" s="388"/>
      <c r="Y304" s="388"/>
      <c r="Z304" s="388"/>
      <c r="AA304" s="388"/>
      <c r="AB304" s="388"/>
      <c r="AC304" s="388"/>
      <c r="AD304" s="388"/>
      <c r="AE304" s="388"/>
      <c r="AF304" s="388"/>
      <c r="AG304" s="388"/>
      <c r="AH304" s="388"/>
      <c r="AI304" s="388"/>
      <c r="AJ304" s="388"/>
      <c r="AK304" s="388"/>
      <c r="AL304" s="388"/>
      <c r="AM304" s="388"/>
      <c r="AN304" s="388"/>
      <c r="AO304" s="388"/>
      <c r="AP304" s="388"/>
      <c r="AQ304" s="388"/>
      <c r="AR304" s="388"/>
      <c r="AS304" s="388"/>
      <c r="AT304" s="388"/>
    </row>
    <row r="305" spans="2:46">
      <c r="B305" s="388"/>
      <c r="C305" s="391"/>
      <c r="D305" s="392"/>
      <c r="E305" s="392"/>
      <c r="F305" s="393"/>
      <c r="G305" s="392"/>
      <c r="H305" s="394"/>
      <c r="I305" s="392"/>
      <c r="J305" s="392"/>
      <c r="K305" s="393"/>
      <c r="L305" s="393"/>
      <c r="M305" s="393"/>
      <c r="N305" s="393"/>
      <c r="O305" s="393"/>
      <c r="P305" s="393"/>
      <c r="Q305" s="394"/>
      <c r="R305" s="395"/>
      <c r="S305" s="388"/>
      <c r="T305" s="388"/>
      <c r="U305" s="388"/>
      <c r="V305" s="388"/>
      <c r="W305" s="388"/>
      <c r="X305" s="388"/>
      <c r="Y305" s="388"/>
      <c r="Z305" s="388"/>
      <c r="AA305" s="388"/>
      <c r="AB305" s="388"/>
      <c r="AC305" s="388"/>
      <c r="AD305" s="388"/>
      <c r="AE305" s="388"/>
      <c r="AF305" s="388"/>
      <c r="AG305" s="388"/>
      <c r="AH305" s="388"/>
      <c r="AI305" s="388"/>
      <c r="AJ305" s="388"/>
      <c r="AK305" s="388"/>
      <c r="AL305" s="388"/>
      <c r="AM305" s="388"/>
      <c r="AN305" s="388"/>
      <c r="AO305" s="388"/>
      <c r="AP305" s="388"/>
      <c r="AQ305" s="388"/>
      <c r="AR305" s="388"/>
      <c r="AS305" s="388"/>
      <c r="AT305" s="388"/>
    </row>
    <row r="306" spans="2:46">
      <c r="B306" s="388"/>
      <c r="C306" s="391"/>
      <c r="D306" s="392"/>
      <c r="E306" s="392"/>
      <c r="F306" s="393"/>
      <c r="G306" s="392"/>
      <c r="H306" s="394"/>
      <c r="I306" s="392"/>
      <c r="J306" s="392"/>
      <c r="K306" s="393"/>
      <c r="L306" s="393"/>
      <c r="M306" s="393"/>
      <c r="N306" s="393"/>
      <c r="O306" s="393"/>
      <c r="P306" s="393"/>
      <c r="Q306" s="394"/>
      <c r="R306" s="395"/>
      <c r="S306" s="388"/>
      <c r="T306" s="388"/>
      <c r="U306" s="388"/>
      <c r="V306" s="388"/>
      <c r="W306" s="388"/>
      <c r="X306" s="388"/>
      <c r="Y306" s="388"/>
      <c r="Z306" s="388"/>
      <c r="AA306" s="388"/>
      <c r="AB306" s="388"/>
      <c r="AC306" s="388"/>
      <c r="AD306" s="388"/>
      <c r="AE306" s="388"/>
      <c r="AF306" s="388"/>
      <c r="AG306" s="388"/>
      <c r="AH306" s="388"/>
      <c r="AI306" s="388"/>
      <c r="AJ306" s="388"/>
      <c r="AK306" s="388"/>
      <c r="AL306" s="388"/>
      <c r="AM306" s="388"/>
      <c r="AN306" s="388"/>
      <c r="AO306" s="388"/>
      <c r="AP306" s="388"/>
      <c r="AQ306" s="388"/>
      <c r="AR306" s="388"/>
      <c r="AS306" s="388"/>
      <c r="AT306" s="388"/>
    </row>
  </sheetData>
  <sheetProtection algorithmName="SHA-512" hashValue="i5u7XAfyLjwcwOz8dHjIVgFg9WvgtZuC1e30ZsTBMpYaWa80uxW4W9XQPg0wm3kLXjBImY/j7ihItf3bF6i/kQ==" saltValue="7zWPTAV2zv5jogcJ1XpUug==" spinCount="100000" sheet="1" objects="1" scenarios="1"/>
  <phoneticPr fontId="0" type="noConversion"/>
  <conditionalFormatting sqref="AA1:AA1048576">
    <cfRule type="cellIs" priority="58" stopIfTrue="1" operator="between">
      <formula>"0,000000001"</formula>
      <formula>100000000</formula>
    </cfRule>
  </conditionalFormatting>
  <conditionalFormatting sqref="Z1:Z1048576">
    <cfRule type="cellIs" priority="59" stopIfTrue="1" operator="between">
      <formula>"0,000000001"</formula>
      <formula>100000000</formula>
    </cfRule>
  </conditionalFormatting>
  <conditionalFormatting sqref="D1:D1048576 I1:K1048576 F1:F1048576 M1:N1048576 R1:Y1048576">
    <cfRule type="cellIs" priority="60" stopIfTrue="1" operator="between">
      <formula>0.000000001</formula>
      <formula>100000000</formula>
    </cfRule>
  </conditionalFormatting>
  <conditionalFormatting sqref="G1:G1048576">
    <cfRule type="cellIs" dxfId="125" priority="61" stopIfTrue="1" operator="between">
      <formula>6.81</formula>
      <formula>14</formula>
    </cfRule>
    <cfRule type="cellIs" dxfId="124" priority="62" stopIfTrue="1" operator="between">
      <formula>6.5</formula>
      <formula>6.8</formula>
    </cfRule>
    <cfRule type="cellIs" dxfId="123" priority="63" stopIfTrue="1" operator="between">
      <formula>6.2</formula>
      <formula>6.49</formula>
    </cfRule>
    <cfRule type="cellIs" dxfId="122" priority="64" stopIfTrue="1" operator="between">
      <formula>5.6</formula>
      <formula>6.19</formula>
    </cfRule>
    <cfRule type="cellIs" dxfId="121" priority="65" stopIfTrue="1" operator="between">
      <formula>3</formula>
      <formula>5.59</formula>
    </cfRule>
  </conditionalFormatting>
  <conditionalFormatting sqref="E1:E1048576">
    <cfRule type="cellIs" dxfId="120" priority="66" stopIfTrue="1" operator="between">
      <formula>7</formula>
      <formula>30</formula>
    </cfRule>
    <cfRule type="cellIs" dxfId="119" priority="67" stopIfTrue="1" operator="between">
      <formula>5</formula>
      <formula>6.99</formula>
    </cfRule>
    <cfRule type="cellIs" dxfId="118" priority="68" stopIfTrue="1" operator="between">
      <formula>3</formula>
      <formula>4.99</formula>
    </cfRule>
    <cfRule type="cellIs" dxfId="117" priority="69" stopIfTrue="1" operator="between">
      <formula>1</formula>
      <formula>2.99</formula>
    </cfRule>
    <cfRule type="cellIs" dxfId="116" priority="70" stopIfTrue="1" operator="between">
      <formula>0.001</formula>
      <formula>0.99</formula>
    </cfRule>
  </conditionalFormatting>
  <conditionalFormatting sqref="L1:L1048576">
    <cfRule type="cellIs" dxfId="115" priority="71" stopIfTrue="1" operator="between">
      <formula>0.01</formula>
      <formula>12.5</formula>
    </cfRule>
    <cfRule type="cellIs" dxfId="114" priority="72" stopIfTrue="1" operator="between">
      <formula>12.6</formula>
      <formula>25</formula>
    </cfRule>
    <cfRule type="cellIs" dxfId="113" priority="73" stopIfTrue="1" operator="between">
      <formula>26</formula>
      <formula>50</formula>
    </cfRule>
    <cfRule type="cellIs" dxfId="112" priority="74" stopIfTrue="1" operator="between">
      <formula>51</formula>
      <formula>100</formula>
    </cfRule>
    <cfRule type="cellIs" dxfId="111" priority="75" stopIfTrue="1" operator="between">
      <formula>101</formula>
      <formula>2000</formula>
    </cfRule>
  </conditionalFormatting>
  <conditionalFormatting sqref="O1:O1048576">
    <cfRule type="cellIs" dxfId="110" priority="76" stopIfTrue="1" operator="between">
      <formula>0.01</formula>
      <formula>300</formula>
    </cfRule>
    <cfRule type="cellIs" dxfId="109" priority="77" stopIfTrue="1" operator="between">
      <formula>301</formula>
      <formula>625</formula>
    </cfRule>
    <cfRule type="cellIs" dxfId="108" priority="78" stopIfTrue="1" operator="between">
      <formula>626</formula>
      <formula>1250</formula>
    </cfRule>
    <cfRule type="cellIs" dxfId="107" priority="79" stopIfTrue="1" operator="between">
      <formula>1251</formula>
      <formula>5000</formula>
    </cfRule>
    <cfRule type="cellIs" dxfId="106" priority="80" stopIfTrue="1" operator="between">
      <formula>5001</formula>
      <formula>100000</formula>
    </cfRule>
  </conditionalFormatting>
  <conditionalFormatting sqref="H1:H1048576">
    <cfRule type="cellIs" dxfId="105" priority="81" stopIfTrue="1" operator="between">
      <formula>0.01</formula>
      <formula>0.5</formula>
    </cfRule>
    <cfRule type="cellIs" dxfId="104" priority="82" stopIfTrue="1" operator="between">
      <formula>0.51</formula>
      <formula>1</formula>
    </cfRule>
    <cfRule type="cellIs" dxfId="103" priority="83" stopIfTrue="1" operator="between">
      <formula>1.01</formula>
      <formula>2.5</formula>
    </cfRule>
    <cfRule type="cellIs" dxfId="102" priority="84" stopIfTrue="1" operator="between">
      <formula>2.51</formula>
      <formula>7</formula>
    </cfRule>
    <cfRule type="cellIs" dxfId="101" priority="85" stopIfTrue="1" operator="between">
      <formula>7.01</formula>
      <formula>300</formula>
    </cfRule>
  </conditionalFormatting>
  <conditionalFormatting sqref="P1:P1048576">
    <cfRule type="cellIs" dxfId="100" priority="86" stopIfTrue="1" operator="between">
      <formula>0.01</formula>
      <formula>2</formula>
    </cfRule>
    <cfRule type="cellIs" dxfId="99" priority="87" stopIfTrue="1" operator="between">
      <formula>2.01</formula>
      <formula>5</formula>
    </cfRule>
    <cfRule type="cellIs" dxfId="98" priority="88" stopIfTrue="1" operator="between">
      <formula>5.01</formula>
      <formula>12</formula>
    </cfRule>
    <cfRule type="cellIs" dxfId="97" priority="89" stopIfTrue="1" operator="between">
      <formula>12.01</formula>
      <formula>25</formula>
    </cfRule>
    <cfRule type="cellIs" dxfId="96" priority="90" stopIfTrue="1" operator="between">
      <formula>25.01</formula>
      <formula>300</formula>
    </cfRule>
  </conditionalFormatting>
  <conditionalFormatting sqref="Q1:Q1048576">
    <cfRule type="cellIs" dxfId="95" priority="91" stopIfTrue="1" operator="between">
      <formula>8</formula>
      <formula>100</formula>
    </cfRule>
    <cfRule type="cellIs" dxfId="94" priority="92" stopIfTrue="1" operator="between">
      <formula>5</formula>
      <formula>7.99</formula>
    </cfRule>
    <cfRule type="cellIs" dxfId="93" priority="93" stopIfTrue="1" operator="between">
      <formula>2.5</formula>
      <formula>4.99</formula>
    </cfRule>
    <cfRule type="cellIs" dxfId="92" priority="94" stopIfTrue="1" operator="between">
      <formula>1</formula>
      <formula>2.49</formula>
    </cfRule>
    <cfRule type="cellIs" dxfId="91" priority="95" stopIfTrue="1" operator="between">
      <formula>0.01</formula>
      <formula>0.99</formula>
    </cfRule>
  </conditionalFormatting>
  <pageMargins left="0.31496062992125984" right="0.23622047244094491" top="0.47244094488188981" bottom="0.35433070866141736" header="1.1023622047244095" footer="0.15748031496062992"/>
  <pageSetup paperSize="9" scale="90" orientation="landscape" r:id="rId1"/>
  <headerFooter alignWithMargins="0">
    <oddHeader>&amp;R&amp;8Utskriftsdatum: &amp;D 
Analyserande lab, gällande metoder och mätosäkerheter, se bilaga.</oddHeader>
    <oddFooter xml:space="preserve">&amp;L&amp;8Ekologigruppen Ekoplan AB
Stora Södergatan 8C, 222 23 Lund
Telefon: 046-106750&amp;C&amp;8sid 1(1)&amp;R&amp;"Arial,Kursiv"&amp;7Denna rapport får endast återges i sin helhet, om inte 
utfärdande laboratorium i färväg skriftligen godkänt annat.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0" r:id="rId4" name="Button 62">
              <controlPr defaultSize="0" autoFill="0" autoPict="0" macro="[0]!Färg">
                <anchor moveWithCells="1" sizeWithCells="1">
                  <from>
                    <xdr:col>2</xdr:col>
                    <xdr:colOff>781050</xdr:colOff>
                    <xdr:row>0</xdr:row>
                    <xdr:rowOff>438150</xdr:rowOff>
                  </from>
                  <to>
                    <xdr:col>5</xdr:col>
                    <xdr:colOff>69850</xdr:colOff>
                    <xdr:row>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" name="Button 63">
              <controlPr defaultSize="0" autoFill="0" autoPict="0" macro="[0]!Avmarkera">
                <anchor moveWithCells="1" sizeWithCells="1">
                  <from>
                    <xdr:col>5</xdr:col>
                    <xdr:colOff>196850</xdr:colOff>
                    <xdr:row>0</xdr:row>
                    <xdr:rowOff>438150</xdr:rowOff>
                  </from>
                  <to>
                    <xdr:col>8</xdr:col>
                    <xdr:colOff>120650</xdr:colOff>
                    <xdr:row>0</xdr:row>
                    <xdr:rowOff>825500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">
    <tabColor rgb="FFFF0000"/>
  </sheetPr>
  <dimension ref="A1:U182"/>
  <sheetViews>
    <sheetView workbookViewId="0">
      <selection activeCell="B2" sqref="B2"/>
    </sheetView>
  </sheetViews>
  <sheetFormatPr defaultRowHeight="12.5"/>
  <cols>
    <col min="1" max="1" width="56" customWidth="1"/>
    <col min="2" max="2" width="12" customWidth="1"/>
    <col min="3" max="3" width="9.08984375" customWidth="1"/>
    <col min="4" max="4" width="15.453125" customWidth="1"/>
    <col min="5" max="5" width="10.36328125" style="216" customWidth="1"/>
    <col min="6" max="17" width="9.08984375" customWidth="1"/>
    <col min="18" max="18" width="8.36328125" customWidth="1"/>
    <col min="19" max="20" width="9.08984375" customWidth="1"/>
    <col min="21" max="21" width="14.453125" customWidth="1"/>
  </cols>
  <sheetData>
    <row r="1" spans="1:21" s="160" customFormat="1" ht="11.25" customHeight="1">
      <c r="A1" s="242" t="str">
        <f>TRIM(CONCATENATE(D1,E1))</f>
        <v>ProvtagningspunktProvtagn</v>
      </c>
      <c r="C1" s="162" t="s">
        <v>2</v>
      </c>
      <c r="D1" s="181" t="s">
        <v>3</v>
      </c>
      <c r="E1" s="182" t="s">
        <v>4</v>
      </c>
      <c r="F1" s="183" t="s">
        <v>5</v>
      </c>
      <c r="G1" s="183" t="s">
        <v>7</v>
      </c>
      <c r="H1" s="184" t="s">
        <v>8</v>
      </c>
      <c r="I1" s="183" t="s">
        <v>6</v>
      </c>
      <c r="J1" s="183" t="s">
        <v>9</v>
      </c>
      <c r="K1" s="183" t="s">
        <v>116</v>
      </c>
      <c r="L1" s="183" t="s">
        <v>128</v>
      </c>
      <c r="M1" s="183" t="s">
        <v>102</v>
      </c>
      <c r="N1" s="183" t="s">
        <v>10</v>
      </c>
      <c r="O1" s="183" t="s">
        <v>129</v>
      </c>
      <c r="P1" s="183" t="s">
        <v>103</v>
      </c>
      <c r="Q1" s="183" t="s">
        <v>11</v>
      </c>
      <c r="R1" s="183" t="s">
        <v>372</v>
      </c>
      <c r="S1" s="183" t="s">
        <v>270</v>
      </c>
      <c r="T1" s="181" t="s">
        <v>13</v>
      </c>
      <c r="U1" s="181"/>
    </row>
    <row r="2" spans="1:21" s="161" customFormat="1" ht="12">
      <c r="A2" s="165"/>
      <c r="C2" s="163" t="s">
        <v>14</v>
      </c>
      <c r="D2" s="164" t="s">
        <v>15</v>
      </c>
      <c r="E2" s="176" t="s">
        <v>16</v>
      </c>
      <c r="F2" s="177" t="s">
        <v>17</v>
      </c>
      <c r="G2" s="177" t="s">
        <v>106</v>
      </c>
      <c r="H2" s="177" t="s">
        <v>114</v>
      </c>
      <c r="I2" s="177"/>
      <c r="J2" s="177" t="s">
        <v>104</v>
      </c>
      <c r="K2" s="177" t="s">
        <v>105</v>
      </c>
      <c r="L2" s="177" t="s">
        <v>106</v>
      </c>
      <c r="M2" s="177" t="s">
        <v>19</v>
      </c>
      <c r="N2" s="177" t="s">
        <v>19</v>
      </c>
      <c r="O2" s="177" t="s">
        <v>20</v>
      </c>
      <c r="P2" s="177" t="s">
        <v>20</v>
      </c>
      <c r="Q2" s="177" t="s">
        <v>20</v>
      </c>
      <c r="R2" s="177" t="s">
        <v>19</v>
      </c>
      <c r="S2" s="177" t="s">
        <v>271</v>
      </c>
      <c r="T2" s="165"/>
      <c r="U2" s="165"/>
    </row>
    <row r="3" spans="1:21">
      <c r="A3" t="str">
        <f t="shared" ref="A3:A34" si="0">TRIM(CONCATENATE(D3,E3))</f>
        <v>3 Kävlingeån, vid Högsmölla45671</v>
      </c>
      <c r="B3" t="str">
        <f t="shared" ref="B3:B12" si="1">CONCATENATE(D3,MONTH(E3))</f>
        <v>3   Kävlingeån, vid Högsmölla1</v>
      </c>
      <c r="C3">
        <v>3</v>
      </c>
      <c r="D3" t="s">
        <v>252</v>
      </c>
      <c r="E3" s="216">
        <v>45671</v>
      </c>
      <c r="F3">
        <v>2.8</v>
      </c>
      <c r="G3">
        <v>13.79</v>
      </c>
      <c r="H3">
        <v>102</v>
      </c>
      <c r="I3">
        <v>8</v>
      </c>
      <c r="J3">
        <v>7.6</v>
      </c>
      <c r="K3">
        <v>45.8</v>
      </c>
      <c r="L3">
        <v>1.5</v>
      </c>
      <c r="M3">
        <v>42</v>
      </c>
      <c r="N3">
        <v>84</v>
      </c>
      <c r="O3">
        <v>4000</v>
      </c>
      <c r="P3">
        <v>53</v>
      </c>
      <c r="Q3">
        <v>4500</v>
      </c>
      <c r="R3" t="s">
        <v>18</v>
      </c>
      <c r="S3" t="s">
        <v>18</v>
      </c>
      <c r="T3" s="217" t="s">
        <v>18</v>
      </c>
    </row>
    <row r="4" spans="1:21">
      <c r="A4" t="str">
        <f t="shared" si="0"/>
        <v>3 Kävlingeån, vid Högsmölla45706</v>
      </c>
      <c r="B4" t="str">
        <f t="shared" si="1"/>
        <v>3   Kävlingeån, vid Högsmölla2</v>
      </c>
      <c r="C4">
        <v>3</v>
      </c>
      <c r="D4" t="s">
        <v>252</v>
      </c>
      <c r="E4" s="216">
        <v>45706</v>
      </c>
      <c r="F4">
        <v>1</v>
      </c>
      <c r="G4">
        <v>14.72</v>
      </c>
      <c r="H4">
        <v>103</v>
      </c>
      <c r="I4">
        <v>8</v>
      </c>
      <c r="J4">
        <v>4.9000000000000004</v>
      </c>
      <c r="K4">
        <v>47.1</v>
      </c>
      <c r="L4">
        <v>1.1000000000000001</v>
      </c>
      <c r="M4">
        <v>37</v>
      </c>
      <c r="N4">
        <v>62</v>
      </c>
      <c r="O4">
        <v>3500</v>
      </c>
      <c r="P4">
        <v>60</v>
      </c>
      <c r="Q4">
        <v>4100</v>
      </c>
      <c r="R4" t="s">
        <v>18</v>
      </c>
      <c r="S4" t="s">
        <v>18</v>
      </c>
      <c r="T4" t="s">
        <v>18</v>
      </c>
    </row>
    <row r="5" spans="1:21">
      <c r="A5" t="str">
        <f t="shared" si="0"/>
        <v>3 Kävlingeån, vid Högsmölla45734</v>
      </c>
      <c r="B5" t="str">
        <f t="shared" si="1"/>
        <v>3   Kävlingeån, vid Högsmölla3</v>
      </c>
      <c r="C5">
        <v>3</v>
      </c>
      <c r="D5" t="s">
        <v>252</v>
      </c>
      <c r="E5" s="216">
        <v>45734</v>
      </c>
      <c r="F5">
        <v>13.33</v>
      </c>
      <c r="G5">
        <v>13.33</v>
      </c>
      <c r="H5">
        <v>91</v>
      </c>
      <c r="I5">
        <v>8.1</v>
      </c>
      <c r="J5">
        <v>4.8</v>
      </c>
      <c r="K5">
        <v>50</v>
      </c>
      <c r="L5">
        <v>2.4</v>
      </c>
      <c r="M5">
        <v>6.1</v>
      </c>
      <c r="N5">
        <v>51</v>
      </c>
      <c r="O5">
        <v>2700</v>
      </c>
      <c r="P5" t="s">
        <v>148</v>
      </c>
      <c r="Q5">
        <v>3100</v>
      </c>
      <c r="R5" t="s">
        <v>18</v>
      </c>
      <c r="S5" t="s">
        <v>18</v>
      </c>
      <c r="T5" t="s">
        <v>18</v>
      </c>
    </row>
    <row r="6" spans="1:21">
      <c r="A6" t="str">
        <f t="shared" si="0"/>
        <v>3 Kävlingeån, vid Högsmölla45761</v>
      </c>
      <c r="B6" t="str">
        <f t="shared" si="1"/>
        <v>3   Kävlingeån, vid Högsmölla4</v>
      </c>
      <c r="C6">
        <v>3</v>
      </c>
      <c r="D6" t="s">
        <v>252</v>
      </c>
      <c r="E6" s="216">
        <v>45761</v>
      </c>
      <c r="F6">
        <v>11.5</v>
      </c>
      <c r="G6">
        <v>9.98</v>
      </c>
      <c r="H6">
        <v>92</v>
      </c>
      <c r="I6">
        <v>8</v>
      </c>
      <c r="J6">
        <v>2.6</v>
      </c>
      <c r="K6">
        <v>57.6</v>
      </c>
      <c r="L6">
        <v>1.7</v>
      </c>
      <c r="M6">
        <v>14</v>
      </c>
      <c r="N6">
        <v>45</v>
      </c>
      <c r="O6">
        <v>1800</v>
      </c>
      <c r="P6">
        <v>30</v>
      </c>
      <c r="Q6">
        <v>2500</v>
      </c>
      <c r="R6" t="s">
        <v>18</v>
      </c>
      <c r="S6" t="s">
        <v>18</v>
      </c>
      <c r="T6" t="s">
        <v>18</v>
      </c>
    </row>
    <row r="7" spans="1:21">
      <c r="A7" t="str">
        <f t="shared" si="0"/>
        <v>3 Kävlingeån, vid Högsmölla45826</v>
      </c>
      <c r="B7" t="str">
        <f t="shared" si="1"/>
        <v>3   Kävlingeån, vid Högsmölla6</v>
      </c>
      <c r="C7">
        <v>3</v>
      </c>
      <c r="D7" t="s">
        <v>252</v>
      </c>
      <c r="E7" s="216">
        <v>45826</v>
      </c>
      <c r="F7">
        <v>20.5</v>
      </c>
      <c r="G7">
        <v>8.3800000000000008</v>
      </c>
      <c r="H7">
        <v>93</v>
      </c>
      <c r="I7">
        <v>7.9</v>
      </c>
      <c r="J7">
        <v>1.2</v>
      </c>
      <c r="K7">
        <v>52.1</v>
      </c>
      <c r="L7">
        <v>0.89</v>
      </c>
      <c r="M7">
        <v>48</v>
      </c>
      <c r="N7">
        <v>68</v>
      </c>
      <c r="O7">
        <v>1000</v>
      </c>
      <c r="P7">
        <v>44</v>
      </c>
      <c r="Q7">
        <v>1900</v>
      </c>
      <c r="R7" t="s">
        <v>18</v>
      </c>
      <c r="S7" t="s">
        <v>18</v>
      </c>
      <c r="T7" t="s">
        <v>18</v>
      </c>
    </row>
    <row r="8" spans="1:21">
      <c r="A8" t="str">
        <f t="shared" si="0"/>
        <v>3 Kävlingeån, vid Högsmölla45848</v>
      </c>
      <c r="B8" t="str">
        <f t="shared" si="1"/>
        <v>3   Kävlingeån, vid Högsmölla7</v>
      </c>
      <c r="C8">
        <v>3</v>
      </c>
      <c r="D8" t="s">
        <v>252</v>
      </c>
      <c r="E8" s="216">
        <v>45848</v>
      </c>
      <c r="F8">
        <v>20.5</v>
      </c>
      <c r="G8">
        <v>7.6</v>
      </c>
      <c r="H8">
        <v>84</v>
      </c>
      <c r="I8">
        <v>7.8</v>
      </c>
      <c r="J8">
        <v>0.78</v>
      </c>
      <c r="K8">
        <v>52.3</v>
      </c>
      <c r="L8">
        <v>0.62</v>
      </c>
      <c r="M8">
        <v>57</v>
      </c>
      <c r="N8">
        <v>78</v>
      </c>
      <c r="O8">
        <v>1100</v>
      </c>
      <c r="P8">
        <v>34</v>
      </c>
      <c r="Q8">
        <v>1300</v>
      </c>
      <c r="R8" t="s">
        <v>18</v>
      </c>
      <c r="S8" t="s">
        <v>18</v>
      </c>
      <c r="T8" t="s">
        <v>18</v>
      </c>
    </row>
    <row r="9" spans="1:21">
      <c r="A9" t="str">
        <f t="shared" si="0"/>
        <v>3 Kävlingeån, vid Högsmölla</v>
      </c>
      <c r="B9" t="e">
        <f t="shared" si="1"/>
        <v>#VALUE!</v>
      </c>
      <c r="C9">
        <v>3</v>
      </c>
      <c r="D9" t="s">
        <v>252</v>
      </c>
      <c r="E9" s="216" t="s">
        <v>18</v>
      </c>
      <c r="F9" t="s">
        <v>18</v>
      </c>
      <c r="G9" t="s">
        <v>18</v>
      </c>
      <c r="H9" t="s">
        <v>18</v>
      </c>
      <c r="I9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  <c r="Q9" t="s">
        <v>18</v>
      </c>
      <c r="R9" t="s">
        <v>18</v>
      </c>
      <c r="S9" t="s">
        <v>18</v>
      </c>
      <c r="T9" t="s">
        <v>18</v>
      </c>
    </row>
    <row r="10" spans="1:21">
      <c r="A10" t="str">
        <f t="shared" si="0"/>
        <v>3 Kävlingeån, vid Högsmölla</v>
      </c>
      <c r="B10" t="e">
        <f t="shared" si="1"/>
        <v>#VALUE!</v>
      </c>
      <c r="C10">
        <v>3</v>
      </c>
      <c r="D10" t="s">
        <v>252</v>
      </c>
      <c r="E10" s="216" t="s">
        <v>18</v>
      </c>
      <c r="F10" t="s">
        <v>18</v>
      </c>
      <c r="G10" t="s">
        <v>18</v>
      </c>
      <c r="H10" t="s">
        <v>18</v>
      </c>
      <c r="I10" t="s">
        <v>18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  <c r="Q10" t="s">
        <v>18</v>
      </c>
      <c r="R10" t="s">
        <v>18</v>
      </c>
      <c r="S10" t="s">
        <v>18</v>
      </c>
      <c r="T10" t="s">
        <v>18</v>
      </c>
    </row>
    <row r="11" spans="1:21">
      <c r="A11" t="str">
        <f t="shared" si="0"/>
        <v>3 Kävlingeån, vid Högsmölla</v>
      </c>
      <c r="B11" t="e">
        <f t="shared" si="1"/>
        <v>#VALUE!</v>
      </c>
      <c r="C11">
        <v>3</v>
      </c>
      <c r="D11" t="s">
        <v>252</v>
      </c>
      <c r="E11" s="216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  <c r="L11" t="s">
        <v>18</v>
      </c>
      <c r="M11" t="s">
        <v>18</v>
      </c>
      <c r="N11" t="s">
        <v>18</v>
      </c>
      <c r="O11" t="s">
        <v>18</v>
      </c>
      <c r="P11" t="s">
        <v>18</v>
      </c>
      <c r="Q11" t="s">
        <v>18</v>
      </c>
      <c r="R11" t="s">
        <v>18</v>
      </c>
      <c r="S11" t="s">
        <v>18</v>
      </c>
      <c r="T11" t="s">
        <v>18</v>
      </c>
    </row>
    <row r="12" spans="1:21">
      <c r="A12" t="str">
        <f t="shared" si="0"/>
        <v>3 Kävlingeån, vid Högsmölla</v>
      </c>
      <c r="B12" t="e">
        <f t="shared" si="1"/>
        <v>#VALUE!</v>
      </c>
      <c r="C12">
        <v>3</v>
      </c>
      <c r="D12" t="s">
        <v>252</v>
      </c>
      <c r="E12" s="216" t="s">
        <v>18</v>
      </c>
      <c r="F12" t="s">
        <v>18</v>
      </c>
      <c r="G12" t="s">
        <v>18</v>
      </c>
      <c r="H12" t="s">
        <v>18</v>
      </c>
      <c r="I12" t="s">
        <v>18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t="s">
        <v>18</v>
      </c>
      <c r="Q12" t="s">
        <v>18</v>
      </c>
      <c r="R12" t="s">
        <v>18</v>
      </c>
      <c r="S12" t="s">
        <v>18</v>
      </c>
      <c r="T12" t="s">
        <v>18</v>
      </c>
    </row>
    <row r="13" spans="1:21">
      <c r="A13" t="str">
        <f t="shared" si="0"/>
        <v>3 Kävlingeån, vid Högsmölla</v>
      </c>
      <c r="B13" t="e">
        <f t="shared" ref="B13:B76" si="2">CONCATENATE(D13,MONTH(E13))</f>
        <v>#VALUE!</v>
      </c>
      <c r="C13">
        <v>3</v>
      </c>
      <c r="D13" t="s">
        <v>252</v>
      </c>
      <c r="E13" s="216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  <c r="Q13" t="s">
        <v>18</v>
      </c>
      <c r="R13" t="s">
        <v>18</v>
      </c>
      <c r="S13" t="s">
        <v>18</v>
      </c>
      <c r="T13" t="s">
        <v>18</v>
      </c>
    </row>
    <row r="14" spans="1:21">
      <c r="A14" t="str">
        <f t="shared" si="0"/>
        <v>3 Kävlingeån, vid Högsmölla2025-05-13</v>
      </c>
      <c r="B14" t="str">
        <f t="shared" si="2"/>
        <v>3   Kävlingeån, vid Högsmölla5</v>
      </c>
      <c r="C14">
        <v>3</v>
      </c>
      <c r="D14" t="s">
        <v>252</v>
      </c>
      <c r="E14" s="216" t="s">
        <v>435</v>
      </c>
      <c r="F14">
        <v>15.4</v>
      </c>
      <c r="G14">
        <v>9.42</v>
      </c>
      <c r="H14">
        <v>94</v>
      </c>
      <c r="I14">
        <v>7.9</v>
      </c>
      <c r="J14">
        <v>1.7</v>
      </c>
      <c r="K14">
        <v>55.1</v>
      </c>
      <c r="L14">
        <v>1</v>
      </c>
      <c r="M14">
        <v>20</v>
      </c>
      <c r="N14">
        <v>51</v>
      </c>
      <c r="O14">
        <v>1100</v>
      </c>
      <c r="P14">
        <v>28</v>
      </c>
      <c r="Q14">
        <v>1800</v>
      </c>
      <c r="R14" t="s">
        <v>18</v>
      </c>
      <c r="S14" t="s">
        <v>18</v>
      </c>
      <c r="T14" t="s">
        <v>18</v>
      </c>
    </row>
    <row r="15" spans="1:21">
      <c r="A15" t="str">
        <f t="shared" si="0"/>
        <v>10 Kävlingeån, vid Örtofta, uppströms Bråån45671</v>
      </c>
      <c r="B15" t="str">
        <f t="shared" si="2"/>
        <v>10  Kävlingeån, vid Örtofta, uppströms Bråån1</v>
      </c>
      <c r="C15">
        <v>5</v>
      </c>
      <c r="D15" t="s">
        <v>253</v>
      </c>
      <c r="E15" s="216">
        <v>45671</v>
      </c>
      <c r="F15">
        <v>1.8</v>
      </c>
      <c r="G15">
        <v>12.94</v>
      </c>
      <c r="H15">
        <v>93</v>
      </c>
      <c r="I15">
        <v>7.9</v>
      </c>
      <c r="J15">
        <v>6.8</v>
      </c>
      <c r="K15">
        <v>45</v>
      </c>
      <c r="L15">
        <v>1.4</v>
      </c>
      <c r="M15">
        <v>42</v>
      </c>
      <c r="N15">
        <v>92</v>
      </c>
      <c r="O15">
        <v>3200</v>
      </c>
      <c r="P15">
        <v>74</v>
      </c>
      <c r="Q15">
        <v>4000</v>
      </c>
      <c r="R15" t="s">
        <v>18</v>
      </c>
      <c r="S15" t="s">
        <v>18</v>
      </c>
      <c r="T15" t="s">
        <v>18</v>
      </c>
    </row>
    <row r="16" spans="1:21">
      <c r="A16" t="str">
        <f t="shared" si="0"/>
        <v>10 Kävlingeån, vid Örtofta, uppströms Bråån45734</v>
      </c>
      <c r="B16" t="str">
        <f t="shared" si="2"/>
        <v>10  Kävlingeån, vid Örtofta, uppströms Bråån3</v>
      </c>
      <c r="C16">
        <v>5</v>
      </c>
      <c r="D16" t="s">
        <v>253</v>
      </c>
      <c r="E16" s="216">
        <v>45734</v>
      </c>
      <c r="F16">
        <v>11.35</v>
      </c>
      <c r="G16">
        <v>11.35</v>
      </c>
      <c r="H16">
        <v>89</v>
      </c>
      <c r="I16">
        <v>7.8</v>
      </c>
      <c r="J16">
        <v>5.3</v>
      </c>
      <c r="K16">
        <v>48.8</v>
      </c>
      <c r="L16">
        <v>2.2999999999999998</v>
      </c>
      <c r="M16">
        <v>14</v>
      </c>
      <c r="N16">
        <v>58</v>
      </c>
      <c r="O16">
        <v>2100</v>
      </c>
      <c r="P16">
        <v>89</v>
      </c>
      <c r="Q16">
        <v>2500</v>
      </c>
      <c r="R16" t="s">
        <v>18</v>
      </c>
      <c r="S16" t="s">
        <v>18</v>
      </c>
      <c r="T16" t="s">
        <v>18</v>
      </c>
    </row>
    <row r="17" spans="1:20">
      <c r="A17" t="str">
        <f t="shared" si="0"/>
        <v>10 Kävlingeån, vid Örtofta, uppströms Bråån45848</v>
      </c>
      <c r="B17" t="str">
        <f t="shared" si="2"/>
        <v>10  Kävlingeån, vid Örtofta, uppströms Bråån7</v>
      </c>
      <c r="C17">
        <v>5</v>
      </c>
      <c r="D17" t="s">
        <v>253</v>
      </c>
      <c r="E17" s="216">
        <v>45848</v>
      </c>
      <c r="F17">
        <v>22</v>
      </c>
      <c r="G17">
        <v>8.33</v>
      </c>
      <c r="H17">
        <v>95</v>
      </c>
      <c r="I17">
        <v>7.8</v>
      </c>
      <c r="J17">
        <v>1.1000000000000001</v>
      </c>
      <c r="K17">
        <v>47.5</v>
      </c>
      <c r="L17">
        <v>1.2</v>
      </c>
      <c r="M17">
        <v>21</v>
      </c>
      <c r="N17">
        <v>47</v>
      </c>
      <c r="O17">
        <v>380</v>
      </c>
      <c r="P17">
        <v>36</v>
      </c>
      <c r="Q17">
        <v>870</v>
      </c>
      <c r="R17" t="s">
        <v>18</v>
      </c>
      <c r="S17" t="s">
        <v>18</v>
      </c>
      <c r="T17" t="s">
        <v>18</v>
      </c>
    </row>
    <row r="18" spans="1:20">
      <c r="A18" t="str">
        <f t="shared" si="0"/>
        <v>10 Kävlingeån, vid Örtofta, uppströms Bråån</v>
      </c>
      <c r="B18" t="e">
        <f t="shared" si="2"/>
        <v>#VALUE!</v>
      </c>
      <c r="C18">
        <v>5</v>
      </c>
      <c r="D18" t="s">
        <v>253</v>
      </c>
      <c r="E18" s="216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  <c r="Q18" t="s">
        <v>18</v>
      </c>
      <c r="R18" t="s">
        <v>18</v>
      </c>
      <c r="S18" t="s">
        <v>18</v>
      </c>
      <c r="T18" t="s">
        <v>18</v>
      </c>
    </row>
    <row r="19" spans="1:20">
      <c r="A19" t="str">
        <f t="shared" si="0"/>
        <v>10 Kävlingeån, vid Örtofta, uppströms Bråån</v>
      </c>
      <c r="B19" t="e">
        <f t="shared" si="2"/>
        <v>#VALUE!</v>
      </c>
      <c r="C19">
        <v>5</v>
      </c>
      <c r="D19" t="s">
        <v>253</v>
      </c>
      <c r="E19" s="216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  <c r="Q19" t="s">
        <v>18</v>
      </c>
      <c r="R19" t="s">
        <v>18</v>
      </c>
      <c r="S19" t="s">
        <v>18</v>
      </c>
      <c r="T19" t="s">
        <v>18</v>
      </c>
    </row>
    <row r="20" spans="1:20">
      <c r="A20" t="str">
        <f t="shared" si="0"/>
        <v>10 Kävlingeån, vid Örtofta, uppströms Bråån2025-05-13</v>
      </c>
      <c r="B20" t="str">
        <f t="shared" si="2"/>
        <v>10  Kävlingeån, vid Örtofta, uppströms Bråån5</v>
      </c>
      <c r="C20">
        <v>5</v>
      </c>
      <c r="D20" t="s">
        <v>253</v>
      </c>
      <c r="E20" s="216" t="s">
        <v>435</v>
      </c>
      <c r="F20">
        <v>15.5</v>
      </c>
      <c r="G20">
        <v>9.59</v>
      </c>
      <c r="H20">
        <v>96</v>
      </c>
      <c r="I20">
        <v>7.9</v>
      </c>
      <c r="J20">
        <v>2.4</v>
      </c>
      <c r="K20">
        <v>48.6</v>
      </c>
      <c r="L20">
        <v>1.3</v>
      </c>
      <c r="M20">
        <v>9.5</v>
      </c>
      <c r="N20">
        <v>43</v>
      </c>
      <c r="O20">
        <v>940</v>
      </c>
      <c r="P20">
        <v>36</v>
      </c>
      <c r="Q20">
        <v>1500</v>
      </c>
      <c r="R20" t="s">
        <v>18</v>
      </c>
      <c r="S20" t="s">
        <v>18</v>
      </c>
      <c r="T20" t="s">
        <v>18</v>
      </c>
    </row>
    <row r="21" spans="1:20">
      <c r="A21" t="str">
        <f t="shared" si="0"/>
        <v>12A Kävlingeån, vid Gårdstånga kyrka45671</v>
      </c>
      <c r="B21" t="str">
        <f t="shared" si="2"/>
        <v>12A Kävlingeån, vid Gårdstånga kyrka1</v>
      </c>
      <c r="C21">
        <v>6</v>
      </c>
      <c r="D21" t="s">
        <v>265</v>
      </c>
      <c r="E21" s="216">
        <v>45671</v>
      </c>
      <c r="F21">
        <v>2.2000000000000002</v>
      </c>
      <c r="G21">
        <v>13.14</v>
      </c>
      <c r="H21">
        <v>96</v>
      </c>
      <c r="I21">
        <v>7.9</v>
      </c>
      <c r="J21">
        <v>7.7</v>
      </c>
      <c r="K21">
        <v>43.7</v>
      </c>
      <c r="L21">
        <v>1.5</v>
      </c>
      <c r="M21">
        <v>40</v>
      </c>
      <c r="N21">
        <v>89</v>
      </c>
      <c r="O21">
        <v>2900</v>
      </c>
      <c r="P21">
        <v>91</v>
      </c>
      <c r="Q21">
        <v>3500</v>
      </c>
      <c r="R21" t="s">
        <v>18</v>
      </c>
      <c r="S21" t="s">
        <v>18</v>
      </c>
      <c r="T21" t="s">
        <v>18</v>
      </c>
    </row>
    <row r="22" spans="1:20">
      <c r="A22" t="str">
        <f t="shared" si="0"/>
        <v>12A Kävlingeån, vid Gårdstånga kyrka45706</v>
      </c>
      <c r="B22" t="str">
        <f t="shared" si="2"/>
        <v>12A Kävlingeån, vid Gårdstånga kyrka2</v>
      </c>
      <c r="C22">
        <v>6</v>
      </c>
      <c r="D22" t="s">
        <v>265</v>
      </c>
      <c r="E22" s="216">
        <v>45706</v>
      </c>
      <c r="F22">
        <v>1.7</v>
      </c>
      <c r="G22">
        <v>13.91</v>
      </c>
      <c r="H22">
        <v>100</v>
      </c>
      <c r="I22">
        <v>8</v>
      </c>
      <c r="J22">
        <v>4.4000000000000004</v>
      </c>
      <c r="K22">
        <v>43.9</v>
      </c>
      <c r="L22">
        <v>1.2</v>
      </c>
      <c r="M22">
        <v>38</v>
      </c>
      <c r="N22">
        <v>64</v>
      </c>
      <c r="O22">
        <v>3000</v>
      </c>
      <c r="P22">
        <v>65</v>
      </c>
      <c r="Q22">
        <v>3600</v>
      </c>
      <c r="R22" t="s">
        <v>18</v>
      </c>
      <c r="S22" t="s">
        <v>18</v>
      </c>
      <c r="T22" t="s">
        <v>18</v>
      </c>
    </row>
    <row r="23" spans="1:20">
      <c r="A23" t="str">
        <f t="shared" si="0"/>
        <v>12A Kävlingeån, vid Gårdstånga kyrka45734</v>
      </c>
      <c r="B23" t="str">
        <f t="shared" si="2"/>
        <v>12A Kävlingeån, vid Gårdstånga kyrka3</v>
      </c>
      <c r="C23">
        <v>6</v>
      </c>
      <c r="D23" t="s">
        <v>265</v>
      </c>
      <c r="E23" s="216">
        <v>45734</v>
      </c>
      <c r="F23">
        <v>11.48</v>
      </c>
      <c r="G23">
        <v>11.48</v>
      </c>
      <c r="H23">
        <v>90</v>
      </c>
      <c r="I23">
        <v>7.8</v>
      </c>
      <c r="J23">
        <v>6.3</v>
      </c>
      <c r="K23">
        <v>46.5</v>
      </c>
      <c r="L23">
        <v>2.2999999999999998</v>
      </c>
      <c r="M23">
        <v>19</v>
      </c>
      <c r="N23">
        <v>62</v>
      </c>
      <c r="O23">
        <v>1400</v>
      </c>
      <c r="P23">
        <v>110</v>
      </c>
      <c r="Q23">
        <v>2000</v>
      </c>
      <c r="R23" t="s">
        <v>18</v>
      </c>
      <c r="S23" t="s">
        <v>18</v>
      </c>
      <c r="T23" t="s">
        <v>18</v>
      </c>
    </row>
    <row r="24" spans="1:20">
      <c r="A24" t="str">
        <f t="shared" si="0"/>
        <v>12A Kävlingeån, vid Gårdstånga kyrka45761</v>
      </c>
      <c r="B24" t="str">
        <f t="shared" si="2"/>
        <v>12A Kävlingeån, vid Gårdstånga kyrka4</v>
      </c>
      <c r="C24">
        <v>6</v>
      </c>
      <c r="D24" t="s">
        <v>265</v>
      </c>
      <c r="E24" s="216">
        <v>45761</v>
      </c>
      <c r="F24">
        <v>11.8</v>
      </c>
      <c r="G24">
        <v>8.5399999999999991</v>
      </c>
      <c r="H24">
        <v>79</v>
      </c>
      <c r="I24">
        <v>7.8</v>
      </c>
      <c r="J24">
        <v>3.5</v>
      </c>
      <c r="K24">
        <v>49.7</v>
      </c>
      <c r="L24">
        <v>1.9</v>
      </c>
      <c r="M24">
        <v>21</v>
      </c>
      <c r="N24">
        <v>59</v>
      </c>
      <c r="O24">
        <v>1200</v>
      </c>
      <c r="P24">
        <v>130</v>
      </c>
      <c r="Q24">
        <v>1800</v>
      </c>
      <c r="R24" t="s">
        <v>18</v>
      </c>
      <c r="S24" t="s">
        <v>18</v>
      </c>
      <c r="T24" t="s">
        <v>18</v>
      </c>
    </row>
    <row r="25" spans="1:20">
      <c r="A25" t="str">
        <f t="shared" si="0"/>
        <v>12A Kävlingeån, vid Gårdstånga kyrka45826</v>
      </c>
      <c r="B25" t="str">
        <f t="shared" si="2"/>
        <v>12A Kävlingeån, vid Gårdstånga kyrka6</v>
      </c>
      <c r="C25">
        <v>6</v>
      </c>
      <c r="D25" t="s">
        <v>265</v>
      </c>
      <c r="E25" s="216">
        <v>45826</v>
      </c>
      <c r="F25">
        <v>19.8</v>
      </c>
      <c r="G25">
        <v>9.4700000000000006</v>
      </c>
      <c r="H25">
        <v>104</v>
      </c>
      <c r="I25">
        <v>7.9</v>
      </c>
      <c r="J25">
        <v>1.2</v>
      </c>
      <c r="K25">
        <v>47.3</v>
      </c>
      <c r="L25">
        <v>1.2</v>
      </c>
      <c r="M25">
        <v>14</v>
      </c>
      <c r="N25">
        <v>37</v>
      </c>
      <c r="O25">
        <v>490</v>
      </c>
      <c r="P25">
        <v>36</v>
      </c>
      <c r="Q25">
        <v>1200</v>
      </c>
      <c r="R25" t="s">
        <v>18</v>
      </c>
      <c r="S25" t="s">
        <v>18</v>
      </c>
      <c r="T25" t="s">
        <v>18</v>
      </c>
    </row>
    <row r="26" spans="1:20">
      <c r="A26" t="str">
        <f t="shared" si="0"/>
        <v>12A Kävlingeån, vid Gårdstånga kyrka45848</v>
      </c>
      <c r="B26" t="str">
        <f t="shared" si="2"/>
        <v>12A Kävlingeån, vid Gårdstånga kyrka7</v>
      </c>
      <c r="C26">
        <v>6</v>
      </c>
      <c r="D26" t="s">
        <v>265</v>
      </c>
      <c r="E26" s="216">
        <v>45848</v>
      </c>
      <c r="F26">
        <v>21.2</v>
      </c>
      <c r="G26">
        <v>7.99</v>
      </c>
      <c r="H26">
        <v>90</v>
      </c>
      <c r="I26">
        <v>7.6</v>
      </c>
      <c r="J26">
        <v>2.8</v>
      </c>
      <c r="K26">
        <v>40.1</v>
      </c>
      <c r="L26">
        <v>1.9</v>
      </c>
      <c r="M26">
        <v>21</v>
      </c>
      <c r="N26">
        <v>58</v>
      </c>
      <c r="O26">
        <v>760</v>
      </c>
      <c r="P26">
        <v>100</v>
      </c>
      <c r="Q26">
        <v>1300</v>
      </c>
      <c r="R26" t="s">
        <v>18</v>
      </c>
      <c r="S26" t="s">
        <v>18</v>
      </c>
      <c r="T26" t="s">
        <v>18</v>
      </c>
    </row>
    <row r="27" spans="1:20">
      <c r="A27" t="str">
        <f t="shared" si="0"/>
        <v>12A Kävlingeån, vid Gårdstånga kyrka</v>
      </c>
      <c r="B27" t="e">
        <f t="shared" si="2"/>
        <v>#VALUE!</v>
      </c>
      <c r="C27">
        <v>6</v>
      </c>
      <c r="D27" t="s">
        <v>265</v>
      </c>
      <c r="E27" s="216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  <c r="Q27" t="s">
        <v>18</v>
      </c>
      <c r="R27" t="s">
        <v>18</v>
      </c>
      <c r="S27" t="s">
        <v>18</v>
      </c>
      <c r="T27" t="s">
        <v>18</v>
      </c>
    </row>
    <row r="28" spans="1:20">
      <c r="A28" t="str">
        <f t="shared" si="0"/>
        <v>12A Kävlingeån, vid Gårdstånga kyrka</v>
      </c>
      <c r="B28" t="e">
        <f t="shared" si="2"/>
        <v>#VALUE!</v>
      </c>
      <c r="C28">
        <v>6</v>
      </c>
      <c r="D28" t="s">
        <v>265</v>
      </c>
      <c r="E28" s="216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  <c r="Q28" t="s">
        <v>18</v>
      </c>
      <c r="R28" t="s">
        <v>18</v>
      </c>
      <c r="S28" t="s">
        <v>18</v>
      </c>
      <c r="T28" t="s">
        <v>18</v>
      </c>
    </row>
    <row r="29" spans="1:20">
      <c r="A29" t="str">
        <f t="shared" si="0"/>
        <v>12A Kävlingeån, vid Gårdstånga kyrka</v>
      </c>
      <c r="B29" t="e">
        <f t="shared" si="2"/>
        <v>#VALUE!</v>
      </c>
      <c r="C29">
        <v>6</v>
      </c>
      <c r="D29" t="s">
        <v>265</v>
      </c>
      <c r="E29" s="216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  <c r="L29" t="s">
        <v>18</v>
      </c>
      <c r="M29" t="s">
        <v>18</v>
      </c>
      <c r="N29" t="s">
        <v>18</v>
      </c>
      <c r="O29" t="s">
        <v>18</v>
      </c>
      <c r="P29" t="s">
        <v>18</v>
      </c>
      <c r="Q29" t="s">
        <v>18</v>
      </c>
      <c r="R29" t="s">
        <v>18</v>
      </c>
      <c r="S29" t="s">
        <v>18</v>
      </c>
      <c r="T29" t="s">
        <v>18</v>
      </c>
    </row>
    <row r="30" spans="1:20">
      <c r="A30" t="str">
        <f t="shared" si="0"/>
        <v>12A Kävlingeån, vid Gårdstånga kyrka</v>
      </c>
      <c r="B30" t="e">
        <f t="shared" si="2"/>
        <v>#VALUE!</v>
      </c>
      <c r="C30">
        <v>6</v>
      </c>
      <c r="D30" t="s">
        <v>265</v>
      </c>
      <c r="E30" s="216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  <c r="Q30" t="s">
        <v>18</v>
      </c>
      <c r="R30" t="s">
        <v>18</v>
      </c>
      <c r="S30" t="s">
        <v>18</v>
      </c>
      <c r="T30" t="s">
        <v>18</v>
      </c>
    </row>
    <row r="31" spans="1:20">
      <c r="A31" t="str">
        <f t="shared" si="0"/>
        <v>12A Kävlingeån, vid Gårdstånga kyrka</v>
      </c>
      <c r="B31" t="e">
        <f t="shared" si="2"/>
        <v>#VALUE!</v>
      </c>
      <c r="C31">
        <v>6</v>
      </c>
      <c r="D31" t="s">
        <v>265</v>
      </c>
      <c r="E31" s="216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  <c r="Q31" t="s">
        <v>18</v>
      </c>
      <c r="R31" t="s">
        <v>18</v>
      </c>
      <c r="S31" t="s">
        <v>18</v>
      </c>
      <c r="T31" t="s">
        <v>18</v>
      </c>
    </row>
    <row r="32" spans="1:20">
      <c r="A32" t="str">
        <f t="shared" si="0"/>
        <v>12A Kävlingeån, vid Gårdstånga kyrka2025-05-13</v>
      </c>
      <c r="B32" t="str">
        <f t="shared" si="2"/>
        <v>12A Kävlingeån, vid Gårdstånga kyrka5</v>
      </c>
      <c r="C32">
        <v>6</v>
      </c>
      <c r="D32" t="s">
        <v>265</v>
      </c>
      <c r="E32" s="216" t="s">
        <v>435</v>
      </c>
      <c r="F32">
        <v>15.4</v>
      </c>
      <c r="G32">
        <v>10.39</v>
      </c>
      <c r="H32">
        <v>104</v>
      </c>
      <c r="I32">
        <v>7.9</v>
      </c>
      <c r="J32">
        <v>2.7</v>
      </c>
      <c r="K32">
        <v>46.7</v>
      </c>
      <c r="L32">
        <v>1.5</v>
      </c>
      <c r="M32">
        <v>18</v>
      </c>
      <c r="N32">
        <v>52</v>
      </c>
      <c r="O32">
        <v>920</v>
      </c>
      <c r="P32">
        <v>70</v>
      </c>
      <c r="Q32">
        <v>1500</v>
      </c>
      <c r="R32" t="s">
        <v>18</v>
      </c>
      <c r="S32" t="s">
        <v>18</v>
      </c>
      <c r="T32" t="s">
        <v>18</v>
      </c>
    </row>
    <row r="33" spans="1:20">
      <c r="A33" t="str">
        <f t="shared" si="0"/>
        <v>17 Kävlingeån, vid Vombsjöns utlopp45671</v>
      </c>
      <c r="B33" t="str">
        <f t="shared" si="2"/>
        <v>17  Kävlingeån, vid Vombsjöns utlopp1</v>
      </c>
      <c r="C33">
        <v>7</v>
      </c>
      <c r="D33" t="s">
        <v>254</v>
      </c>
      <c r="E33" s="216">
        <v>45671</v>
      </c>
      <c r="F33">
        <v>2.4</v>
      </c>
      <c r="G33">
        <v>13.24</v>
      </c>
      <c r="H33">
        <v>97</v>
      </c>
      <c r="I33">
        <v>8.1999999999999993</v>
      </c>
      <c r="J33">
        <v>5.7</v>
      </c>
      <c r="K33">
        <v>40.4</v>
      </c>
      <c r="L33">
        <v>1.4</v>
      </c>
      <c r="M33">
        <v>47</v>
      </c>
      <c r="N33">
        <v>78</v>
      </c>
      <c r="O33">
        <v>3100</v>
      </c>
      <c r="P33">
        <v>24</v>
      </c>
      <c r="Q33">
        <v>3700</v>
      </c>
      <c r="R33" t="s">
        <v>18</v>
      </c>
      <c r="S33" t="s">
        <v>18</v>
      </c>
      <c r="T33" t="s">
        <v>18</v>
      </c>
    </row>
    <row r="34" spans="1:20">
      <c r="A34" t="str">
        <f t="shared" si="0"/>
        <v>17 Kävlingeån, vid Vombsjöns utlopp45706</v>
      </c>
      <c r="B34" t="str">
        <f t="shared" si="2"/>
        <v>17  Kävlingeån, vid Vombsjöns utlopp2</v>
      </c>
      <c r="C34">
        <v>7</v>
      </c>
      <c r="D34" t="s">
        <v>254</v>
      </c>
      <c r="E34" s="216">
        <v>45706</v>
      </c>
      <c r="F34">
        <v>2.1</v>
      </c>
      <c r="G34">
        <v>14.37</v>
      </c>
      <c r="H34">
        <v>104</v>
      </c>
      <c r="I34">
        <v>8.1999999999999993</v>
      </c>
      <c r="J34">
        <v>2.8</v>
      </c>
      <c r="K34">
        <v>42.1</v>
      </c>
      <c r="L34">
        <v>0.9</v>
      </c>
      <c r="M34">
        <v>43</v>
      </c>
      <c r="N34">
        <v>61</v>
      </c>
      <c r="O34">
        <v>3400</v>
      </c>
      <c r="P34">
        <v>28</v>
      </c>
      <c r="Q34">
        <v>3700</v>
      </c>
      <c r="R34" t="s">
        <v>18</v>
      </c>
      <c r="S34" t="s">
        <v>18</v>
      </c>
      <c r="T34" t="s">
        <v>18</v>
      </c>
    </row>
    <row r="35" spans="1:20">
      <c r="A35" t="str">
        <f t="shared" ref="A35:A66" si="3">TRIM(CONCATENATE(D35,E35))</f>
        <v>17 Kävlingeån, vid Vombsjöns utlopp45728</v>
      </c>
      <c r="B35" t="str">
        <f t="shared" si="2"/>
        <v>17  Kävlingeån, vid Vombsjöns utlopp3</v>
      </c>
      <c r="C35">
        <v>7</v>
      </c>
      <c r="D35" t="s">
        <v>254</v>
      </c>
      <c r="E35" s="216">
        <v>45728</v>
      </c>
      <c r="F35">
        <v>4.5999999999999996</v>
      </c>
      <c r="G35">
        <v>15.03</v>
      </c>
      <c r="H35">
        <v>118</v>
      </c>
      <c r="I35">
        <v>8.5</v>
      </c>
      <c r="J35">
        <v>4.5999999999999996</v>
      </c>
      <c r="K35">
        <v>42</v>
      </c>
      <c r="L35">
        <v>2.8</v>
      </c>
      <c r="M35">
        <v>3.6</v>
      </c>
      <c r="N35">
        <v>49</v>
      </c>
      <c r="O35">
        <v>3000</v>
      </c>
      <c r="P35" t="s">
        <v>148</v>
      </c>
      <c r="Q35">
        <v>3700</v>
      </c>
      <c r="R35" t="s">
        <v>18</v>
      </c>
      <c r="S35" t="s">
        <v>18</v>
      </c>
      <c r="T35" t="s">
        <v>18</v>
      </c>
    </row>
    <row r="36" spans="1:20">
      <c r="A36" t="str">
        <f t="shared" si="3"/>
        <v>17 Kävlingeån, vid Vombsjöns utlopp45761</v>
      </c>
      <c r="B36" t="str">
        <f t="shared" si="2"/>
        <v>17  Kävlingeån, vid Vombsjöns utlopp4</v>
      </c>
      <c r="C36">
        <v>7</v>
      </c>
      <c r="D36" t="s">
        <v>254</v>
      </c>
      <c r="E36" s="216">
        <v>45761</v>
      </c>
      <c r="F36">
        <v>10.199999999999999</v>
      </c>
      <c r="G36">
        <v>11.89</v>
      </c>
      <c r="H36">
        <v>106</v>
      </c>
      <c r="I36">
        <v>8.6999999999999993</v>
      </c>
      <c r="J36">
        <v>1.1000000000000001</v>
      </c>
      <c r="K36">
        <v>41.5</v>
      </c>
      <c r="L36">
        <v>2</v>
      </c>
      <c r="M36" t="s">
        <v>149</v>
      </c>
      <c r="N36">
        <v>25</v>
      </c>
      <c r="O36">
        <v>2400</v>
      </c>
      <c r="P36">
        <v>33</v>
      </c>
      <c r="Q36">
        <v>3000</v>
      </c>
      <c r="R36" t="s">
        <v>18</v>
      </c>
      <c r="S36" t="s">
        <v>18</v>
      </c>
      <c r="T36" t="s">
        <v>18</v>
      </c>
    </row>
    <row r="37" spans="1:20">
      <c r="A37" t="str">
        <f t="shared" si="3"/>
        <v>17 Kävlingeån, vid Vombsjöns utlopp45826</v>
      </c>
      <c r="B37" t="str">
        <f t="shared" si="2"/>
        <v>17  Kävlingeån, vid Vombsjöns utlopp6</v>
      </c>
      <c r="C37">
        <v>7</v>
      </c>
      <c r="D37" t="s">
        <v>254</v>
      </c>
      <c r="E37" s="216">
        <v>45826</v>
      </c>
      <c r="F37">
        <v>17.8</v>
      </c>
      <c r="G37">
        <v>9.8699999999999992</v>
      </c>
      <c r="H37">
        <v>104</v>
      </c>
      <c r="I37">
        <v>8.3000000000000007</v>
      </c>
      <c r="J37">
        <v>4.4000000000000004</v>
      </c>
      <c r="K37">
        <v>39.799999999999997</v>
      </c>
      <c r="L37">
        <v>1.7</v>
      </c>
      <c r="M37" t="s">
        <v>149</v>
      </c>
      <c r="N37">
        <v>31</v>
      </c>
      <c r="O37">
        <v>890</v>
      </c>
      <c r="P37">
        <v>47</v>
      </c>
      <c r="Q37">
        <v>1600</v>
      </c>
      <c r="R37" t="s">
        <v>18</v>
      </c>
      <c r="S37" t="s">
        <v>18</v>
      </c>
      <c r="T37" t="s">
        <v>18</v>
      </c>
    </row>
    <row r="38" spans="1:20">
      <c r="A38" t="str">
        <f t="shared" si="3"/>
        <v>17 Kävlingeån, vid Vombsjöns utlopp45848</v>
      </c>
      <c r="B38" t="str">
        <f t="shared" si="2"/>
        <v>17  Kävlingeån, vid Vombsjöns utlopp7</v>
      </c>
      <c r="C38">
        <v>7</v>
      </c>
      <c r="D38" t="s">
        <v>254</v>
      </c>
      <c r="E38" s="216">
        <v>45848</v>
      </c>
      <c r="F38">
        <v>20.2</v>
      </c>
      <c r="G38">
        <v>9.5399999999999991</v>
      </c>
      <c r="H38">
        <v>105</v>
      </c>
      <c r="I38">
        <v>8.3000000000000007</v>
      </c>
      <c r="J38">
        <v>6.3</v>
      </c>
      <c r="K38">
        <v>36.200000000000003</v>
      </c>
      <c r="L38">
        <v>2.6</v>
      </c>
      <c r="M38" t="s">
        <v>149</v>
      </c>
      <c r="N38">
        <v>36</v>
      </c>
      <c r="O38">
        <v>110</v>
      </c>
      <c r="P38">
        <v>15</v>
      </c>
      <c r="Q38">
        <v>710</v>
      </c>
      <c r="R38" t="s">
        <v>18</v>
      </c>
      <c r="S38" t="s">
        <v>18</v>
      </c>
      <c r="T38" t="s">
        <v>18</v>
      </c>
    </row>
    <row r="39" spans="1:20">
      <c r="A39" t="str">
        <f t="shared" si="3"/>
        <v>17 Kävlingeån, vid Vombsjöns utlopp</v>
      </c>
      <c r="B39" t="e">
        <f t="shared" si="2"/>
        <v>#VALUE!</v>
      </c>
      <c r="C39">
        <v>7</v>
      </c>
      <c r="D39" t="s">
        <v>254</v>
      </c>
      <c r="E39" s="216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  <c r="L39" t="s">
        <v>18</v>
      </c>
      <c r="M39" t="s">
        <v>18</v>
      </c>
      <c r="N39" t="s">
        <v>18</v>
      </c>
      <c r="O39" t="s">
        <v>18</v>
      </c>
      <c r="P39" t="s">
        <v>18</v>
      </c>
      <c r="Q39" t="s">
        <v>18</v>
      </c>
      <c r="R39" t="s">
        <v>18</v>
      </c>
      <c r="S39" t="s">
        <v>18</v>
      </c>
      <c r="T39" t="s">
        <v>18</v>
      </c>
    </row>
    <row r="40" spans="1:20">
      <c r="A40" t="str">
        <f t="shared" si="3"/>
        <v>17 Kävlingeån, vid Vombsjöns utlopp</v>
      </c>
      <c r="B40" t="e">
        <f t="shared" si="2"/>
        <v>#VALUE!</v>
      </c>
      <c r="C40">
        <v>7</v>
      </c>
      <c r="D40" t="s">
        <v>254</v>
      </c>
      <c r="E40" s="216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  <c r="L40" t="s">
        <v>18</v>
      </c>
      <c r="M40" t="s">
        <v>18</v>
      </c>
      <c r="N40" t="s">
        <v>18</v>
      </c>
      <c r="O40" t="s">
        <v>18</v>
      </c>
      <c r="P40" t="s">
        <v>18</v>
      </c>
      <c r="Q40" t="s">
        <v>18</v>
      </c>
      <c r="R40" t="s">
        <v>18</v>
      </c>
      <c r="S40" t="s">
        <v>18</v>
      </c>
      <c r="T40" t="s">
        <v>18</v>
      </c>
    </row>
    <row r="41" spans="1:20">
      <c r="A41" t="str">
        <f t="shared" si="3"/>
        <v>17 Kävlingeån, vid Vombsjöns utlopp</v>
      </c>
      <c r="B41" t="e">
        <f t="shared" si="2"/>
        <v>#VALUE!</v>
      </c>
      <c r="C41">
        <v>7</v>
      </c>
      <c r="D41" t="s">
        <v>254</v>
      </c>
      <c r="E41" s="216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  <c r="L41" t="s">
        <v>18</v>
      </c>
      <c r="M41" t="s">
        <v>18</v>
      </c>
      <c r="N41" t="s">
        <v>18</v>
      </c>
      <c r="O41" t="s">
        <v>18</v>
      </c>
      <c r="P41" t="s">
        <v>18</v>
      </c>
      <c r="Q41" t="s">
        <v>18</v>
      </c>
      <c r="R41" t="s">
        <v>18</v>
      </c>
      <c r="S41" t="s">
        <v>18</v>
      </c>
      <c r="T41" t="s">
        <v>18</v>
      </c>
    </row>
    <row r="42" spans="1:20">
      <c r="A42" t="str">
        <f t="shared" si="3"/>
        <v>17 Kävlingeån, vid Vombsjöns utlopp</v>
      </c>
      <c r="B42" t="e">
        <f t="shared" si="2"/>
        <v>#VALUE!</v>
      </c>
      <c r="C42">
        <v>7</v>
      </c>
      <c r="D42" t="s">
        <v>254</v>
      </c>
      <c r="E42" s="216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  <c r="L42" t="s">
        <v>18</v>
      </c>
      <c r="M42" t="s">
        <v>18</v>
      </c>
      <c r="N42" t="s">
        <v>18</v>
      </c>
      <c r="O42" t="s">
        <v>18</v>
      </c>
      <c r="P42" t="s">
        <v>18</v>
      </c>
      <c r="Q42" t="s">
        <v>18</v>
      </c>
      <c r="R42" t="s">
        <v>18</v>
      </c>
      <c r="S42" t="s">
        <v>18</v>
      </c>
      <c r="T42" t="s">
        <v>18</v>
      </c>
    </row>
    <row r="43" spans="1:20">
      <c r="A43" t="str">
        <f t="shared" si="3"/>
        <v>17 Kävlingeån, vid Vombsjöns utlopp</v>
      </c>
      <c r="B43" t="e">
        <f t="shared" si="2"/>
        <v>#VALUE!</v>
      </c>
      <c r="C43">
        <v>7</v>
      </c>
      <c r="D43" t="s">
        <v>254</v>
      </c>
      <c r="E43" s="216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  <c r="L43" t="s">
        <v>18</v>
      </c>
      <c r="M43" t="s">
        <v>18</v>
      </c>
      <c r="N43" t="s">
        <v>18</v>
      </c>
      <c r="O43" t="s">
        <v>18</v>
      </c>
      <c r="P43" t="s">
        <v>18</v>
      </c>
      <c r="Q43" t="s">
        <v>18</v>
      </c>
      <c r="R43" t="s">
        <v>18</v>
      </c>
      <c r="S43" t="s">
        <v>18</v>
      </c>
      <c r="T43" t="s">
        <v>18</v>
      </c>
    </row>
    <row r="44" spans="1:20">
      <c r="A44" t="str">
        <f t="shared" si="3"/>
        <v>17 Kävlingeån, vid Vombsjöns utlopp2025-05-13</v>
      </c>
      <c r="B44" t="str">
        <f t="shared" si="2"/>
        <v>17  Kävlingeån, vid Vombsjöns utlopp5</v>
      </c>
      <c r="C44">
        <v>7</v>
      </c>
      <c r="D44" t="s">
        <v>254</v>
      </c>
      <c r="E44" s="216" t="s">
        <v>435</v>
      </c>
      <c r="F44">
        <v>14</v>
      </c>
      <c r="G44">
        <v>13.05</v>
      </c>
      <c r="H44">
        <v>127</v>
      </c>
      <c r="I44">
        <v>8.6</v>
      </c>
      <c r="J44">
        <v>2</v>
      </c>
      <c r="K44">
        <v>41.2</v>
      </c>
      <c r="L44">
        <v>2.8</v>
      </c>
      <c r="M44" t="s">
        <v>149</v>
      </c>
      <c r="N44">
        <v>32</v>
      </c>
      <c r="O44">
        <v>1800</v>
      </c>
      <c r="P44">
        <v>46</v>
      </c>
      <c r="Q44">
        <v>2600</v>
      </c>
      <c r="R44" t="s">
        <v>18</v>
      </c>
      <c r="S44" t="s">
        <v>18</v>
      </c>
      <c r="T44" t="s">
        <v>18</v>
      </c>
    </row>
    <row r="45" spans="1:20">
      <c r="A45" t="str">
        <f t="shared" si="3"/>
        <v>19 Torpsbäcken, vid utlopp till Vombsjön45670</v>
      </c>
      <c r="B45" t="str">
        <f t="shared" si="2"/>
        <v>19  Torpsbäcken, vid utlopp till Vombsjön1</v>
      </c>
      <c r="C45">
        <v>9</v>
      </c>
      <c r="D45" t="s">
        <v>255</v>
      </c>
      <c r="E45" s="216">
        <v>45670</v>
      </c>
      <c r="F45">
        <v>1.2</v>
      </c>
      <c r="G45">
        <v>14.28</v>
      </c>
      <c r="H45">
        <v>101</v>
      </c>
      <c r="I45">
        <v>8.1</v>
      </c>
      <c r="J45">
        <v>5.5</v>
      </c>
      <c r="K45">
        <v>46.4</v>
      </c>
      <c r="L45">
        <v>1.2</v>
      </c>
      <c r="M45">
        <v>37</v>
      </c>
      <c r="N45">
        <v>58</v>
      </c>
      <c r="O45">
        <v>8100</v>
      </c>
      <c r="P45">
        <v>19</v>
      </c>
      <c r="Q45">
        <v>8200</v>
      </c>
      <c r="R45" t="s">
        <v>18</v>
      </c>
      <c r="S45" t="s">
        <v>18</v>
      </c>
      <c r="T45" t="s">
        <v>18</v>
      </c>
    </row>
    <row r="46" spans="1:20">
      <c r="A46" t="str">
        <f t="shared" si="3"/>
        <v>19 Torpsbäcken, vid utlopp till Vombsjön45728</v>
      </c>
      <c r="B46" t="str">
        <f t="shared" si="2"/>
        <v>19  Torpsbäcken, vid utlopp till Vombsjön3</v>
      </c>
      <c r="C46">
        <v>9</v>
      </c>
      <c r="D46" t="s">
        <v>255</v>
      </c>
      <c r="E46" s="216">
        <v>45728</v>
      </c>
      <c r="F46">
        <v>5.4</v>
      </c>
      <c r="G46">
        <v>12.93</v>
      </c>
      <c r="H46">
        <v>100</v>
      </c>
      <c r="I46">
        <v>8.4</v>
      </c>
      <c r="J46">
        <v>4.5999999999999996</v>
      </c>
      <c r="K46">
        <v>53.4</v>
      </c>
      <c r="L46">
        <v>3.9</v>
      </c>
      <c r="M46">
        <v>2.8</v>
      </c>
      <c r="N46">
        <v>37</v>
      </c>
      <c r="O46">
        <v>4300</v>
      </c>
      <c r="P46" t="s">
        <v>148</v>
      </c>
      <c r="Q46">
        <v>5200</v>
      </c>
      <c r="R46" t="s">
        <v>18</v>
      </c>
      <c r="S46" t="s">
        <v>18</v>
      </c>
      <c r="T46" t="s">
        <v>18</v>
      </c>
    </row>
    <row r="47" spans="1:20">
      <c r="A47" t="str">
        <f t="shared" si="3"/>
        <v>19 Torpsbäcken, vid utlopp till Vombsjön45848</v>
      </c>
      <c r="B47" t="str">
        <f t="shared" si="2"/>
        <v>19  Torpsbäcken, vid utlopp till Vombsjön7</v>
      </c>
      <c r="C47">
        <v>9</v>
      </c>
      <c r="D47" t="s">
        <v>255</v>
      </c>
      <c r="E47" s="216">
        <v>45848</v>
      </c>
      <c r="F47">
        <v>16.399999999999999</v>
      </c>
      <c r="G47">
        <v>6.95</v>
      </c>
      <c r="H47">
        <v>71</v>
      </c>
      <c r="I47">
        <v>7.6</v>
      </c>
      <c r="J47">
        <v>2.5</v>
      </c>
      <c r="K47">
        <v>41.1</v>
      </c>
      <c r="L47">
        <v>2.5</v>
      </c>
      <c r="M47">
        <v>310</v>
      </c>
      <c r="N47">
        <v>370</v>
      </c>
      <c r="O47">
        <v>560</v>
      </c>
      <c r="P47">
        <v>150</v>
      </c>
      <c r="Q47">
        <v>1300</v>
      </c>
      <c r="R47" t="s">
        <v>18</v>
      </c>
      <c r="S47" t="s">
        <v>18</v>
      </c>
      <c r="T47" t="s">
        <v>18</v>
      </c>
    </row>
    <row r="48" spans="1:20">
      <c r="A48" t="str">
        <f t="shared" si="3"/>
        <v>19 Torpsbäcken, vid utlopp till Vombsjön</v>
      </c>
      <c r="B48" t="e">
        <f t="shared" si="2"/>
        <v>#VALUE!</v>
      </c>
      <c r="C48">
        <v>9</v>
      </c>
      <c r="D48" t="s">
        <v>255</v>
      </c>
      <c r="E48" s="216" t="s">
        <v>18</v>
      </c>
      <c r="F48" t="s">
        <v>18</v>
      </c>
      <c r="G48" t="s">
        <v>18</v>
      </c>
      <c r="H48" t="s">
        <v>18</v>
      </c>
      <c r="I48" t="s">
        <v>18</v>
      </c>
      <c r="J48" t="s">
        <v>18</v>
      </c>
      <c r="K48" t="s">
        <v>18</v>
      </c>
      <c r="L48" t="s">
        <v>18</v>
      </c>
      <c r="M48" t="s">
        <v>18</v>
      </c>
      <c r="N48" t="s">
        <v>18</v>
      </c>
      <c r="O48" t="s">
        <v>18</v>
      </c>
      <c r="P48" t="s">
        <v>18</v>
      </c>
      <c r="Q48" t="s">
        <v>18</v>
      </c>
      <c r="R48" t="s">
        <v>18</v>
      </c>
      <c r="S48" t="s">
        <v>18</v>
      </c>
      <c r="T48" t="s">
        <v>18</v>
      </c>
    </row>
    <row r="49" spans="1:20">
      <c r="A49" t="str">
        <f t="shared" si="3"/>
        <v>19 Torpsbäcken, vid utlopp till Vombsjön</v>
      </c>
      <c r="B49" t="e">
        <f t="shared" si="2"/>
        <v>#VALUE!</v>
      </c>
      <c r="C49">
        <v>9</v>
      </c>
      <c r="D49" t="s">
        <v>255</v>
      </c>
      <c r="E49" s="216" t="s">
        <v>18</v>
      </c>
      <c r="F49" t="s">
        <v>18</v>
      </c>
      <c r="G49" t="s">
        <v>18</v>
      </c>
      <c r="H49" t="s">
        <v>18</v>
      </c>
      <c r="I49" t="s">
        <v>18</v>
      </c>
      <c r="J49" t="s">
        <v>18</v>
      </c>
      <c r="K49" t="s">
        <v>18</v>
      </c>
      <c r="L49" t="s">
        <v>18</v>
      </c>
      <c r="M49" t="s">
        <v>18</v>
      </c>
      <c r="N49" t="s">
        <v>18</v>
      </c>
      <c r="O49" t="s">
        <v>18</v>
      </c>
      <c r="P49" t="s">
        <v>18</v>
      </c>
      <c r="Q49" t="s">
        <v>18</v>
      </c>
      <c r="R49" t="s">
        <v>18</v>
      </c>
      <c r="S49" t="s">
        <v>18</v>
      </c>
      <c r="T49" t="s">
        <v>18</v>
      </c>
    </row>
    <row r="50" spans="1:20">
      <c r="A50" t="str">
        <f t="shared" si="3"/>
        <v>19 Torpsbäcken, vid utlopp till Vombsjön2025-05-15</v>
      </c>
      <c r="B50" t="str">
        <f t="shared" si="2"/>
        <v>19  Torpsbäcken, vid utlopp till Vombsjön5</v>
      </c>
      <c r="C50">
        <v>9</v>
      </c>
      <c r="D50" t="s">
        <v>255</v>
      </c>
      <c r="E50" s="216" t="s">
        <v>436</v>
      </c>
      <c r="F50">
        <v>11.4</v>
      </c>
      <c r="G50">
        <v>8.43</v>
      </c>
      <c r="H50">
        <v>77</v>
      </c>
      <c r="I50">
        <v>7.7</v>
      </c>
      <c r="J50">
        <v>3.1</v>
      </c>
      <c r="K50">
        <v>46.9</v>
      </c>
      <c r="L50">
        <v>4.4000000000000004</v>
      </c>
      <c r="M50">
        <v>25</v>
      </c>
      <c r="N50">
        <v>100</v>
      </c>
      <c r="O50">
        <v>590</v>
      </c>
      <c r="P50">
        <v>130</v>
      </c>
      <c r="Q50">
        <v>1500</v>
      </c>
      <c r="R50" t="s">
        <v>18</v>
      </c>
      <c r="S50" t="s">
        <v>18</v>
      </c>
      <c r="T50" t="s">
        <v>18</v>
      </c>
    </row>
    <row r="51" spans="1:20">
      <c r="A51" t="str">
        <f t="shared" si="3"/>
        <v>20 Björkaån, vid Björka före utlopp till Vombsjön45670</v>
      </c>
      <c r="B51" t="str">
        <f t="shared" si="2"/>
        <v>20  Björkaån, vid Björka före utlopp till Vombsjön1</v>
      </c>
      <c r="C51">
        <v>11</v>
      </c>
      <c r="D51" t="s">
        <v>256</v>
      </c>
      <c r="E51" s="216">
        <v>45670</v>
      </c>
      <c r="F51">
        <v>0.2</v>
      </c>
      <c r="G51">
        <v>14.46</v>
      </c>
      <c r="H51">
        <v>99</v>
      </c>
      <c r="I51">
        <v>8</v>
      </c>
      <c r="J51">
        <v>8.9</v>
      </c>
      <c r="K51">
        <v>49.1</v>
      </c>
      <c r="L51">
        <v>1.6</v>
      </c>
      <c r="M51">
        <v>38</v>
      </c>
      <c r="N51">
        <v>71</v>
      </c>
      <c r="O51">
        <v>6700</v>
      </c>
      <c r="P51">
        <v>67</v>
      </c>
      <c r="Q51">
        <v>6600</v>
      </c>
      <c r="R51" t="s">
        <v>18</v>
      </c>
      <c r="S51" t="s">
        <v>18</v>
      </c>
      <c r="T51" t="s">
        <v>18</v>
      </c>
    </row>
    <row r="52" spans="1:20">
      <c r="A52" t="str">
        <f t="shared" si="3"/>
        <v>20 Björkaån, vid Björka före utlopp till Vombsjön45706</v>
      </c>
      <c r="B52" t="str">
        <f t="shared" si="2"/>
        <v>20  Björkaån, vid Björka före utlopp till Vombsjön2</v>
      </c>
      <c r="C52">
        <v>11</v>
      </c>
      <c r="D52" t="s">
        <v>256</v>
      </c>
      <c r="E52" s="216">
        <v>45706</v>
      </c>
      <c r="F52">
        <v>1.4</v>
      </c>
      <c r="G52">
        <v>14.3</v>
      </c>
      <c r="H52">
        <v>102</v>
      </c>
      <c r="I52">
        <v>8</v>
      </c>
      <c r="J52">
        <v>3.5</v>
      </c>
      <c r="K52">
        <v>56.9</v>
      </c>
      <c r="L52">
        <v>1.5</v>
      </c>
      <c r="M52">
        <v>28</v>
      </c>
      <c r="N52">
        <v>41</v>
      </c>
      <c r="O52">
        <v>5000</v>
      </c>
      <c r="P52">
        <v>80</v>
      </c>
      <c r="Q52">
        <v>5500</v>
      </c>
      <c r="R52" t="s">
        <v>18</v>
      </c>
      <c r="S52" t="s">
        <v>18</v>
      </c>
      <c r="T52" t="s">
        <v>18</v>
      </c>
    </row>
    <row r="53" spans="1:20">
      <c r="A53" t="str">
        <f t="shared" si="3"/>
        <v>20 Björkaån, vid Björka före utlopp till Vombsjön45728</v>
      </c>
      <c r="B53" t="str">
        <f t="shared" si="2"/>
        <v>20  Björkaån, vid Björka före utlopp till Vombsjön3</v>
      </c>
      <c r="C53">
        <v>11</v>
      </c>
      <c r="D53" t="s">
        <v>256</v>
      </c>
      <c r="E53" s="216">
        <v>45728</v>
      </c>
      <c r="F53">
        <v>5.4</v>
      </c>
      <c r="G53">
        <v>12.25</v>
      </c>
      <c r="H53">
        <v>97</v>
      </c>
      <c r="I53">
        <v>8.1</v>
      </c>
      <c r="J53">
        <v>2.4</v>
      </c>
      <c r="K53">
        <v>54.1</v>
      </c>
      <c r="L53">
        <v>1.6</v>
      </c>
      <c r="M53">
        <v>11</v>
      </c>
      <c r="N53">
        <v>26</v>
      </c>
      <c r="O53">
        <v>3600</v>
      </c>
      <c r="P53">
        <v>24</v>
      </c>
      <c r="Q53">
        <v>4200</v>
      </c>
      <c r="R53" t="s">
        <v>18</v>
      </c>
      <c r="S53" t="s">
        <v>18</v>
      </c>
      <c r="T53" t="s">
        <v>18</v>
      </c>
    </row>
    <row r="54" spans="1:20">
      <c r="A54" t="str">
        <f t="shared" si="3"/>
        <v>20 Björkaån, vid Björka före utlopp till Vombsjön45761</v>
      </c>
      <c r="B54" t="str">
        <f t="shared" si="2"/>
        <v>20  Björkaån, vid Björka före utlopp till Vombsjön4</v>
      </c>
      <c r="C54">
        <v>11</v>
      </c>
      <c r="D54" t="s">
        <v>256</v>
      </c>
      <c r="E54" s="216">
        <v>45761</v>
      </c>
      <c r="F54">
        <v>10.7</v>
      </c>
      <c r="G54">
        <v>10.88</v>
      </c>
      <c r="H54">
        <v>98</v>
      </c>
      <c r="I54">
        <v>8.1</v>
      </c>
      <c r="J54">
        <v>1.5</v>
      </c>
      <c r="K54">
        <v>53.4</v>
      </c>
      <c r="L54">
        <v>2</v>
      </c>
      <c r="M54">
        <v>2.5</v>
      </c>
      <c r="N54">
        <v>25</v>
      </c>
      <c r="O54">
        <v>2200</v>
      </c>
      <c r="P54">
        <v>28</v>
      </c>
      <c r="Q54">
        <v>2700</v>
      </c>
      <c r="R54" t="s">
        <v>18</v>
      </c>
      <c r="S54" t="s">
        <v>18</v>
      </c>
      <c r="T54" t="s">
        <v>18</v>
      </c>
    </row>
    <row r="55" spans="1:20">
      <c r="A55" t="str">
        <f t="shared" si="3"/>
        <v>20 Björkaån, vid Björka före utlopp till Vombsjön45826</v>
      </c>
      <c r="B55" t="str">
        <f t="shared" si="2"/>
        <v>20  Björkaån, vid Björka före utlopp till Vombsjön6</v>
      </c>
      <c r="C55">
        <v>11</v>
      </c>
      <c r="D55" t="s">
        <v>256</v>
      </c>
      <c r="E55" s="216">
        <v>45826</v>
      </c>
      <c r="F55">
        <v>17.2</v>
      </c>
      <c r="G55">
        <v>9.0299999999999994</v>
      </c>
      <c r="H55">
        <v>94</v>
      </c>
      <c r="I55">
        <v>8</v>
      </c>
      <c r="J55">
        <v>1.9</v>
      </c>
      <c r="K55">
        <v>55.6</v>
      </c>
      <c r="L55">
        <v>1</v>
      </c>
      <c r="M55">
        <v>35</v>
      </c>
      <c r="N55">
        <v>58</v>
      </c>
      <c r="O55">
        <v>1500</v>
      </c>
      <c r="P55">
        <v>37</v>
      </c>
      <c r="Q55">
        <v>2300</v>
      </c>
      <c r="R55" t="s">
        <v>18</v>
      </c>
      <c r="S55" t="s">
        <v>18</v>
      </c>
      <c r="T55" t="s">
        <v>18</v>
      </c>
    </row>
    <row r="56" spans="1:20">
      <c r="A56" t="str">
        <f t="shared" si="3"/>
        <v>20 Björkaån, vid Björka före utlopp till Vombsjön45848</v>
      </c>
      <c r="B56" t="str">
        <f t="shared" si="2"/>
        <v>20  Björkaån, vid Björka före utlopp till Vombsjön7</v>
      </c>
      <c r="C56">
        <v>11</v>
      </c>
      <c r="D56" t="s">
        <v>256</v>
      </c>
      <c r="E56" s="216">
        <v>45848</v>
      </c>
      <c r="F56">
        <v>17.2</v>
      </c>
      <c r="G56">
        <v>8.89</v>
      </c>
      <c r="H56">
        <v>93</v>
      </c>
      <c r="I56">
        <v>8</v>
      </c>
      <c r="J56">
        <v>2.4</v>
      </c>
      <c r="K56">
        <v>55</v>
      </c>
      <c r="L56">
        <v>1.2</v>
      </c>
      <c r="M56">
        <v>37</v>
      </c>
      <c r="N56">
        <v>57</v>
      </c>
      <c r="O56">
        <v>1900</v>
      </c>
      <c r="P56">
        <v>28</v>
      </c>
      <c r="Q56">
        <v>2100</v>
      </c>
      <c r="R56" t="s">
        <v>18</v>
      </c>
      <c r="S56" t="s">
        <v>18</v>
      </c>
      <c r="T56" t="s">
        <v>18</v>
      </c>
    </row>
    <row r="57" spans="1:20">
      <c r="A57" t="str">
        <f t="shared" si="3"/>
        <v>20 Björkaån, vid Björka före utlopp till Vombsjön</v>
      </c>
      <c r="B57" t="e">
        <f t="shared" si="2"/>
        <v>#VALUE!</v>
      </c>
      <c r="C57">
        <v>11</v>
      </c>
      <c r="D57" t="s">
        <v>256</v>
      </c>
      <c r="E57" s="216" t="s">
        <v>18</v>
      </c>
      <c r="F57" t="s">
        <v>18</v>
      </c>
      <c r="G57" t="s">
        <v>18</v>
      </c>
      <c r="H57" t="s">
        <v>18</v>
      </c>
      <c r="I57" t="s">
        <v>18</v>
      </c>
      <c r="J57" t="s">
        <v>18</v>
      </c>
      <c r="K57" t="s">
        <v>18</v>
      </c>
      <c r="L57" t="s">
        <v>18</v>
      </c>
      <c r="M57" t="s">
        <v>18</v>
      </c>
      <c r="N57" t="s">
        <v>18</v>
      </c>
      <c r="O57" t="s">
        <v>18</v>
      </c>
      <c r="P57" t="s">
        <v>18</v>
      </c>
      <c r="Q57" t="s">
        <v>18</v>
      </c>
      <c r="R57" t="s">
        <v>18</v>
      </c>
      <c r="S57" t="s">
        <v>18</v>
      </c>
      <c r="T57" t="s">
        <v>18</v>
      </c>
    </row>
    <row r="58" spans="1:20">
      <c r="A58" t="str">
        <f t="shared" si="3"/>
        <v>20 Björkaån, vid Björka före utlopp till Vombsjön</v>
      </c>
      <c r="B58" t="e">
        <f t="shared" si="2"/>
        <v>#VALUE!</v>
      </c>
      <c r="C58">
        <v>11</v>
      </c>
      <c r="D58" t="s">
        <v>256</v>
      </c>
      <c r="E58" s="216" t="s">
        <v>18</v>
      </c>
      <c r="F58" t="s">
        <v>18</v>
      </c>
      <c r="G58" t="s">
        <v>18</v>
      </c>
      <c r="H58" t="s">
        <v>18</v>
      </c>
      <c r="I58" t="s">
        <v>18</v>
      </c>
      <c r="J58" t="s">
        <v>18</v>
      </c>
      <c r="K58" t="s">
        <v>18</v>
      </c>
      <c r="L58" t="s">
        <v>18</v>
      </c>
      <c r="M58" t="s">
        <v>18</v>
      </c>
      <c r="N58" t="s">
        <v>18</v>
      </c>
      <c r="O58" t="s">
        <v>18</v>
      </c>
      <c r="P58" t="s">
        <v>18</v>
      </c>
      <c r="Q58" t="s">
        <v>18</v>
      </c>
      <c r="R58" t="s">
        <v>18</v>
      </c>
      <c r="S58" t="s">
        <v>18</v>
      </c>
      <c r="T58" t="s">
        <v>18</v>
      </c>
    </row>
    <row r="59" spans="1:20">
      <c r="A59" t="str">
        <f t="shared" si="3"/>
        <v>20 Björkaån, vid Björka före utlopp till Vombsjön</v>
      </c>
      <c r="B59" t="e">
        <f t="shared" si="2"/>
        <v>#VALUE!</v>
      </c>
      <c r="C59">
        <v>11</v>
      </c>
      <c r="D59" t="s">
        <v>256</v>
      </c>
      <c r="E59" s="216" t="s">
        <v>18</v>
      </c>
      <c r="F59" t="s">
        <v>18</v>
      </c>
      <c r="G59" t="s">
        <v>18</v>
      </c>
      <c r="H59" t="s">
        <v>18</v>
      </c>
      <c r="I59" t="s">
        <v>18</v>
      </c>
      <c r="J59" t="s">
        <v>18</v>
      </c>
      <c r="K59" t="s">
        <v>18</v>
      </c>
      <c r="L59" t="s">
        <v>18</v>
      </c>
      <c r="M59" t="s">
        <v>18</v>
      </c>
      <c r="N59" t="s">
        <v>18</v>
      </c>
      <c r="O59" t="s">
        <v>18</v>
      </c>
      <c r="P59" t="s">
        <v>18</v>
      </c>
      <c r="Q59" t="s">
        <v>18</v>
      </c>
      <c r="R59" t="s">
        <v>18</v>
      </c>
      <c r="S59" t="s">
        <v>18</v>
      </c>
      <c r="T59" t="s">
        <v>18</v>
      </c>
    </row>
    <row r="60" spans="1:20">
      <c r="A60" t="str">
        <f t="shared" si="3"/>
        <v>20 Björkaån, vid Björka före utlopp till Vombsjön</v>
      </c>
      <c r="B60" t="e">
        <f t="shared" si="2"/>
        <v>#VALUE!</v>
      </c>
      <c r="C60">
        <v>11</v>
      </c>
      <c r="D60" t="s">
        <v>256</v>
      </c>
      <c r="E60" s="216" t="s">
        <v>18</v>
      </c>
      <c r="F60" t="s">
        <v>18</v>
      </c>
      <c r="G60" t="s">
        <v>18</v>
      </c>
      <c r="H60" t="s">
        <v>18</v>
      </c>
      <c r="I60" t="s">
        <v>18</v>
      </c>
      <c r="J60" t="s">
        <v>18</v>
      </c>
      <c r="K60" t="s">
        <v>18</v>
      </c>
      <c r="L60" t="s">
        <v>18</v>
      </c>
      <c r="M60" t="s">
        <v>18</v>
      </c>
      <c r="N60" t="s">
        <v>18</v>
      </c>
      <c r="O60" t="s">
        <v>18</v>
      </c>
      <c r="P60" t="s">
        <v>18</v>
      </c>
      <c r="Q60" t="s">
        <v>18</v>
      </c>
      <c r="R60" t="s">
        <v>18</v>
      </c>
      <c r="S60" t="s">
        <v>18</v>
      </c>
      <c r="T60" t="s">
        <v>18</v>
      </c>
    </row>
    <row r="61" spans="1:20">
      <c r="A61" t="str">
        <f t="shared" si="3"/>
        <v>20 Björkaån, vid Björka före utlopp till Vombsjön</v>
      </c>
      <c r="B61" t="e">
        <f t="shared" si="2"/>
        <v>#VALUE!</v>
      </c>
      <c r="C61">
        <v>11</v>
      </c>
      <c r="D61" t="s">
        <v>256</v>
      </c>
      <c r="E61" s="216" t="s">
        <v>18</v>
      </c>
      <c r="F61" t="s">
        <v>18</v>
      </c>
      <c r="G61" t="s">
        <v>18</v>
      </c>
      <c r="H61" t="s">
        <v>18</v>
      </c>
      <c r="I61" t="s">
        <v>18</v>
      </c>
      <c r="J61" t="s">
        <v>18</v>
      </c>
      <c r="K61" t="s">
        <v>18</v>
      </c>
      <c r="L61" t="s">
        <v>18</v>
      </c>
      <c r="M61" t="s">
        <v>18</v>
      </c>
      <c r="N61" t="s">
        <v>18</v>
      </c>
      <c r="O61" t="s">
        <v>18</v>
      </c>
      <c r="P61" t="s">
        <v>18</v>
      </c>
      <c r="Q61" t="s">
        <v>18</v>
      </c>
      <c r="R61" t="s">
        <v>18</v>
      </c>
      <c r="S61" t="s">
        <v>18</v>
      </c>
      <c r="T61" t="s">
        <v>18</v>
      </c>
    </row>
    <row r="62" spans="1:20">
      <c r="A62" t="str">
        <f t="shared" si="3"/>
        <v>20 Björkaån, vid Björka före utlopp till Vombsjön2025-05-13</v>
      </c>
      <c r="B62" t="str">
        <f t="shared" si="2"/>
        <v>20  Björkaån, vid Björka före utlopp till Vombsjön5</v>
      </c>
      <c r="C62">
        <v>11</v>
      </c>
      <c r="D62" t="s">
        <v>256</v>
      </c>
      <c r="E62" s="216" t="s">
        <v>435</v>
      </c>
      <c r="F62">
        <v>13</v>
      </c>
      <c r="G62">
        <v>10.52</v>
      </c>
      <c r="H62">
        <v>100</v>
      </c>
      <c r="I62">
        <v>8.1</v>
      </c>
      <c r="J62">
        <v>1.2</v>
      </c>
      <c r="K62">
        <v>53.3</v>
      </c>
      <c r="L62">
        <v>1.2</v>
      </c>
      <c r="M62">
        <v>9.1999999999999993</v>
      </c>
      <c r="N62">
        <v>26</v>
      </c>
      <c r="O62">
        <v>1600</v>
      </c>
      <c r="P62">
        <v>22</v>
      </c>
      <c r="Q62">
        <v>2200</v>
      </c>
      <c r="R62" t="s">
        <v>18</v>
      </c>
      <c r="S62" t="s">
        <v>18</v>
      </c>
      <c r="T62" t="s">
        <v>18</v>
      </c>
    </row>
    <row r="63" spans="1:20">
      <c r="A63" t="str">
        <f t="shared" si="3"/>
        <v>23 Vollsjöån, nedströms Vollsjö45671</v>
      </c>
      <c r="B63" t="str">
        <f t="shared" si="2"/>
        <v>23  Vollsjöån, nedströms Vollsjö1</v>
      </c>
      <c r="C63">
        <v>13</v>
      </c>
      <c r="D63" t="s">
        <v>257</v>
      </c>
      <c r="E63" s="216">
        <v>45671</v>
      </c>
      <c r="F63">
        <v>2.6</v>
      </c>
      <c r="G63">
        <v>13.47</v>
      </c>
      <c r="H63">
        <v>99</v>
      </c>
      <c r="I63">
        <v>8.1</v>
      </c>
      <c r="J63">
        <v>3.2</v>
      </c>
      <c r="K63">
        <v>47.2</v>
      </c>
      <c r="L63">
        <v>1.2</v>
      </c>
      <c r="M63">
        <v>32</v>
      </c>
      <c r="N63">
        <v>62</v>
      </c>
      <c r="O63">
        <v>6300</v>
      </c>
      <c r="P63">
        <v>67</v>
      </c>
      <c r="Q63">
        <v>6600</v>
      </c>
      <c r="R63" t="s">
        <v>18</v>
      </c>
      <c r="S63" t="s">
        <v>18</v>
      </c>
      <c r="T63" t="s">
        <v>18</v>
      </c>
    </row>
    <row r="64" spans="1:20">
      <c r="A64" t="str">
        <f t="shared" si="3"/>
        <v>23 Vollsjöån, nedströms Vollsjö45734</v>
      </c>
      <c r="B64" t="str">
        <f t="shared" si="2"/>
        <v>23  Vollsjöån, nedströms Vollsjö3</v>
      </c>
      <c r="C64">
        <v>13</v>
      </c>
      <c r="D64" t="s">
        <v>257</v>
      </c>
      <c r="E64" s="216">
        <v>45734</v>
      </c>
      <c r="F64">
        <v>2.9</v>
      </c>
      <c r="G64">
        <v>16.53</v>
      </c>
      <c r="H64">
        <v>123</v>
      </c>
      <c r="I64">
        <v>8.4</v>
      </c>
      <c r="J64">
        <v>1.6</v>
      </c>
      <c r="K64">
        <v>44.6</v>
      </c>
      <c r="L64">
        <v>2.2000000000000002</v>
      </c>
      <c r="M64">
        <v>3.4</v>
      </c>
      <c r="N64">
        <v>32</v>
      </c>
      <c r="O64">
        <v>3500</v>
      </c>
      <c r="P64" t="s">
        <v>148</v>
      </c>
      <c r="Q64">
        <v>3800</v>
      </c>
      <c r="R64" t="s">
        <v>18</v>
      </c>
      <c r="S64" t="s">
        <v>18</v>
      </c>
      <c r="T64" t="s">
        <v>18</v>
      </c>
    </row>
    <row r="65" spans="1:20">
      <c r="A65" t="str">
        <f t="shared" si="3"/>
        <v>23 Vollsjöån, nedströms Vollsjö45848</v>
      </c>
      <c r="B65" t="str">
        <f t="shared" si="2"/>
        <v>23  Vollsjöån, nedströms Vollsjö7</v>
      </c>
      <c r="C65">
        <v>13</v>
      </c>
      <c r="D65" t="s">
        <v>257</v>
      </c>
      <c r="E65" s="216">
        <v>45848</v>
      </c>
      <c r="F65">
        <v>19</v>
      </c>
      <c r="G65">
        <v>9.58</v>
      </c>
      <c r="H65">
        <v>103</v>
      </c>
      <c r="I65">
        <v>8.1</v>
      </c>
      <c r="J65">
        <v>1.8</v>
      </c>
      <c r="K65">
        <v>45.6</v>
      </c>
      <c r="L65">
        <v>1.3</v>
      </c>
      <c r="M65">
        <v>110</v>
      </c>
      <c r="N65">
        <v>140</v>
      </c>
      <c r="O65">
        <v>900</v>
      </c>
      <c r="P65" t="s">
        <v>290</v>
      </c>
      <c r="Q65">
        <v>1400</v>
      </c>
      <c r="R65" t="s">
        <v>18</v>
      </c>
      <c r="S65" t="s">
        <v>18</v>
      </c>
      <c r="T65" t="s">
        <v>440</v>
      </c>
    </row>
    <row r="66" spans="1:20">
      <c r="A66" t="str">
        <f t="shared" si="3"/>
        <v>23 Vollsjöån, nedströms Vollsjö</v>
      </c>
      <c r="B66" t="e">
        <f t="shared" si="2"/>
        <v>#VALUE!</v>
      </c>
      <c r="C66">
        <v>13</v>
      </c>
      <c r="D66" t="s">
        <v>257</v>
      </c>
      <c r="E66" s="216" t="s">
        <v>18</v>
      </c>
      <c r="F66" t="s">
        <v>18</v>
      </c>
      <c r="G66" t="s">
        <v>18</v>
      </c>
      <c r="H66" t="s">
        <v>18</v>
      </c>
      <c r="I66" t="s">
        <v>18</v>
      </c>
      <c r="J66" t="s">
        <v>18</v>
      </c>
      <c r="K66" t="s">
        <v>18</v>
      </c>
      <c r="L66" t="s">
        <v>18</v>
      </c>
      <c r="M66" t="s">
        <v>18</v>
      </c>
      <c r="N66" t="s">
        <v>18</v>
      </c>
      <c r="O66" t="s">
        <v>18</v>
      </c>
      <c r="P66" t="s">
        <v>18</v>
      </c>
      <c r="Q66" t="s">
        <v>18</v>
      </c>
      <c r="R66" t="s">
        <v>18</v>
      </c>
      <c r="S66" t="s">
        <v>18</v>
      </c>
      <c r="T66" t="s">
        <v>18</v>
      </c>
    </row>
    <row r="67" spans="1:20">
      <c r="A67" t="str">
        <f t="shared" ref="A67:A98" si="4">TRIM(CONCATENATE(D67,E67))</f>
        <v>23 Vollsjöån, nedströms Vollsjö</v>
      </c>
      <c r="B67" t="e">
        <f t="shared" si="2"/>
        <v>#VALUE!</v>
      </c>
      <c r="C67">
        <v>13</v>
      </c>
      <c r="D67" t="s">
        <v>257</v>
      </c>
      <c r="E67" s="216" t="s">
        <v>18</v>
      </c>
      <c r="F67" t="s">
        <v>18</v>
      </c>
      <c r="G67" t="s">
        <v>18</v>
      </c>
      <c r="H67" t="s">
        <v>18</v>
      </c>
      <c r="I67" t="s">
        <v>18</v>
      </c>
      <c r="J67" t="s">
        <v>18</v>
      </c>
      <c r="K67" t="s">
        <v>18</v>
      </c>
      <c r="L67" t="s">
        <v>18</v>
      </c>
      <c r="M67" t="s">
        <v>18</v>
      </c>
      <c r="N67" t="s">
        <v>18</v>
      </c>
      <c r="O67" t="s">
        <v>18</v>
      </c>
      <c r="P67" t="s">
        <v>18</v>
      </c>
      <c r="Q67" t="s">
        <v>18</v>
      </c>
      <c r="R67" t="s">
        <v>18</v>
      </c>
      <c r="S67" t="s">
        <v>18</v>
      </c>
      <c r="T67" t="s">
        <v>18</v>
      </c>
    </row>
    <row r="68" spans="1:20">
      <c r="A68" t="str">
        <f t="shared" si="4"/>
        <v>23 Vollsjöån, nedströms Vollsjö2025-05-13</v>
      </c>
      <c r="B68" t="str">
        <f t="shared" si="2"/>
        <v>23  Vollsjöån, nedströms Vollsjö5</v>
      </c>
      <c r="C68">
        <v>13</v>
      </c>
      <c r="D68" t="s">
        <v>257</v>
      </c>
      <c r="E68" s="216" t="s">
        <v>435</v>
      </c>
      <c r="F68">
        <v>13.4</v>
      </c>
      <c r="G68">
        <v>10.88</v>
      </c>
      <c r="H68">
        <v>105</v>
      </c>
      <c r="I68">
        <v>8.1</v>
      </c>
      <c r="J68">
        <v>1.8</v>
      </c>
      <c r="K68">
        <v>47.8</v>
      </c>
      <c r="L68">
        <v>1.8</v>
      </c>
      <c r="M68">
        <v>14</v>
      </c>
      <c r="N68">
        <v>39</v>
      </c>
      <c r="O68">
        <v>1500</v>
      </c>
      <c r="P68">
        <v>20</v>
      </c>
      <c r="Q68">
        <v>2200</v>
      </c>
      <c r="R68" t="s">
        <v>18</v>
      </c>
      <c r="S68" t="s">
        <v>18</v>
      </c>
      <c r="T68" t="s">
        <v>18</v>
      </c>
    </row>
    <row r="69" spans="1:20">
      <c r="A69" t="str">
        <f t="shared" si="4"/>
        <v>51 Tranåsbäcken, vid utlopp till Tolångaån45671</v>
      </c>
      <c r="B69" t="str">
        <f t="shared" si="2"/>
        <v>51 Tranåsbäcken, vid utlopp till Tolångaån1</v>
      </c>
      <c r="C69">
        <v>15</v>
      </c>
      <c r="D69" t="s">
        <v>258</v>
      </c>
      <c r="E69" s="216">
        <v>45671</v>
      </c>
      <c r="F69">
        <v>3.2</v>
      </c>
      <c r="G69">
        <v>12.46</v>
      </c>
      <c r="H69">
        <v>93</v>
      </c>
      <c r="I69">
        <v>8</v>
      </c>
      <c r="J69">
        <v>5.2</v>
      </c>
      <c r="K69">
        <v>56.8</v>
      </c>
      <c r="L69">
        <v>1.2</v>
      </c>
      <c r="M69">
        <v>22</v>
      </c>
      <c r="N69">
        <v>49</v>
      </c>
      <c r="O69">
        <v>6900</v>
      </c>
      <c r="P69">
        <v>140</v>
      </c>
      <c r="Q69">
        <v>7200</v>
      </c>
      <c r="R69" t="s">
        <v>18</v>
      </c>
      <c r="S69" t="s">
        <v>18</v>
      </c>
      <c r="T69" t="s">
        <v>18</v>
      </c>
    </row>
    <row r="70" spans="1:20">
      <c r="A70" t="str">
        <f t="shared" si="4"/>
        <v>51 Tranåsbäcken, vid utlopp till Tolångaån45734</v>
      </c>
      <c r="B70" t="str">
        <f t="shared" si="2"/>
        <v>51 Tranåsbäcken, vid utlopp till Tolångaån3</v>
      </c>
      <c r="C70">
        <v>15</v>
      </c>
      <c r="D70" t="s">
        <v>258</v>
      </c>
      <c r="E70" s="216">
        <v>45734</v>
      </c>
      <c r="F70">
        <v>3.2</v>
      </c>
      <c r="G70">
        <v>14.25</v>
      </c>
      <c r="H70">
        <v>106</v>
      </c>
      <c r="I70">
        <v>8.1</v>
      </c>
      <c r="J70">
        <v>3</v>
      </c>
      <c r="K70">
        <v>56</v>
      </c>
      <c r="L70">
        <v>2.2000000000000002</v>
      </c>
      <c r="M70">
        <v>10</v>
      </c>
      <c r="N70">
        <v>27</v>
      </c>
      <c r="O70">
        <v>3400</v>
      </c>
      <c r="P70">
        <v>120</v>
      </c>
      <c r="Q70">
        <v>3400</v>
      </c>
      <c r="R70" t="s">
        <v>18</v>
      </c>
      <c r="S70" t="s">
        <v>18</v>
      </c>
      <c r="T70" t="s">
        <v>18</v>
      </c>
    </row>
    <row r="71" spans="1:20">
      <c r="A71" t="str">
        <f t="shared" si="4"/>
        <v>51 Tranåsbäcken, vid utlopp till Tolångaån45848</v>
      </c>
      <c r="B71" t="str">
        <f t="shared" si="2"/>
        <v>51 Tranåsbäcken, vid utlopp till Tolångaån7</v>
      </c>
      <c r="C71">
        <v>15</v>
      </c>
      <c r="D71" t="s">
        <v>258</v>
      </c>
      <c r="E71" s="216">
        <v>45848</v>
      </c>
      <c r="F71">
        <v>16.8</v>
      </c>
      <c r="G71">
        <v>9.5399999999999991</v>
      </c>
      <c r="H71">
        <v>99</v>
      </c>
      <c r="I71">
        <v>7.8</v>
      </c>
      <c r="J71">
        <v>2.8</v>
      </c>
      <c r="K71">
        <v>58.4</v>
      </c>
      <c r="L71">
        <v>0.89</v>
      </c>
      <c r="M71">
        <v>31</v>
      </c>
      <c r="N71">
        <v>52</v>
      </c>
      <c r="O71">
        <v>790</v>
      </c>
      <c r="P71">
        <v>23</v>
      </c>
      <c r="Q71">
        <v>940</v>
      </c>
      <c r="R71" t="s">
        <v>18</v>
      </c>
      <c r="S71" t="s">
        <v>18</v>
      </c>
      <c r="T71" t="s">
        <v>18</v>
      </c>
    </row>
    <row r="72" spans="1:20">
      <c r="A72" t="str">
        <f t="shared" si="4"/>
        <v>51 Tranåsbäcken, vid utlopp till Tolångaån</v>
      </c>
      <c r="B72" t="e">
        <f t="shared" si="2"/>
        <v>#VALUE!</v>
      </c>
      <c r="C72">
        <v>15</v>
      </c>
      <c r="D72" t="s">
        <v>258</v>
      </c>
      <c r="E72" s="216" t="s">
        <v>18</v>
      </c>
      <c r="F72" t="s">
        <v>18</v>
      </c>
      <c r="G72" t="s">
        <v>18</v>
      </c>
      <c r="H72" t="s">
        <v>18</v>
      </c>
      <c r="I72" t="s">
        <v>18</v>
      </c>
      <c r="J72" t="s">
        <v>18</v>
      </c>
      <c r="K72" t="s">
        <v>18</v>
      </c>
      <c r="L72" t="s">
        <v>18</v>
      </c>
      <c r="M72" t="s">
        <v>18</v>
      </c>
      <c r="N72" t="s">
        <v>18</v>
      </c>
      <c r="O72" t="s">
        <v>18</v>
      </c>
      <c r="P72" t="s">
        <v>18</v>
      </c>
      <c r="Q72" t="s">
        <v>18</v>
      </c>
      <c r="R72" t="s">
        <v>18</v>
      </c>
      <c r="S72" t="s">
        <v>18</v>
      </c>
      <c r="T72" t="s">
        <v>18</v>
      </c>
    </row>
    <row r="73" spans="1:20">
      <c r="A73" t="str">
        <f t="shared" si="4"/>
        <v>51 Tranåsbäcken, vid utlopp till Tolångaån</v>
      </c>
      <c r="B73" t="e">
        <f t="shared" si="2"/>
        <v>#VALUE!</v>
      </c>
      <c r="C73">
        <v>15</v>
      </c>
      <c r="D73" t="s">
        <v>258</v>
      </c>
      <c r="E73" s="216" t="s">
        <v>18</v>
      </c>
      <c r="F73" t="s">
        <v>18</v>
      </c>
      <c r="G73" t="s">
        <v>18</v>
      </c>
      <c r="H73" t="s">
        <v>18</v>
      </c>
      <c r="I73" t="s">
        <v>18</v>
      </c>
      <c r="J73" t="s">
        <v>18</v>
      </c>
      <c r="K73" t="s">
        <v>18</v>
      </c>
      <c r="L73" t="s">
        <v>18</v>
      </c>
      <c r="M73" t="s">
        <v>18</v>
      </c>
      <c r="N73" t="s">
        <v>18</v>
      </c>
      <c r="O73" t="s">
        <v>18</v>
      </c>
      <c r="P73" t="s">
        <v>18</v>
      </c>
      <c r="Q73" t="s">
        <v>18</v>
      </c>
      <c r="R73" t="s">
        <v>18</v>
      </c>
      <c r="S73" t="s">
        <v>18</v>
      </c>
      <c r="T73" t="s">
        <v>18</v>
      </c>
    </row>
    <row r="74" spans="1:20">
      <c r="A74" t="str">
        <f t="shared" si="4"/>
        <v>51 Tranåsbäcken, vid utlopp till Tolångaån2025-05-13</v>
      </c>
      <c r="B74" t="str">
        <f t="shared" si="2"/>
        <v>51 Tranåsbäcken, vid utlopp till Tolångaån5</v>
      </c>
      <c r="C74">
        <v>15</v>
      </c>
      <c r="D74" t="s">
        <v>258</v>
      </c>
      <c r="E74" s="216" t="s">
        <v>435</v>
      </c>
      <c r="F74">
        <v>13.8</v>
      </c>
      <c r="G74">
        <v>10.98</v>
      </c>
      <c r="H74">
        <v>106</v>
      </c>
      <c r="I74">
        <v>8.1999999999999993</v>
      </c>
      <c r="J74">
        <v>3.5</v>
      </c>
      <c r="K74">
        <v>57.9</v>
      </c>
      <c r="L74">
        <v>1.7</v>
      </c>
      <c r="M74">
        <v>17</v>
      </c>
      <c r="N74">
        <v>47</v>
      </c>
      <c r="O74">
        <v>2000</v>
      </c>
      <c r="P74">
        <v>28</v>
      </c>
      <c r="Q74">
        <v>2600</v>
      </c>
      <c r="R74" t="s">
        <v>18</v>
      </c>
      <c r="S74" t="s">
        <v>18</v>
      </c>
      <c r="T74" t="s">
        <v>18</v>
      </c>
    </row>
    <row r="75" spans="1:20">
      <c r="A75" t="str">
        <f t="shared" si="4"/>
        <v>52 Djurrödsbäcken, vid utlopp till Tolångaån45671</v>
      </c>
      <c r="B75" t="str">
        <f t="shared" si="2"/>
        <v>52  Djurrödsbäcken, vid utlopp till Tolångaån1</v>
      </c>
      <c r="C75">
        <v>17</v>
      </c>
      <c r="D75" t="s">
        <v>259</v>
      </c>
      <c r="E75" s="216">
        <v>45671</v>
      </c>
      <c r="F75">
        <v>2.2000000000000002</v>
      </c>
      <c r="G75">
        <v>13.57</v>
      </c>
      <c r="H75">
        <v>99</v>
      </c>
      <c r="I75">
        <v>7.8</v>
      </c>
      <c r="J75">
        <v>9.5</v>
      </c>
      <c r="K75">
        <v>37.799999999999997</v>
      </c>
      <c r="L75">
        <v>1.3</v>
      </c>
      <c r="M75">
        <v>17</v>
      </c>
      <c r="N75">
        <v>79</v>
      </c>
      <c r="O75">
        <v>3900</v>
      </c>
      <c r="P75">
        <v>71</v>
      </c>
      <c r="Q75">
        <v>4700</v>
      </c>
      <c r="R75" t="s">
        <v>18</v>
      </c>
      <c r="S75" t="s">
        <v>18</v>
      </c>
      <c r="T75" t="s">
        <v>18</v>
      </c>
    </row>
    <row r="76" spans="1:20">
      <c r="A76" t="str">
        <f t="shared" si="4"/>
        <v>52 Djurrödsbäcken, vid utlopp till Tolångaån45734</v>
      </c>
      <c r="B76" t="str">
        <f t="shared" si="2"/>
        <v>52  Djurrödsbäcken, vid utlopp till Tolångaån3</v>
      </c>
      <c r="C76">
        <v>17</v>
      </c>
      <c r="D76" t="s">
        <v>259</v>
      </c>
      <c r="E76" s="216">
        <v>45734</v>
      </c>
      <c r="F76">
        <v>2.8</v>
      </c>
      <c r="G76">
        <v>13.88</v>
      </c>
      <c r="H76">
        <v>103</v>
      </c>
      <c r="I76">
        <v>8</v>
      </c>
      <c r="J76">
        <v>3.8</v>
      </c>
      <c r="K76">
        <v>36.9</v>
      </c>
      <c r="L76">
        <v>1.3</v>
      </c>
      <c r="M76">
        <v>14</v>
      </c>
      <c r="N76">
        <v>35</v>
      </c>
      <c r="O76">
        <v>1400</v>
      </c>
      <c r="P76" t="s">
        <v>148</v>
      </c>
      <c r="Q76">
        <v>1800</v>
      </c>
      <c r="R76" t="s">
        <v>18</v>
      </c>
      <c r="S76" t="s">
        <v>18</v>
      </c>
      <c r="T76" t="s">
        <v>18</v>
      </c>
    </row>
    <row r="77" spans="1:20">
      <c r="A77" t="str">
        <f t="shared" si="4"/>
        <v>52 Djurrödsbäcken, vid utlopp till Tolångaån45848</v>
      </c>
      <c r="B77" t="str">
        <f t="shared" ref="B77:B110" si="5">CONCATENATE(D77,MONTH(E77))</f>
        <v>52  Djurrödsbäcken, vid utlopp till Tolångaån7</v>
      </c>
      <c r="C77">
        <v>17</v>
      </c>
      <c r="D77" t="s">
        <v>259</v>
      </c>
      <c r="E77" s="216">
        <v>45848</v>
      </c>
      <c r="F77">
        <v>18.8</v>
      </c>
      <c r="G77">
        <v>9.49</v>
      </c>
      <c r="H77">
        <v>102</v>
      </c>
      <c r="I77">
        <v>8</v>
      </c>
      <c r="J77">
        <v>3.3</v>
      </c>
      <c r="K77">
        <v>38.799999999999997</v>
      </c>
      <c r="L77">
        <v>1.1000000000000001</v>
      </c>
      <c r="M77">
        <v>33</v>
      </c>
      <c r="N77">
        <v>59</v>
      </c>
      <c r="O77">
        <v>710</v>
      </c>
      <c r="P77">
        <v>30</v>
      </c>
      <c r="Q77">
        <v>1100</v>
      </c>
      <c r="R77" t="s">
        <v>18</v>
      </c>
      <c r="S77" t="s">
        <v>18</v>
      </c>
      <c r="T77" t="s">
        <v>18</v>
      </c>
    </row>
    <row r="78" spans="1:20">
      <c r="A78" t="str">
        <f t="shared" si="4"/>
        <v>52 Djurrödsbäcken, vid utlopp till Tolångaån</v>
      </c>
      <c r="B78" t="e">
        <f t="shared" si="5"/>
        <v>#VALUE!</v>
      </c>
      <c r="C78">
        <v>17</v>
      </c>
      <c r="D78" t="s">
        <v>259</v>
      </c>
      <c r="E78" s="216" t="s">
        <v>18</v>
      </c>
      <c r="F78" t="s">
        <v>18</v>
      </c>
      <c r="G78" t="s">
        <v>18</v>
      </c>
      <c r="H78" t="s">
        <v>18</v>
      </c>
      <c r="I78" t="s">
        <v>18</v>
      </c>
      <c r="J78" t="s">
        <v>18</v>
      </c>
      <c r="K78" t="s">
        <v>18</v>
      </c>
      <c r="L78" t="s">
        <v>18</v>
      </c>
      <c r="M78" t="s">
        <v>18</v>
      </c>
      <c r="N78" t="s">
        <v>18</v>
      </c>
      <c r="O78" t="s">
        <v>18</v>
      </c>
      <c r="P78" t="s">
        <v>18</v>
      </c>
      <c r="Q78" t="s">
        <v>18</v>
      </c>
      <c r="R78" t="s">
        <v>18</v>
      </c>
      <c r="S78" t="s">
        <v>18</v>
      </c>
      <c r="T78" t="s">
        <v>18</v>
      </c>
    </row>
    <row r="79" spans="1:20">
      <c r="A79" t="str">
        <f t="shared" si="4"/>
        <v>52 Djurrödsbäcken, vid utlopp till Tolångaån</v>
      </c>
      <c r="B79" t="e">
        <f t="shared" si="5"/>
        <v>#VALUE!</v>
      </c>
      <c r="C79">
        <v>17</v>
      </c>
      <c r="D79" t="s">
        <v>259</v>
      </c>
      <c r="E79" s="216" t="s">
        <v>18</v>
      </c>
      <c r="F79" t="s">
        <v>18</v>
      </c>
      <c r="G79" t="s">
        <v>18</v>
      </c>
      <c r="H79" t="s">
        <v>18</v>
      </c>
      <c r="I79" t="s">
        <v>18</v>
      </c>
      <c r="J79" t="s">
        <v>18</v>
      </c>
      <c r="K79" t="s">
        <v>18</v>
      </c>
      <c r="L79" t="s">
        <v>18</v>
      </c>
      <c r="M79" t="s">
        <v>18</v>
      </c>
      <c r="N79" t="s">
        <v>18</v>
      </c>
      <c r="O79" t="s">
        <v>18</v>
      </c>
      <c r="P79" t="s">
        <v>18</v>
      </c>
      <c r="Q79" t="s">
        <v>18</v>
      </c>
      <c r="R79" t="s">
        <v>18</v>
      </c>
      <c r="S79" t="s">
        <v>18</v>
      </c>
      <c r="T79" t="s">
        <v>18</v>
      </c>
    </row>
    <row r="80" spans="1:20">
      <c r="A80" t="str">
        <f t="shared" si="4"/>
        <v>52 Djurrödsbäcken, vid utlopp till Tolångaån2025-05-13</v>
      </c>
      <c r="B80" t="str">
        <f t="shared" si="5"/>
        <v>52  Djurrödsbäcken, vid utlopp till Tolångaån5</v>
      </c>
      <c r="C80">
        <v>17</v>
      </c>
      <c r="D80" t="s">
        <v>259</v>
      </c>
      <c r="E80" s="216" t="s">
        <v>435</v>
      </c>
      <c r="F80">
        <v>13.9</v>
      </c>
      <c r="G80">
        <v>11.03</v>
      </c>
      <c r="H80">
        <v>107</v>
      </c>
      <c r="I80">
        <v>8.1</v>
      </c>
      <c r="J80">
        <v>8.3000000000000007</v>
      </c>
      <c r="K80">
        <v>40.9</v>
      </c>
      <c r="L80">
        <v>1.45</v>
      </c>
      <c r="M80">
        <v>13</v>
      </c>
      <c r="N80">
        <v>110</v>
      </c>
      <c r="O80">
        <v>770</v>
      </c>
      <c r="P80" t="s">
        <v>148</v>
      </c>
      <c r="Q80">
        <v>1400</v>
      </c>
      <c r="R80" t="s">
        <v>18</v>
      </c>
      <c r="S80" t="s">
        <v>18</v>
      </c>
      <c r="T80" t="s">
        <v>18</v>
      </c>
    </row>
    <row r="81" spans="1:20">
      <c r="A81" t="str">
        <f t="shared" si="4"/>
        <v>21 Borstbäcken, före utloppet i Vombsjön45670</v>
      </c>
      <c r="B81" t="str">
        <f t="shared" si="5"/>
        <v>21  Borstbäcken, före utloppet i Vombsjön1</v>
      </c>
      <c r="C81">
        <v>18</v>
      </c>
      <c r="D81" t="s">
        <v>266</v>
      </c>
      <c r="E81" s="216">
        <v>45670</v>
      </c>
      <c r="F81">
        <v>0.4</v>
      </c>
      <c r="G81">
        <v>14.05</v>
      </c>
      <c r="H81">
        <v>97</v>
      </c>
      <c r="I81">
        <v>8.1999999999999993</v>
      </c>
      <c r="J81">
        <v>2.6</v>
      </c>
      <c r="K81">
        <v>52</v>
      </c>
      <c r="L81">
        <v>1.1000000000000001</v>
      </c>
      <c r="M81">
        <v>25</v>
      </c>
      <c r="N81">
        <v>41</v>
      </c>
      <c r="O81">
        <v>8100</v>
      </c>
      <c r="P81">
        <v>19</v>
      </c>
      <c r="Q81">
        <v>8100</v>
      </c>
      <c r="R81" t="s">
        <v>18</v>
      </c>
      <c r="S81" t="s">
        <v>18</v>
      </c>
      <c r="T81" t="s">
        <v>18</v>
      </c>
    </row>
    <row r="82" spans="1:20">
      <c r="A82" t="str">
        <f t="shared" si="4"/>
        <v>21 Borstbäcken, före utloppet i Vombsjön45728</v>
      </c>
      <c r="B82" t="str">
        <f t="shared" si="5"/>
        <v>21  Borstbäcken, före utloppet i Vombsjön3</v>
      </c>
      <c r="C82">
        <v>18</v>
      </c>
      <c r="D82" t="s">
        <v>266</v>
      </c>
      <c r="E82" s="216">
        <v>45728</v>
      </c>
      <c r="F82">
        <v>4.5999999999999996</v>
      </c>
      <c r="G82">
        <v>13.39</v>
      </c>
      <c r="H82">
        <v>104</v>
      </c>
      <c r="I82">
        <v>8.4</v>
      </c>
      <c r="J82">
        <v>1.5</v>
      </c>
      <c r="K82">
        <v>57.4</v>
      </c>
      <c r="L82">
        <v>1.5</v>
      </c>
      <c r="M82">
        <v>12</v>
      </c>
      <c r="N82">
        <v>20</v>
      </c>
      <c r="O82">
        <v>4300</v>
      </c>
      <c r="P82" t="s">
        <v>148</v>
      </c>
      <c r="Q82">
        <v>5000</v>
      </c>
      <c r="R82" t="s">
        <v>18</v>
      </c>
      <c r="S82" t="s">
        <v>18</v>
      </c>
      <c r="T82" t="s">
        <v>18</v>
      </c>
    </row>
    <row r="83" spans="1:20">
      <c r="A83" t="str">
        <f t="shared" si="4"/>
        <v>21 Borstbäcken, före utloppet i Vombsjön45848</v>
      </c>
      <c r="B83" t="str">
        <f t="shared" si="5"/>
        <v>21  Borstbäcken, före utloppet i Vombsjön7</v>
      </c>
      <c r="C83">
        <v>18</v>
      </c>
      <c r="D83" t="s">
        <v>266</v>
      </c>
      <c r="E83" s="216">
        <v>45848</v>
      </c>
      <c r="F83">
        <v>15.7</v>
      </c>
      <c r="G83">
        <v>9.7799999999999994</v>
      </c>
      <c r="H83">
        <v>99</v>
      </c>
      <c r="I83">
        <v>8.1</v>
      </c>
      <c r="J83">
        <v>18</v>
      </c>
      <c r="K83">
        <v>36.9</v>
      </c>
      <c r="L83">
        <v>2.8</v>
      </c>
      <c r="M83">
        <v>120</v>
      </c>
      <c r="N83">
        <v>190</v>
      </c>
      <c r="O83">
        <v>4700</v>
      </c>
      <c r="P83">
        <v>16</v>
      </c>
      <c r="Q83">
        <v>5000</v>
      </c>
      <c r="R83" t="s">
        <v>18</v>
      </c>
      <c r="S83" t="s">
        <v>18</v>
      </c>
      <c r="T83" t="s">
        <v>18</v>
      </c>
    </row>
    <row r="84" spans="1:20">
      <c r="A84" t="str">
        <f t="shared" si="4"/>
        <v>21 Borstbäcken, före utloppet i Vombsjön</v>
      </c>
      <c r="B84" t="e">
        <f t="shared" si="5"/>
        <v>#VALUE!</v>
      </c>
      <c r="C84">
        <v>18</v>
      </c>
      <c r="D84" t="s">
        <v>266</v>
      </c>
      <c r="E84" s="216" t="s">
        <v>18</v>
      </c>
      <c r="F84" t="s">
        <v>18</v>
      </c>
      <c r="G84" t="s">
        <v>18</v>
      </c>
      <c r="H84" t="s">
        <v>18</v>
      </c>
      <c r="I84" t="s">
        <v>18</v>
      </c>
      <c r="J84" t="s">
        <v>18</v>
      </c>
      <c r="K84" t="s">
        <v>18</v>
      </c>
      <c r="L84" t="s">
        <v>18</v>
      </c>
      <c r="M84" t="s">
        <v>18</v>
      </c>
      <c r="N84" t="s">
        <v>18</v>
      </c>
      <c r="O84" t="s">
        <v>18</v>
      </c>
      <c r="P84" t="s">
        <v>18</v>
      </c>
      <c r="Q84" t="s">
        <v>18</v>
      </c>
      <c r="R84" t="s">
        <v>18</v>
      </c>
      <c r="S84" t="s">
        <v>18</v>
      </c>
      <c r="T84" t="s">
        <v>18</v>
      </c>
    </row>
    <row r="85" spans="1:20">
      <c r="A85" t="str">
        <f t="shared" si="4"/>
        <v>21 Borstbäcken, före utloppet i Vombsjön</v>
      </c>
      <c r="B85" t="e">
        <f t="shared" si="5"/>
        <v>#VALUE!</v>
      </c>
      <c r="C85">
        <v>18</v>
      </c>
      <c r="D85" t="s">
        <v>266</v>
      </c>
      <c r="E85" s="216" t="s">
        <v>18</v>
      </c>
      <c r="F85" t="s">
        <v>18</v>
      </c>
      <c r="G85" t="s">
        <v>18</v>
      </c>
      <c r="H85" t="s">
        <v>18</v>
      </c>
      <c r="I85" t="s">
        <v>18</v>
      </c>
      <c r="J85" t="s">
        <v>18</v>
      </c>
      <c r="K85" t="s">
        <v>18</v>
      </c>
      <c r="L85" t="s">
        <v>18</v>
      </c>
      <c r="M85" t="s">
        <v>18</v>
      </c>
      <c r="N85" t="s">
        <v>18</v>
      </c>
      <c r="O85" t="s">
        <v>18</v>
      </c>
      <c r="P85" t="s">
        <v>18</v>
      </c>
      <c r="Q85" t="s">
        <v>18</v>
      </c>
      <c r="R85" t="s">
        <v>18</v>
      </c>
      <c r="S85" t="s">
        <v>18</v>
      </c>
      <c r="T85" t="s">
        <v>18</v>
      </c>
    </row>
    <row r="86" spans="1:20">
      <c r="A86" t="str">
        <f t="shared" si="4"/>
        <v>21 Borstbäcken, före utloppet i Vombsjön2025-05-15</v>
      </c>
      <c r="B86" t="str">
        <f t="shared" si="5"/>
        <v>21  Borstbäcken, före utloppet i Vombsjön5</v>
      </c>
      <c r="C86">
        <v>18</v>
      </c>
      <c r="D86" t="s">
        <v>266</v>
      </c>
      <c r="E86" s="216" t="s">
        <v>436</v>
      </c>
      <c r="F86">
        <v>10.199999999999999</v>
      </c>
      <c r="G86">
        <v>11.53</v>
      </c>
      <c r="H86">
        <v>103</v>
      </c>
      <c r="I86">
        <v>8.3000000000000007</v>
      </c>
      <c r="J86">
        <v>4.3</v>
      </c>
      <c r="K86">
        <v>55</v>
      </c>
      <c r="L86">
        <v>1.4</v>
      </c>
      <c r="M86">
        <v>26</v>
      </c>
      <c r="N86">
        <v>58</v>
      </c>
      <c r="O86">
        <v>1100</v>
      </c>
      <c r="P86" t="s">
        <v>148</v>
      </c>
      <c r="Q86">
        <v>1800</v>
      </c>
      <c r="R86" t="s">
        <v>18</v>
      </c>
      <c r="S86" t="s">
        <v>18</v>
      </c>
      <c r="T86" t="s">
        <v>18</v>
      </c>
    </row>
    <row r="87" spans="1:20">
      <c r="A87" t="str">
        <f t="shared" si="4"/>
        <v>27A Bråån, g:a vägbron vid Örtofta kyrka45671</v>
      </c>
      <c r="B87" t="str">
        <f t="shared" si="5"/>
        <v>27A Bråån, g:a vägbron vid Örtofta kyrka1</v>
      </c>
      <c r="C87">
        <v>19</v>
      </c>
      <c r="D87" t="s">
        <v>260</v>
      </c>
      <c r="E87" s="216">
        <v>45671</v>
      </c>
      <c r="F87">
        <v>3</v>
      </c>
      <c r="G87">
        <v>13.31</v>
      </c>
      <c r="H87">
        <v>99</v>
      </c>
      <c r="I87">
        <v>8</v>
      </c>
      <c r="J87">
        <v>4.4000000000000004</v>
      </c>
      <c r="K87">
        <v>54.1</v>
      </c>
      <c r="L87">
        <v>1.5</v>
      </c>
      <c r="M87">
        <v>40</v>
      </c>
      <c r="N87">
        <v>74</v>
      </c>
      <c r="O87">
        <v>7500</v>
      </c>
      <c r="P87">
        <v>230</v>
      </c>
      <c r="Q87">
        <v>7800</v>
      </c>
      <c r="R87" t="s">
        <v>18</v>
      </c>
      <c r="S87" t="s">
        <v>18</v>
      </c>
      <c r="T87" t="s">
        <v>18</v>
      </c>
    </row>
    <row r="88" spans="1:20">
      <c r="A88" t="str">
        <f t="shared" si="4"/>
        <v>27A Bråån, g:a vägbron vid Örtofta kyrka45706</v>
      </c>
      <c r="B88" t="str">
        <f t="shared" si="5"/>
        <v>27A Bråån, g:a vägbron vid Örtofta kyrka2</v>
      </c>
      <c r="C88">
        <v>19</v>
      </c>
      <c r="D88" t="s">
        <v>260</v>
      </c>
      <c r="E88" s="216">
        <v>45706</v>
      </c>
      <c r="F88">
        <v>0.5</v>
      </c>
      <c r="G88">
        <v>14.71</v>
      </c>
      <c r="H88">
        <v>102</v>
      </c>
      <c r="I88">
        <v>8.1</v>
      </c>
      <c r="J88">
        <v>2.5</v>
      </c>
      <c r="K88">
        <v>61.4</v>
      </c>
      <c r="L88">
        <v>1.3</v>
      </c>
      <c r="M88">
        <v>39</v>
      </c>
      <c r="N88">
        <v>62</v>
      </c>
      <c r="O88">
        <v>6400</v>
      </c>
      <c r="P88">
        <v>120</v>
      </c>
      <c r="Q88">
        <v>7000</v>
      </c>
      <c r="R88" t="s">
        <v>18</v>
      </c>
      <c r="S88" t="s">
        <v>18</v>
      </c>
      <c r="T88" t="s">
        <v>18</v>
      </c>
    </row>
    <row r="89" spans="1:20">
      <c r="A89" t="str">
        <f t="shared" si="4"/>
        <v>27A Bråån, g:a vägbron vid Örtofta kyrka45734</v>
      </c>
      <c r="B89" t="str">
        <f t="shared" si="5"/>
        <v>27A Bråån, g:a vägbron vid Örtofta kyrka3</v>
      </c>
      <c r="C89">
        <v>19</v>
      </c>
      <c r="D89" t="s">
        <v>260</v>
      </c>
      <c r="E89" s="216">
        <v>45734</v>
      </c>
      <c r="F89">
        <v>4.5999999999999996</v>
      </c>
      <c r="G89">
        <v>17.86</v>
      </c>
      <c r="H89">
        <v>139</v>
      </c>
      <c r="I89">
        <v>8.5</v>
      </c>
      <c r="J89">
        <v>1.4</v>
      </c>
      <c r="K89">
        <v>55.1</v>
      </c>
      <c r="L89">
        <v>2.7</v>
      </c>
      <c r="M89">
        <v>5</v>
      </c>
      <c r="N89">
        <v>30</v>
      </c>
      <c r="O89">
        <v>4600</v>
      </c>
      <c r="P89" t="s">
        <v>148</v>
      </c>
      <c r="Q89">
        <v>4800</v>
      </c>
      <c r="R89" t="s">
        <v>18</v>
      </c>
      <c r="S89" t="s">
        <v>18</v>
      </c>
      <c r="T89" t="s">
        <v>18</v>
      </c>
    </row>
    <row r="90" spans="1:20">
      <c r="A90" t="str">
        <f t="shared" si="4"/>
        <v>27A Bråån, g:a vägbron vid Örtofta kyrka45761</v>
      </c>
      <c r="B90" t="str">
        <f t="shared" si="5"/>
        <v>27A Bråån, g:a vägbron vid Örtofta kyrka4</v>
      </c>
      <c r="C90">
        <v>19</v>
      </c>
      <c r="D90" t="s">
        <v>260</v>
      </c>
      <c r="E90" s="216">
        <v>45761</v>
      </c>
      <c r="F90">
        <v>11.3</v>
      </c>
      <c r="G90">
        <v>10.5</v>
      </c>
      <c r="H90">
        <v>96</v>
      </c>
      <c r="I90">
        <v>8.1</v>
      </c>
      <c r="J90">
        <v>1.4</v>
      </c>
      <c r="K90">
        <v>70.099999999999994</v>
      </c>
      <c r="L90">
        <v>2.6</v>
      </c>
      <c r="M90">
        <v>13</v>
      </c>
      <c r="N90">
        <v>50</v>
      </c>
      <c r="O90">
        <v>2300</v>
      </c>
      <c r="P90">
        <v>26</v>
      </c>
      <c r="Q90">
        <v>3000</v>
      </c>
      <c r="R90" t="s">
        <v>18</v>
      </c>
      <c r="S90" t="s">
        <v>18</v>
      </c>
      <c r="T90" t="s">
        <v>18</v>
      </c>
    </row>
    <row r="91" spans="1:20">
      <c r="A91" t="str">
        <f t="shared" si="4"/>
        <v>27A Bråån, g:a vägbron vid Örtofta kyrka45826</v>
      </c>
      <c r="B91" t="str">
        <f t="shared" si="5"/>
        <v>27A Bråån, g:a vägbron vid Örtofta kyrka6</v>
      </c>
      <c r="C91">
        <v>19</v>
      </c>
      <c r="D91" t="s">
        <v>260</v>
      </c>
      <c r="E91" s="216">
        <v>45826</v>
      </c>
      <c r="F91">
        <v>18.7</v>
      </c>
      <c r="G91">
        <v>7.31</v>
      </c>
      <c r="H91">
        <v>78</v>
      </c>
      <c r="I91">
        <v>7.8</v>
      </c>
      <c r="J91">
        <v>1.8</v>
      </c>
      <c r="K91">
        <v>65.7</v>
      </c>
      <c r="L91">
        <v>1.2</v>
      </c>
      <c r="M91">
        <v>74</v>
      </c>
      <c r="N91">
        <v>110</v>
      </c>
      <c r="O91">
        <v>3800</v>
      </c>
      <c r="P91">
        <v>55</v>
      </c>
      <c r="Q91">
        <v>3800</v>
      </c>
      <c r="R91" t="s">
        <v>18</v>
      </c>
      <c r="S91" t="s">
        <v>18</v>
      </c>
      <c r="T91" t="s">
        <v>18</v>
      </c>
    </row>
    <row r="92" spans="1:20">
      <c r="A92" t="str">
        <f t="shared" si="4"/>
        <v>27A Bråån, g:a vägbron vid Örtofta kyrka45848</v>
      </c>
      <c r="B92" t="str">
        <f t="shared" si="5"/>
        <v>27A Bråån, g:a vägbron vid Örtofta kyrka7</v>
      </c>
      <c r="C92">
        <v>19</v>
      </c>
      <c r="D92" t="s">
        <v>260</v>
      </c>
      <c r="E92" s="216">
        <v>45848</v>
      </c>
      <c r="F92">
        <v>19.5</v>
      </c>
      <c r="G92">
        <v>7.23</v>
      </c>
      <c r="H92">
        <v>79</v>
      </c>
      <c r="I92">
        <v>7.7</v>
      </c>
      <c r="J92">
        <v>2.4</v>
      </c>
      <c r="K92">
        <v>60.1</v>
      </c>
      <c r="L92">
        <v>1.1000000000000001</v>
      </c>
      <c r="M92">
        <v>91</v>
      </c>
      <c r="N92">
        <v>120</v>
      </c>
      <c r="O92">
        <v>1100</v>
      </c>
      <c r="P92">
        <v>43</v>
      </c>
      <c r="Q92">
        <v>1600</v>
      </c>
      <c r="R92" t="s">
        <v>18</v>
      </c>
      <c r="S92" t="s">
        <v>18</v>
      </c>
      <c r="T92" t="s">
        <v>18</v>
      </c>
    </row>
    <row r="93" spans="1:20">
      <c r="A93" t="str">
        <f t="shared" si="4"/>
        <v>27A Bråån, g:a vägbron vid Örtofta kyrka</v>
      </c>
      <c r="B93" t="e">
        <f t="shared" si="5"/>
        <v>#VALUE!</v>
      </c>
      <c r="C93">
        <v>19</v>
      </c>
      <c r="D93" t="s">
        <v>260</v>
      </c>
      <c r="E93" s="216" t="s">
        <v>18</v>
      </c>
      <c r="F93" t="s">
        <v>18</v>
      </c>
      <c r="G93" t="s">
        <v>18</v>
      </c>
      <c r="H93" t="s">
        <v>18</v>
      </c>
      <c r="I93" t="s">
        <v>18</v>
      </c>
      <c r="J93" t="s">
        <v>18</v>
      </c>
      <c r="K93" t="s">
        <v>18</v>
      </c>
      <c r="L93" t="s">
        <v>18</v>
      </c>
      <c r="M93" t="s">
        <v>18</v>
      </c>
      <c r="N93" t="s">
        <v>18</v>
      </c>
      <c r="O93" t="s">
        <v>18</v>
      </c>
      <c r="P93" t="s">
        <v>18</v>
      </c>
      <c r="Q93" t="s">
        <v>18</v>
      </c>
      <c r="R93" t="s">
        <v>18</v>
      </c>
      <c r="S93" t="s">
        <v>18</v>
      </c>
      <c r="T93" t="s">
        <v>18</v>
      </c>
    </row>
    <row r="94" spans="1:20">
      <c r="A94" t="str">
        <f t="shared" si="4"/>
        <v>27A Bråån, g:a vägbron vid Örtofta kyrka</v>
      </c>
      <c r="B94" t="e">
        <f t="shared" si="5"/>
        <v>#VALUE!</v>
      </c>
      <c r="C94">
        <v>19</v>
      </c>
      <c r="D94" t="s">
        <v>260</v>
      </c>
      <c r="E94" s="216" t="s">
        <v>18</v>
      </c>
      <c r="F94" t="s">
        <v>18</v>
      </c>
      <c r="G94" t="s">
        <v>18</v>
      </c>
      <c r="H94" t="s">
        <v>18</v>
      </c>
      <c r="I94" t="s">
        <v>18</v>
      </c>
      <c r="J94" t="s">
        <v>18</v>
      </c>
      <c r="K94" t="s">
        <v>18</v>
      </c>
      <c r="L94" t="s">
        <v>18</v>
      </c>
      <c r="M94" t="s">
        <v>18</v>
      </c>
      <c r="N94" t="s">
        <v>18</v>
      </c>
      <c r="O94" t="s">
        <v>18</v>
      </c>
      <c r="P94" t="s">
        <v>18</v>
      </c>
      <c r="Q94" t="s">
        <v>18</v>
      </c>
      <c r="R94" t="s">
        <v>18</v>
      </c>
      <c r="S94" t="s">
        <v>18</v>
      </c>
      <c r="T94" t="s">
        <v>18</v>
      </c>
    </row>
    <row r="95" spans="1:20">
      <c r="A95" t="str">
        <f t="shared" si="4"/>
        <v>27A Bråån, g:a vägbron vid Örtofta kyrka</v>
      </c>
      <c r="B95" t="e">
        <f t="shared" si="5"/>
        <v>#VALUE!</v>
      </c>
      <c r="C95">
        <v>19</v>
      </c>
      <c r="D95" t="s">
        <v>260</v>
      </c>
      <c r="E95" s="216" t="s">
        <v>18</v>
      </c>
      <c r="F95" t="s">
        <v>18</v>
      </c>
      <c r="G95" t="s">
        <v>18</v>
      </c>
      <c r="H95" t="s">
        <v>18</v>
      </c>
      <c r="I95" t="s">
        <v>18</v>
      </c>
      <c r="J95" t="s">
        <v>18</v>
      </c>
      <c r="K95" t="s">
        <v>18</v>
      </c>
      <c r="L95" t="s">
        <v>18</v>
      </c>
      <c r="M95" t="s">
        <v>18</v>
      </c>
      <c r="N95" t="s">
        <v>18</v>
      </c>
      <c r="O95" t="s">
        <v>18</v>
      </c>
      <c r="P95" t="s">
        <v>18</v>
      </c>
      <c r="Q95" t="s">
        <v>18</v>
      </c>
      <c r="R95" t="s">
        <v>18</v>
      </c>
      <c r="S95" t="s">
        <v>18</v>
      </c>
      <c r="T95" t="s">
        <v>18</v>
      </c>
    </row>
    <row r="96" spans="1:20">
      <c r="A96" t="str">
        <f t="shared" si="4"/>
        <v>27A Bråån, g:a vägbron vid Örtofta kyrka</v>
      </c>
      <c r="B96" t="e">
        <f t="shared" si="5"/>
        <v>#VALUE!</v>
      </c>
      <c r="C96">
        <v>19</v>
      </c>
      <c r="D96" t="s">
        <v>260</v>
      </c>
      <c r="E96" s="216" t="s">
        <v>18</v>
      </c>
      <c r="F96" t="s">
        <v>18</v>
      </c>
      <c r="G96" t="s">
        <v>18</v>
      </c>
      <c r="H96" t="s">
        <v>18</v>
      </c>
      <c r="I96" t="s">
        <v>18</v>
      </c>
      <c r="J96" t="s">
        <v>18</v>
      </c>
      <c r="K96" t="s">
        <v>18</v>
      </c>
      <c r="L96" t="s">
        <v>18</v>
      </c>
      <c r="M96" t="s">
        <v>18</v>
      </c>
      <c r="N96" t="s">
        <v>18</v>
      </c>
      <c r="O96" t="s">
        <v>18</v>
      </c>
      <c r="P96" t="s">
        <v>18</v>
      </c>
      <c r="Q96" t="s">
        <v>18</v>
      </c>
      <c r="R96" t="s">
        <v>18</v>
      </c>
      <c r="S96" t="s">
        <v>18</v>
      </c>
      <c r="T96" t="s">
        <v>18</v>
      </c>
    </row>
    <row r="97" spans="1:20">
      <c r="A97" t="str">
        <f t="shared" si="4"/>
        <v>27A Bråån, g:a vägbron vid Örtofta kyrka</v>
      </c>
      <c r="B97" t="e">
        <f t="shared" si="5"/>
        <v>#VALUE!</v>
      </c>
      <c r="C97">
        <v>19</v>
      </c>
      <c r="D97" t="s">
        <v>260</v>
      </c>
      <c r="E97" s="216" t="s">
        <v>18</v>
      </c>
      <c r="F97" t="s">
        <v>18</v>
      </c>
      <c r="G97" t="s">
        <v>18</v>
      </c>
      <c r="H97" t="s">
        <v>18</v>
      </c>
      <c r="I97" t="s">
        <v>18</v>
      </c>
      <c r="J97" t="s">
        <v>18</v>
      </c>
      <c r="K97" t="s">
        <v>18</v>
      </c>
      <c r="L97" t="s">
        <v>18</v>
      </c>
      <c r="M97" t="s">
        <v>18</v>
      </c>
      <c r="N97" t="s">
        <v>18</v>
      </c>
      <c r="O97" t="s">
        <v>18</v>
      </c>
      <c r="P97" t="s">
        <v>18</v>
      </c>
      <c r="Q97" t="s">
        <v>18</v>
      </c>
      <c r="R97" t="s">
        <v>18</v>
      </c>
      <c r="S97" t="s">
        <v>18</v>
      </c>
      <c r="T97" t="s">
        <v>18</v>
      </c>
    </row>
    <row r="98" spans="1:20">
      <c r="A98" t="str">
        <f t="shared" si="4"/>
        <v>27A Bråån, g:a vägbron vid Örtofta kyrka2025-05-13</v>
      </c>
      <c r="B98" t="str">
        <f t="shared" si="5"/>
        <v>27A Bråån, g:a vägbron vid Örtofta kyrka5</v>
      </c>
      <c r="C98">
        <v>19</v>
      </c>
      <c r="D98" t="s">
        <v>260</v>
      </c>
      <c r="E98" s="216" t="s">
        <v>435</v>
      </c>
      <c r="F98">
        <v>14.5</v>
      </c>
      <c r="G98">
        <v>10.050000000000001</v>
      </c>
      <c r="H98">
        <v>99</v>
      </c>
      <c r="I98">
        <v>8</v>
      </c>
      <c r="J98">
        <v>1.6</v>
      </c>
      <c r="K98">
        <v>76.099999999999994</v>
      </c>
      <c r="L98">
        <v>1.6</v>
      </c>
      <c r="M98">
        <v>58</v>
      </c>
      <c r="N98">
        <v>99</v>
      </c>
      <c r="O98">
        <v>2400</v>
      </c>
      <c r="P98">
        <v>52</v>
      </c>
      <c r="Q98">
        <v>3200</v>
      </c>
      <c r="R98" t="s">
        <v>18</v>
      </c>
      <c r="S98" t="s">
        <v>18</v>
      </c>
      <c r="T98" t="s">
        <v>18</v>
      </c>
    </row>
    <row r="99" spans="1:20">
      <c r="A99" t="str">
        <f t="shared" ref="A99:A110" si="6">TRIM(CONCATENATE(D99,E99))</f>
        <v>27 Bråån, vägbron vid Ellinge slott45671</v>
      </c>
      <c r="B99" t="str">
        <f t="shared" si="5"/>
        <v>27  Bråån, vägbron vid Ellinge slott1</v>
      </c>
      <c r="C99">
        <v>20</v>
      </c>
      <c r="D99" t="s">
        <v>267</v>
      </c>
      <c r="E99" s="216">
        <v>45671</v>
      </c>
      <c r="F99">
        <v>3.5</v>
      </c>
      <c r="G99">
        <v>13.15</v>
      </c>
      <c r="H99">
        <v>99</v>
      </c>
      <c r="I99">
        <v>8</v>
      </c>
      <c r="J99">
        <v>9.9</v>
      </c>
      <c r="K99">
        <v>55.1</v>
      </c>
      <c r="L99">
        <v>2.1</v>
      </c>
      <c r="M99">
        <v>37</v>
      </c>
      <c r="N99">
        <v>100</v>
      </c>
      <c r="O99">
        <v>6700</v>
      </c>
      <c r="P99">
        <v>320</v>
      </c>
      <c r="Q99">
        <v>7400</v>
      </c>
      <c r="R99" t="s">
        <v>18</v>
      </c>
      <c r="S99" t="s">
        <v>18</v>
      </c>
      <c r="T99" t="s">
        <v>18</v>
      </c>
    </row>
    <row r="100" spans="1:20">
      <c r="A100" t="str">
        <f t="shared" si="6"/>
        <v>27 Bråån, vägbron vid Ellinge slott45706</v>
      </c>
      <c r="B100" t="str">
        <f t="shared" si="5"/>
        <v>27  Bråån, vägbron vid Ellinge slott2</v>
      </c>
      <c r="C100">
        <v>20</v>
      </c>
      <c r="D100" t="s">
        <v>267</v>
      </c>
      <c r="E100" s="216">
        <v>45706</v>
      </c>
      <c r="F100">
        <v>2.4</v>
      </c>
      <c r="G100">
        <v>14.46</v>
      </c>
      <c r="H100">
        <v>106</v>
      </c>
      <c r="I100">
        <v>8</v>
      </c>
      <c r="J100">
        <v>2</v>
      </c>
      <c r="K100">
        <v>59.7</v>
      </c>
      <c r="L100">
        <v>1.3</v>
      </c>
      <c r="M100">
        <v>32</v>
      </c>
      <c r="N100">
        <v>52</v>
      </c>
      <c r="O100">
        <v>6300</v>
      </c>
      <c r="P100">
        <v>97</v>
      </c>
      <c r="Q100">
        <v>7000</v>
      </c>
      <c r="R100" t="s">
        <v>18</v>
      </c>
      <c r="S100" t="s">
        <v>18</v>
      </c>
      <c r="T100" t="s">
        <v>18</v>
      </c>
    </row>
    <row r="101" spans="1:20">
      <c r="A101" t="str">
        <f t="shared" si="6"/>
        <v>27 Bråån, vägbron vid Ellinge slott45734</v>
      </c>
      <c r="B101" t="str">
        <f t="shared" si="5"/>
        <v>27  Bråån, vägbron vid Ellinge slott3</v>
      </c>
      <c r="C101">
        <v>20</v>
      </c>
      <c r="D101" t="s">
        <v>267</v>
      </c>
      <c r="E101" s="216">
        <v>45734</v>
      </c>
      <c r="F101">
        <v>4.7</v>
      </c>
      <c r="G101">
        <v>16.8</v>
      </c>
      <c r="H101">
        <v>131</v>
      </c>
      <c r="I101">
        <v>8.5</v>
      </c>
      <c r="J101">
        <v>1.8</v>
      </c>
      <c r="K101">
        <v>56.2</v>
      </c>
      <c r="L101">
        <v>2.6</v>
      </c>
      <c r="M101">
        <v>9.3000000000000007</v>
      </c>
      <c r="N101">
        <v>44</v>
      </c>
      <c r="O101">
        <v>4500</v>
      </c>
      <c r="P101">
        <v>110</v>
      </c>
      <c r="Q101">
        <v>4800</v>
      </c>
      <c r="R101" t="s">
        <v>18</v>
      </c>
      <c r="S101" t="s">
        <v>18</v>
      </c>
      <c r="T101" t="s">
        <v>18</v>
      </c>
    </row>
    <row r="102" spans="1:20">
      <c r="A102" t="str">
        <f t="shared" si="6"/>
        <v>27 Bråån, vägbron vid Ellinge slott45761</v>
      </c>
      <c r="B102" t="str">
        <f t="shared" si="5"/>
        <v>27  Bråån, vägbron vid Ellinge slott4</v>
      </c>
      <c r="C102">
        <v>20</v>
      </c>
      <c r="D102" t="s">
        <v>267</v>
      </c>
      <c r="E102" s="216">
        <v>45761</v>
      </c>
      <c r="F102">
        <v>12</v>
      </c>
      <c r="G102">
        <v>12.59</v>
      </c>
      <c r="H102">
        <v>117</v>
      </c>
      <c r="I102">
        <v>8.1999999999999993</v>
      </c>
      <c r="J102">
        <v>1.5</v>
      </c>
      <c r="K102">
        <v>70</v>
      </c>
      <c r="L102">
        <v>2.5</v>
      </c>
      <c r="M102">
        <v>16</v>
      </c>
      <c r="N102">
        <v>54</v>
      </c>
      <c r="O102">
        <v>2500</v>
      </c>
      <c r="P102">
        <v>34</v>
      </c>
      <c r="Q102">
        <v>3200</v>
      </c>
      <c r="R102" t="s">
        <v>18</v>
      </c>
      <c r="S102" t="s">
        <v>18</v>
      </c>
      <c r="T102" t="s">
        <v>18</v>
      </c>
    </row>
    <row r="103" spans="1:20">
      <c r="A103" t="str">
        <f t="shared" si="6"/>
        <v>27 Bråån, vägbron vid Ellinge slott45826</v>
      </c>
      <c r="B103" t="str">
        <f t="shared" si="5"/>
        <v>27  Bråån, vägbron vid Ellinge slott6</v>
      </c>
      <c r="C103">
        <v>20</v>
      </c>
      <c r="D103" t="s">
        <v>267</v>
      </c>
      <c r="E103" s="216">
        <v>45826</v>
      </c>
      <c r="F103">
        <v>18.600000000000001</v>
      </c>
      <c r="G103">
        <v>9.52</v>
      </c>
      <c r="H103">
        <v>102</v>
      </c>
      <c r="I103">
        <v>8</v>
      </c>
      <c r="J103">
        <v>2.4</v>
      </c>
      <c r="K103">
        <v>65</v>
      </c>
      <c r="L103">
        <v>1.3</v>
      </c>
      <c r="M103">
        <v>75</v>
      </c>
      <c r="N103">
        <v>110</v>
      </c>
      <c r="O103">
        <v>3100</v>
      </c>
      <c r="P103">
        <v>60</v>
      </c>
      <c r="Q103">
        <v>3600</v>
      </c>
      <c r="R103" t="s">
        <v>18</v>
      </c>
      <c r="S103" t="s">
        <v>18</v>
      </c>
      <c r="T103" t="s">
        <v>18</v>
      </c>
    </row>
    <row r="104" spans="1:20">
      <c r="A104" t="str">
        <f t="shared" si="6"/>
        <v>27 Bråån, vägbron vid Ellinge slott45848</v>
      </c>
      <c r="B104" t="str">
        <f t="shared" si="5"/>
        <v>27  Bråån, vägbron vid Ellinge slott7</v>
      </c>
      <c r="C104">
        <v>20</v>
      </c>
      <c r="D104" t="s">
        <v>267</v>
      </c>
      <c r="E104" s="216">
        <v>45848</v>
      </c>
      <c r="F104">
        <v>19.399999999999999</v>
      </c>
      <c r="G104">
        <v>9.32</v>
      </c>
      <c r="H104">
        <v>101</v>
      </c>
      <c r="I104">
        <v>7.7</v>
      </c>
      <c r="J104">
        <v>4</v>
      </c>
      <c r="K104">
        <v>69.2</v>
      </c>
      <c r="L104">
        <v>3.1</v>
      </c>
      <c r="M104">
        <v>31</v>
      </c>
      <c r="N104">
        <v>110</v>
      </c>
      <c r="O104">
        <v>250</v>
      </c>
      <c r="P104">
        <v>21</v>
      </c>
      <c r="Q104">
        <v>1100</v>
      </c>
      <c r="R104" t="s">
        <v>18</v>
      </c>
      <c r="S104" t="s">
        <v>18</v>
      </c>
      <c r="T104" t="s">
        <v>18</v>
      </c>
    </row>
    <row r="105" spans="1:20">
      <c r="A105" t="str">
        <f t="shared" si="6"/>
        <v>27 Bråån, vägbron vid Ellinge slott</v>
      </c>
      <c r="B105" t="e">
        <f t="shared" si="5"/>
        <v>#VALUE!</v>
      </c>
      <c r="C105">
        <v>20</v>
      </c>
      <c r="D105" t="s">
        <v>267</v>
      </c>
      <c r="E105" s="216" t="s">
        <v>18</v>
      </c>
      <c r="F105" t="s">
        <v>18</v>
      </c>
      <c r="G105" t="s">
        <v>18</v>
      </c>
      <c r="H105" t="s">
        <v>18</v>
      </c>
      <c r="I105" t="s">
        <v>18</v>
      </c>
      <c r="J105" t="s">
        <v>18</v>
      </c>
      <c r="K105" t="s">
        <v>18</v>
      </c>
      <c r="L105" t="s">
        <v>18</v>
      </c>
      <c r="M105" t="s">
        <v>18</v>
      </c>
      <c r="N105" t="s">
        <v>18</v>
      </c>
      <c r="O105" t="s">
        <v>18</v>
      </c>
      <c r="P105" t="s">
        <v>18</v>
      </c>
      <c r="Q105" t="s">
        <v>18</v>
      </c>
      <c r="R105" t="s">
        <v>18</v>
      </c>
      <c r="S105" t="s">
        <v>18</v>
      </c>
      <c r="T105" t="s">
        <v>18</v>
      </c>
    </row>
    <row r="106" spans="1:20">
      <c r="A106" t="str">
        <f t="shared" si="6"/>
        <v>27 Bråån, vägbron vid Ellinge slott</v>
      </c>
      <c r="B106" t="e">
        <f t="shared" si="5"/>
        <v>#VALUE!</v>
      </c>
      <c r="C106">
        <v>20</v>
      </c>
      <c r="D106" t="s">
        <v>267</v>
      </c>
      <c r="E106" s="216" t="s">
        <v>18</v>
      </c>
      <c r="F106" t="s">
        <v>18</v>
      </c>
      <c r="G106" t="s">
        <v>18</v>
      </c>
      <c r="H106" t="s">
        <v>18</v>
      </c>
      <c r="I106" t="s">
        <v>18</v>
      </c>
      <c r="J106" t="s">
        <v>18</v>
      </c>
      <c r="K106" t="s">
        <v>18</v>
      </c>
      <c r="L106" t="s">
        <v>18</v>
      </c>
      <c r="M106" t="s">
        <v>18</v>
      </c>
      <c r="N106" t="s">
        <v>18</v>
      </c>
      <c r="O106" t="s">
        <v>18</v>
      </c>
      <c r="P106" t="s">
        <v>18</v>
      </c>
      <c r="Q106" t="s">
        <v>18</v>
      </c>
      <c r="R106" t="s">
        <v>18</v>
      </c>
      <c r="S106" t="s">
        <v>18</v>
      </c>
      <c r="T106" t="s">
        <v>18</v>
      </c>
    </row>
    <row r="107" spans="1:20">
      <c r="A107" t="str">
        <f t="shared" si="6"/>
        <v>27 Bråån, vägbron vid Ellinge slott</v>
      </c>
      <c r="B107" t="e">
        <f t="shared" si="5"/>
        <v>#VALUE!</v>
      </c>
      <c r="C107">
        <v>20</v>
      </c>
      <c r="D107" t="s">
        <v>267</v>
      </c>
      <c r="E107" s="216" t="s">
        <v>18</v>
      </c>
      <c r="F107" t="s">
        <v>18</v>
      </c>
      <c r="G107" t="s">
        <v>18</v>
      </c>
      <c r="H107" t="s">
        <v>18</v>
      </c>
      <c r="I107" t="s">
        <v>18</v>
      </c>
      <c r="J107" t="s">
        <v>18</v>
      </c>
      <c r="K107" t="s">
        <v>18</v>
      </c>
      <c r="L107" t="s">
        <v>18</v>
      </c>
      <c r="M107" t="s">
        <v>18</v>
      </c>
      <c r="N107" t="s">
        <v>18</v>
      </c>
      <c r="O107" t="s">
        <v>18</v>
      </c>
      <c r="P107" t="s">
        <v>18</v>
      </c>
      <c r="Q107" t="s">
        <v>18</v>
      </c>
      <c r="R107" t="s">
        <v>18</v>
      </c>
      <c r="S107" t="s">
        <v>18</v>
      </c>
      <c r="T107" t="s">
        <v>18</v>
      </c>
    </row>
    <row r="108" spans="1:20">
      <c r="A108" t="str">
        <f t="shared" si="6"/>
        <v>27 Bråån, vägbron vid Ellinge slott</v>
      </c>
      <c r="B108" t="e">
        <f t="shared" si="5"/>
        <v>#VALUE!</v>
      </c>
      <c r="C108">
        <v>20</v>
      </c>
      <c r="D108" t="s">
        <v>267</v>
      </c>
      <c r="E108" s="216" t="s">
        <v>18</v>
      </c>
      <c r="F108" t="s">
        <v>18</v>
      </c>
      <c r="G108" t="s">
        <v>18</v>
      </c>
      <c r="H108" t="s">
        <v>18</v>
      </c>
      <c r="I108" t="s">
        <v>18</v>
      </c>
      <c r="J108" t="s">
        <v>18</v>
      </c>
      <c r="K108" t="s">
        <v>18</v>
      </c>
      <c r="L108" t="s">
        <v>18</v>
      </c>
      <c r="M108" t="s">
        <v>18</v>
      </c>
      <c r="N108" t="s">
        <v>18</v>
      </c>
      <c r="O108" t="s">
        <v>18</v>
      </c>
      <c r="P108" t="s">
        <v>18</v>
      </c>
      <c r="Q108" t="s">
        <v>18</v>
      </c>
      <c r="R108" t="s">
        <v>18</v>
      </c>
      <c r="S108" t="s">
        <v>18</v>
      </c>
      <c r="T108" t="s">
        <v>18</v>
      </c>
    </row>
    <row r="109" spans="1:20">
      <c r="A109" t="str">
        <f t="shared" si="6"/>
        <v>27 Bråån, vägbron vid Ellinge slott</v>
      </c>
      <c r="B109" t="e">
        <f t="shared" si="5"/>
        <v>#VALUE!</v>
      </c>
      <c r="C109">
        <v>20</v>
      </c>
      <c r="D109" t="s">
        <v>267</v>
      </c>
      <c r="E109" s="216" t="s">
        <v>18</v>
      </c>
      <c r="F109" t="s">
        <v>18</v>
      </c>
      <c r="G109" t="s">
        <v>18</v>
      </c>
      <c r="H109" t="s">
        <v>18</v>
      </c>
      <c r="I109" t="s">
        <v>18</v>
      </c>
      <c r="J109" t="s">
        <v>18</v>
      </c>
      <c r="K109" t="s">
        <v>18</v>
      </c>
      <c r="L109" t="s">
        <v>18</v>
      </c>
      <c r="M109" t="s">
        <v>18</v>
      </c>
      <c r="N109" t="s">
        <v>18</v>
      </c>
      <c r="O109" t="s">
        <v>18</v>
      </c>
      <c r="P109" t="s">
        <v>18</v>
      </c>
      <c r="Q109" t="s">
        <v>18</v>
      </c>
      <c r="R109" t="s">
        <v>18</v>
      </c>
      <c r="S109" t="s">
        <v>18</v>
      </c>
      <c r="T109" t="s">
        <v>18</v>
      </c>
    </row>
    <row r="110" spans="1:20">
      <c r="A110" t="str">
        <f t="shared" si="6"/>
        <v>27 Bråån, vägbron vid Ellinge slott2025-05-13</v>
      </c>
      <c r="B110" t="str">
        <f t="shared" si="5"/>
        <v>27  Bråån, vägbron vid Ellinge slott5</v>
      </c>
      <c r="C110">
        <v>20</v>
      </c>
      <c r="D110" t="s">
        <v>267</v>
      </c>
      <c r="E110" s="216" t="s">
        <v>435</v>
      </c>
      <c r="F110">
        <v>15.5</v>
      </c>
      <c r="G110">
        <v>10.1</v>
      </c>
      <c r="H110">
        <v>102</v>
      </c>
      <c r="I110">
        <v>7.9</v>
      </c>
      <c r="J110">
        <v>1.8</v>
      </c>
      <c r="K110">
        <v>76.400000000000006</v>
      </c>
      <c r="L110">
        <v>2.1</v>
      </c>
      <c r="M110">
        <v>44</v>
      </c>
      <c r="N110">
        <v>100</v>
      </c>
      <c r="O110">
        <v>2000</v>
      </c>
      <c r="P110">
        <v>54</v>
      </c>
      <c r="Q110">
        <v>3000</v>
      </c>
      <c r="R110" t="s">
        <v>18</v>
      </c>
      <c r="S110" t="s">
        <v>18</v>
      </c>
      <c r="T110" t="s">
        <v>18</v>
      </c>
    </row>
    <row r="111" spans="1:20">
      <c r="A111" t="str">
        <f t="shared" ref="A111:A170" si="7">TRIM(CONCATENATE(D111,E111))</f>
        <v>53A Bråån, vid golfbana, uppströms Eslövsbäcken45671</v>
      </c>
      <c r="B111" t="str">
        <f t="shared" ref="B111:B170" si="8">CONCATENATE(D111,MONTH(E111))</f>
        <v>53A Bråån, vid  golfbana, uppströms Eslövsbäcken1</v>
      </c>
      <c r="C111">
        <v>21</v>
      </c>
      <c r="D111" t="s">
        <v>261</v>
      </c>
      <c r="E111" s="216">
        <v>45671</v>
      </c>
      <c r="F111">
        <v>3.1</v>
      </c>
      <c r="G111">
        <v>13.32</v>
      </c>
      <c r="H111">
        <v>99</v>
      </c>
      <c r="I111">
        <v>8</v>
      </c>
      <c r="J111">
        <v>12</v>
      </c>
      <c r="K111">
        <v>49.7</v>
      </c>
      <c r="L111">
        <v>1.3</v>
      </c>
      <c r="M111">
        <v>42</v>
      </c>
      <c r="N111">
        <v>100</v>
      </c>
      <c r="O111">
        <v>8100</v>
      </c>
      <c r="P111">
        <v>76</v>
      </c>
      <c r="Q111">
        <v>8200</v>
      </c>
      <c r="R111" t="s">
        <v>18</v>
      </c>
      <c r="S111" t="s">
        <v>18</v>
      </c>
      <c r="T111" t="s">
        <v>18</v>
      </c>
    </row>
    <row r="112" spans="1:20">
      <c r="A112" t="str">
        <f t="shared" si="7"/>
        <v>53A Bråån, vid golfbana, uppströms Eslövsbäcken45706</v>
      </c>
      <c r="B112" t="str">
        <f t="shared" si="8"/>
        <v>53A Bråån, vid  golfbana, uppströms Eslövsbäcken2</v>
      </c>
      <c r="C112">
        <v>21</v>
      </c>
      <c r="D112" t="s">
        <v>261</v>
      </c>
      <c r="E112" s="216">
        <v>45706</v>
      </c>
      <c r="F112">
        <v>0.4</v>
      </c>
      <c r="G112">
        <v>14.99</v>
      </c>
      <c r="H112">
        <v>104</v>
      </c>
      <c r="I112">
        <v>8.1</v>
      </c>
      <c r="J112">
        <v>4.9000000000000004</v>
      </c>
      <c r="K112">
        <v>55.6</v>
      </c>
      <c r="L112">
        <v>1.1000000000000001</v>
      </c>
      <c r="M112">
        <v>35</v>
      </c>
      <c r="N112">
        <v>57</v>
      </c>
      <c r="O112">
        <v>7200</v>
      </c>
      <c r="P112">
        <v>71</v>
      </c>
      <c r="Q112">
        <v>7600</v>
      </c>
      <c r="R112" t="s">
        <v>18</v>
      </c>
      <c r="S112" t="s">
        <v>18</v>
      </c>
      <c r="T112" t="s">
        <v>18</v>
      </c>
    </row>
    <row r="113" spans="1:20">
      <c r="A113" t="str">
        <f t="shared" si="7"/>
        <v>53A Bråån, vid golfbana, uppströms Eslövsbäcken45734</v>
      </c>
      <c r="B113" t="str">
        <f t="shared" si="8"/>
        <v>53A Bråån, vid  golfbana, uppströms Eslövsbäcken3</v>
      </c>
      <c r="C113">
        <v>21</v>
      </c>
      <c r="D113" t="s">
        <v>261</v>
      </c>
      <c r="E113" s="216">
        <v>45734</v>
      </c>
      <c r="F113">
        <v>4.4000000000000004</v>
      </c>
      <c r="G113">
        <v>16.05</v>
      </c>
      <c r="H113">
        <v>124</v>
      </c>
      <c r="I113">
        <v>8.5</v>
      </c>
      <c r="J113">
        <v>1.5</v>
      </c>
      <c r="K113">
        <v>47.3</v>
      </c>
      <c r="L113">
        <v>2.2000000000000002</v>
      </c>
      <c r="M113">
        <v>7</v>
      </c>
      <c r="N113">
        <v>27</v>
      </c>
      <c r="O113">
        <v>4900</v>
      </c>
      <c r="P113" t="s">
        <v>148</v>
      </c>
      <c r="Q113">
        <v>4900</v>
      </c>
      <c r="R113" t="s">
        <v>18</v>
      </c>
      <c r="S113" t="s">
        <v>18</v>
      </c>
      <c r="T113" t="s">
        <v>18</v>
      </c>
    </row>
    <row r="114" spans="1:20">
      <c r="A114" t="str">
        <f t="shared" si="7"/>
        <v>53A Bråån, vid golfbana, uppströms Eslövsbäcken45761</v>
      </c>
      <c r="B114" t="str">
        <f t="shared" si="8"/>
        <v>53A Bråån, vid  golfbana, uppströms Eslövsbäcken4</v>
      </c>
      <c r="C114">
        <v>21</v>
      </c>
      <c r="D114" t="s">
        <v>261</v>
      </c>
      <c r="E114" s="216">
        <v>45761</v>
      </c>
      <c r="F114">
        <v>10.8</v>
      </c>
      <c r="G114">
        <v>12.15</v>
      </c>
      <c r="H114">
        <v>110</v>
      </c>
      <c r="I114">
        <v>8.3000000000000007</v>
      </c>
      <c r="J114">
        <v>1.6</v>
      </c>
      <c r="K114">
        <v>51.7</v>
      </c>
      <c r="L114">
        <v>2.2000000000000002</v>
      </c>
      <c r="M114">
        <v>8.1999999999999993</v>
      </c>
      <c r="N114">
        <v>28</v>
      </c>
      <c r="O114">
        <v>2600</v>
      </c>
      <c r="P114">
        <v>15</v>
      </c>
      <c r="Q114">
        <v>3200</v>
      </c>
      <c r="R114" t="s">
        <v>18</v>
      </c>
      <c r="S114" t="s">
        <v>18</v>
      </c>
      <c r="T114" t="s">
        <v>18</v>
      </c>
    </row>
    <row r="115" spans="1:20">
      <c r="A115" t="str">
        <f t="shared" si="7"/>
        <v>53A Bråån, vid golfbana, uppströms Eslövsbäcken45826</v>
      </c>
      <c r="B115" t="str">
        <f t="shared" si="8"/>
        <v>53A Bråån, vid  golfbana, uppströms Eslövsbäcken6</v>
      </c>
      <c r="C115">
        <v>21</v>
      </c>
      <c r="D115" t="s">
        <v>261</v>
      </c>
      <c r="E115" s="216">
        <v>45826</v>
      </c>
      <c r="F115">
        <v>17.7</v>
      </c>
      <c r="G115">
        <v>9.89</v>
      </c>
      <c r="H115">
        <v>104</v>
      </c>
      <c r="I115">
        <v>8.1</v>
      </c>
      <c r="J115">
        <v>1.3</v>
      </c>
      <c r="K115">
        <v>51.7</v>
      </c>
      <c r="L115">
        <v>1.3</v>
      </c>
      <c r="M115">
        <v>88</v>
      </c>
      <c r="N115">
        <v>120</v>
      </c>
      <c r="O115">
        <v>580</v>
      </c>
      <c r="P115">
        <v>40</v>
      </c>
      <c r="Q115">
        <v>1200</v>
      </c>
      <c r="R115" t="s">
        <v>18</v>
      </c>
      <c r="S115" t="s">
        <v>18</v>
      </c>
      <c r="T115" t="s">
        <v>18</v>
      </c>
    </row>
    <row r="116" spans="1:20">
      <c r="A116" t="str">
        <f t="shared" si="7"/>
        <v>53A Bråån, vid golfbana, uppströms Eslövsbäcken45848</v>
      </c>
      <c r="B116" t="str">
        <f t="shared" si="8"/>
        <v>53A Bråån, vid  golfbana, uppströms Eslövsbäcken7</v>
      </c>
      <c r="C116">
        <v>21</v>
      </c>
      <c r="D116" t="s">
        <v>261</v>
      </c>
      <c r="E116" s="216">
        <v>45848</v>
      </c>
      <c r="F116">
        <v>18</v>
      </c>
      <c r="G116">
        <v>9.34</v>
      </c>
      <c r="H116">
        <v>99</v>
      </c>
      <c r="I116">
        <v>8.1</v>
      </c>
      <c r="J116">
        <v>1.9</v>
      </c>
      <c r="K116">
        <v>57.1</v>
      </c>
      <c r="L116">
        <v>1</v>
      </c>
      <c r="M116">
        <v>100</v>
      </c>
      <c r="N116">
        <v>130</v>
      </c>
      <c r="O116">
        <v>420</v>
      </c>
      <c r="P116">
        <v>27</v>
      </c>
      <c r="Q116">
        <v>890</v>
      </c>
      <c r="R116" t="s">
        <v>18</v>
      </c>
      <c r="S116" t="s">
        <v>18</v>
      </c>
      <c r="T116" t="s">
        <v>18</v>
      </c>
    </row>
    <row r="117" spans="1:20">
      <c r="A117" t="str">
        <f t="shared" si="7"/>
        <v>53A Bråån, vid golfbana, uppströms Eslövsbäcken</v>
      </c>
      <c r="B117" t="e">
        <f t="shared" si="8"/>
        <v>#VALUE!</v>
      </c>
      <c r="C117">
        <v>21</v>
      </c>
      <c r="D117" t="s">
        <v>261</v>
      </c>
      <c r="E117" s="216" t="s">
        <v>18</v>
      </c>
      <c r="F117" t="s">
        <v>18</v>
      </c>
      <c r="G117" t="s">
        <v>18</v>
      </c>
      <c r="H117" t="s">
        <v>18</v>
      </c>
      <c r="I117" t="s">
        <v>18</v>
      </c>
      <c r="J117" t="s">
        <v>18</v>
      </c>
      <c r="K117" t="s">
        <v>18</v>
      </c>
      <c r="L117" t="s">
        <v>18</v>
      </c>
      <c r="M117" t="s">
        <v>18</v>
      </c>
      <c r="N117" t="s">
        <v>18</v>
      </c>
      <c r="O117" t="s">
        <v>18</v>
      </c>
      <c r="P117" t="s">
        <v>18</v>
      </c>
      <c r="Q117" t="s">
        <v>18</v>
      </c>
      <c r="R117" t="s">
        <v>18</v>
      </c>
      <c r="S117" t="s">
        <v>18</v>
      </c>
      <c r="T117" t="s">
        <v>18</v>
      </c>
    </row>
    <row r="118" spans="1:20">
      <c r="A118" t="str">
        <f t="shared" si="7"/>
        <v>53A Bråån, vid golfbana, uppströms Eslövsbäcken</v>
      </c>
      <c r="B118" t="e">
        <f t="shared" si="8"/>
        <v>#VALUE!</v>
      </c>
      <c r="C118">
        <v>21</v>
      </c>
      <c r="D118" t="s">
        <v>261</v>
      </c>
      <c r="E118" s="216" t="s">
        <v>18</v>
      </c>
      <c r="F118" t="s">
        <v>18</v>
      </c>
      <c r="G118" t="s">
        <v>18</v>
      </c>
      <c r="H118" t="s">
        <v>18</v>
      </c>
      <c r="I118" t="s">
        <v>18</v>
      </c>
      <c r="J118" t="s">
        <v>18</v>
      </c>
      <c r="K118" t="s">
        <v>18</v>
      </c>
      <c r="L118" t="s">
        <v>18</v>
      </c>
      <c r="M118" t="s">
        <v>18</v>
      </c>
      <c r="N118" t="s">
        <v>18</v>
      </c>
      <c r="O118" t="s">
        <v>18</v>
      </c>
      <c r="P118" t="s">
        <v>18</v>
      </c>
      <c r="Q118" t="s">
        <v>18</v>
      </c>
      <c r="R118" t="s">
        <v>18</v>
      </c>
      <c r="S118" t="s">
        <v>18</v>
      </c>
      <c r="T118" t="s">
        <v>18</v>
      </c>
    </row>
    <row r="119" spans="1:20">
      <c r="A119" t="str">
        <f t="shared" si="7"/>
        <v>53A Bråån, vid golfbana, uppströms Eslövsbäcken</v>
      </c>
      <c r="B119" t="e">
        <f t="shared" si="8"/>
        <v>#VALUE!</v>
      </c>
      <c r="C119">
        <v>21</v>
      </c>
      <c r="D119" t="s">
        <v>261</v>
      </c>
      <c r="E119" s="216" t="s">
        <v>18</v>
      </c>
      <c r="F119" t="s">
        <v>18</v>
      </c>
      <c r="G119" t="s">
        <v>18</v>
      </c>
      <c r="H119" t="s">
        <v>18</v>
      </c>
      <c r="I119" t="s">
        <v>18</v>
      </c>
      <c r="J119" t="s">
        <v>18</v>
      </c>
      <c r="K119" t="s">
        <v>18</v>
      </c>
      <c r="L119" t="s">
        <v>18</v>
      </c>
      <c r="M119" t="s">
        <v>18</v>
      </c>
      <c r="N119" t="s">
        <v>18</v>
      </c>
      <c r="O119" t="s">
        <v>18</v>
      </c>
      <c r="P119" t="s">
        <v>18</v>
      </c>
      <c r="Q119" t="s">
        <v>18</v>
      </c>
      <c r="R119" t="s">
        <v>18</v>
      </c>
      <c r="S119" t="s">
        <v>18</v>
      </c>
      <c r="T119" t="s">
        <v>18</v>
      </c>
    </row>
    <row r="120" spans="1:20">
      <c r="A120" t="str">
        <f t="shared" si="7"/>
        <v>53A Bråån, vid golfbana, uppströms Eslövsbäcken</v>
      </c>
      <c r="B120" t="e">
        <f t="shared" si="8"/>
        <v>#VALUE!</v>
      </c>
      <c r="C120">
        <v>21</v>
      </c>
      <c r="D120" t="s">
        <v>261</v>
      </c>
      <c r="E120" s="216" t="s">
        <v>18</v>
      </c>
      <c r="F120" t="s">
        <v>18</v>
      </c>
      <c r="G120" t="s">
        <v>18</v>
      </c>
      <c r="H120" t="s">
        <v>18</v>
      </c>
      <c r="I120" t="s">
        <v>18</v>
      </c>
      <c r="J120" t="s">
        <v>18</v>
      </c>
      <c r="K120" t="s">
        <v>18</v>
      </c>
      <c r="L120" t="s">
        <v>18</v>
      </c>
      <c r="M120" t="s">
        <v>18</v>
      </c>
      <c r="N120" t="s">
        <v>18</v>
      </c>
      <c r="O120" t="s">
        <v>18</v>
      </c>
      <c r="P120" t="s">
        <v>18</v>
      </c>
      <c r="Q120" t="s">
        <v>18</v>
      </c>
      <c r="R120" t="s">
        <v>18</v>
      </c>
      <c r="S120" t="s">
        <v>18</v>
      </c>
      <c r="T120" t="s">
        <v>18</v>
      </c>
    </row>
    <row r="121" spans="1:20">
      <c r="A121" t="str">
        <f t="shared" si="7"/>
        <v>53A Bråån, vid golfbana, uppströms Eslövsbäcken</v>
      </c>
      <c r="B121" t="e">
        <f t="shared" si="8"/>
        <v>#VALUE!</v>
      </c>
      <c r="C121">
        <v>21</v>
      </c>
      <c r="D121" t="s">
        <v>261</v>
      </c>
      <c r="E121" s="216" t="s">
        <v>18</v>
      </c>
      <c r="F121" t="s">
        <v>18</v>
      </c>
      <c r="G121" t="s">
        <v>18</v>
      </c>
      <c r="H121" t="s">
        <v>18</v>
      </c>
      <c r="I121" t="s">
        <v>18</v>
      </c>
      <c r="J121" t="s">
        <v>18</v>
      </c>
      <c r="K121" t="s">
        <v>18</v>
      </c>
      <c r="L121" t="s">
        <v>18</v>
      </c>
      <c r="M121" t="s">
        <v>18</v>
      </c>
      <c r="N121" t="s">
        <v>18</v>
      </c>
      <c r="O121" t="s">
        <v>18</v>
      </c>
      <c r="P121" t="s">
        <v>18</v>
      </c>
      <c r="Q121" t="s">
        <v>18</v>
      </c>
      <c r="R121" t="s">
        <v>18</v>
      </c>
      <c r="S121" t="s">
        <v>18</v>
      </c>
      <c r="T121" t="s">
        <v>18</v>
      </c>
    </row>
    <row r="122" spans="1:20">
      <c r="A122" t="str">
        <f t="shared" si="7"/>
        <v>53A Bråån, vid golfbana, uppströms Eslövsbäcken2025-05-13</v>
      </c>
      <c r="B122" t="str">
        <f t="shared" si="8"/>
        <v>53A Bråån, vid  golfbana, uppströms Eslövsbäcken5</v>
      </c>
      <c r="C122">
        <v>21</v>
      </c>
      <c r="D122" t="s">
        <v>261</v>
      </c>
      <c r="E122" s="216" t="s">
        <v>435</v>
      </c>
      <c r="F122">
        <v>13.8</v>
      </c>
      <c r="G122">
        <v>11.59</v>
      </c>
      <c r="H122">
        <v>112</v>
      </c>
      <c r="I122">
        <v>8.1999999999999993</v>
      </c>
      <c r="J122">
        <v>1.7</v>
      </c>
      <c r="K122">
        <v>52.1</v>
      </c>
      <c r="L122">
        <v>1.9</v>
      </c>
      <c r="M122">
        <v>37</v>
      </c>
      <c r="N122">
        <v>79</v>
      </c>
      <c r="O122">
        <v>1500</v>
      </c>
      <c r="P122">
        <v>32</v>
      </c>
      <c r="Q122">
        <v>2200</v>
      </c>
      <c r="R122" t="s">
        <v>18</v>
      </c>
      <c r="S122" t="s">
        <v>18</v>
      </c>
      <c r="T122" t="s">
        <v>18</v>
      </c>
    </row>
    <row r="123" spans="1:20">
      <c r="A123" t="str">
        <f t="shared" si="7"/>
        <v>32 Bråån, vid Högseröds kyrka45671</v>
      </c>
      <c r="B123" t="str">
        <f t="shared" si="8"/>
        <v>32  Bråån, vid Högseröds kyrka1</v>
      </c>
      <c r="C123">
        <v>22</v>
      </c>
      <c r="D123" t="s">
        <v>268</v>
      </c>
      <c r="E123" s="216">
        <v>45671</v>
      </c>
      <c r="F123">
        <v>2.8</v>
      </c>
      <c r="G123">
        <v>13.16</v>
      </c>
      <c r="H123">
        <v>97</v>
      </c>
      <c r="I123">
        <v>7.9</v>
      </c>
      <c r="J123">
        <v>6.6</v>
      </c>
      <c r="K123">
        <v>40.9</v>
      </c>
      <c r="L123">
        <v>1.4</v>
      </c>
      <c r="M123">
        <v>36</v>
      </c>
      <c r="N123">
        <v>82</v>
      </c>
      <c r="O123">
        <v>6000</v>
      </c>
      <c r="P123">
        <v>82</v>
      </c>
      <c r="Q123">
        <v>6500</v>
      </c>
      <c r="R123" t="s">
        <v>18</v>
      </c>
      <c r="S123" t="s">
        <v>18</v>
      </c>
      <c r="T123" t="s">
        <v>18</v>
      </c>
    </row>
    <row r="124" spans="1:20">
      <c r="A124" t="str">
        <f t="shared" si="7"/>
        <v>32 Bråån, vid Högseröds kyrka45734</v>
      </c>
      <c r="B124" t="str">
        <f t="shared" si="8"/>
        <v>32  Bråån, vid Högseröds kyrka3</v>
      </c>
      <c r="C124">
        <v>22</v>
      </c>
      <c r="D124" t="s">
        <v>268</v>
      </c>
      <c r="E124" s="216">
        <v>45734</v>
      </c>
      <c r="F124">
        <v>3</v>
      </c>
      <c r="G124">
        <v>14.05</v>
      </c>
      <c r="H124">
        <v>104</v>
      </c>
      <c r="I124">
        <v>8.1</v>
      </c>
      <c r="J124">
        <v>1.9</v>
      </c>
      <c r="K124">
        <v>39.200000000000003</v>
      </c>
      <c r="L124">
        <v>1.6</v>
      </c>
      <c r="M124">
        <v>21</v>
      </c>
      <c r="N124">
        <v>40</v>
      </c>
      <c r="O124">
        <v>3600</v>
      </c>
      <c r="P124" t="s">
        <v>148</v>
      </c>
      <c r="Q124">
        <v>3600</v>
      </c>
      <c r="R124" t="s">
        <v>18</v>
      </c>
      <c r="S124" t="s">
        <v>18</v>
      </c>
      <c r="T124" t="s">
        <v>18</v>
      </c>
    </row>
    <row r="125" spans="1:20">
      <c r="A125" t="str">
        <f t="shared" si="7"/>
        <v>32 Bråån, vid Högseröds kyrka45848</v>
      </c>
      <c r="B125" t="str">
        <f t="shared" si="8"/>
        <v>32  Bråån, vid Högseröds kyrka7</v>
      </c>
      <c r="C125">
        <v>22</v>
      </c>
      <c r="D125" t="s">
        <v>268</v>
      </c>
      <c r="E125" s="216">
        <v>45848</v>
      </c>
      <c r="F125">
        <v>17.2</v>
      </c>
      <c r="G125">
        <v>7.69</v>
      </c>
      <c r="H125">
        <v>80</v>
      </c>
      <c r="I125">
        <v>7.9</v>
      </c>
      <c r="J125">
        <v>1.5</v>
      </c>
      <c r="K125">
        <v>41.6</v>
      </c>
      <c r="L125">
        <v>1.2</v>
      </c>
      <c r="M125">
        <v>110</v>
      </c>
      <c r="N125">
        <v>150</v>
      </c>
      <c r="O125">
        <v>880</v>
      </c>
      <c r="P125">
        <v>32</v>
      </c>
      <c r="Q125">
        <v>1400</v>
      </c>
      <c r="R125" t="s">
        <v>18</v>
      </c>
      <c r="S125" t="s">
        <v>18</v>
      </c>
      <c r="T125" t="s">
        <v>18</v>
      </c>
    </row>
    <row r="126" spans="1:20">
      <c r="A126" t="str">
        <f t="shared" si="7"/>
        <v>32 Bråån, vid Högseröds kyrka</v>
      </c>
      <c r="B126" t="e">
        <f t="shared" si="8"/>
        <v>#VALUE!</v>
      </c>
      <c r="C126">
        <v>22</v>
      </c>
      <c r="D126" t="s">
        <v>268</v>
      </c>
      <c r="E126" s="216" t="s">
        <v>18</v>
      </c>
      <c r="F126" t="s">
        <v>18</v>
      </c>
      <c r="G126" t="s">
        <v>18</v>
      </c>
      <c r="H126" t="s">
        <v>18</v>
      </c>
      <c r="I126" t="s">
        <v>18</v>
      </c>
      <c r="J126" t="s">
        <v>18</v>
      </c>
      <c r="K126" t="s">
        <v>18</v>
      </c>
      <c r="L126" t="s">
        <v>18</v>
      </c>
      <c r="M126" t="s">
        <v>18</v>
      </c>
      <c r="N126" t="s">
        <v>18</v>
      </c>
      <c r="O126" t="s">
        <v>18</v>
      </c>
      <c r="P126" t="s">
        <v>18</v>
      </c>
      <c r="Q126" t="s">
        <v>18</v>
      </c>
      <c r="R126" t="s">
        <v>18</v>
      </c>
      <c r="S126" t="s">
        <v>18</v>
      </c>
      <c r="T126" t="s">
        <v>18</v>
      </c>
    </row>
    <row r="127" spans="1:20">
      <c r="A127" t="str">
        <f t="shared" si="7"/>
        <v>32 Bråån, vid Högseröds kyrka</v>
      </c>
      <c r="B127" t="e">
        <f t="shared" si="8"/>
        <v>#VALUE!</v>
      </c>
      <c r="C127">
        <v>22</v>
      </c>
      <c r="D127" t="s">
        <v>268</v>
      </c>
      <c r="E127" s="216" t="s">
        <v>18</v>
      </c>
      <c r="F127" t="s">
        <v>18</v>
      </c>
      <c r="G127" t="s">
        <v>18</v>
      </c>
      <c r="H127" t="s">
        <v>18</v>
      </c>
      <c r="I127" t="s">
        <v>18</v>
      </c>
      <c r="J127" t="s">
        <v>18</v>
      </c>
      <c r="K127" t="s">
        <v>18</v>
      </c>
      <c r="L127" t="s">
        <v>18</v>
      </c>
      <c r="M127" t="s">
        <v>18</v>
      </c>
      <c r="N127" t="s">
        <v>18</v>
      </c>
      <c r="O127" t="s">
        <v>18</v>
      </c>
      <c r="P127" t="s">
        <v>18</v>
      </c>
      <c r="Q127" t="s">
        <v>18</v>
      </c>
      <c r="R127" t="s">
        <v>18</v>
      </c>
      <c r="S127" t="s">
        <v>18</v>
      </c>
      <c r="T127" t="s">
        <v>18</v>
      </c>
    </row>
    <row r="128" spans="1:20">
      <c r="A128" t="str">
        <f t="shared" si="7"/>
        <v>32 Bråån, vid Högseröds kyrka2025-05-13</v>
      </c>
      <c r="B128" t="str">
        <f t="shared" si="8"/>
        <v>32  Bråån, vid Högseröds kyrka5</v>
      </c>
      <c r="C128">
        <v>22</v>
      </c>
      <c r="D128" t="s">
        <v>268</v>
      </c>
      <c r="E128" s="216" t="s">
        <v>435</v>
      </c>
      <c r="F128">
        <v>13.1</v>
      </c>
      <c r="G128">
        <v>10.73</v>
      </c>
      <c r="H128">
        <v>102</v>
      </c>
      <c r="I128">
        <v>8.1</v>
      </c>
      <c r="J128">
        <v>1.3</v>
      </c>
      <c r="K128">
        <v>42.8</v>
      </c>
      <c r="L128">
        <v>1.7</v>
      </c>
      <c r="M128">
        <v>25</v>
      </c>
      <c r="N128">
        <v>59</v>
      </c>
      <c r="O128">
        <v>1100</v>
      </c>
      <c r="P128">
        <v>26</v>
      </c>
      <c r="Q128">
        <v>1800</v>
      </c>
      <c r="R128" t="s">
        <v>18</v>
      </c>
      <c r="S128" t="s">
        <v>18</v>
      </c>
      <c r="T128" t="s">
        <v>18</v>
      </c>
    </row>
    <row r="129" spans="1:20">
      <c r="A129" t="str">
        <f t="shared" si="7"/>
        <v>33 Sularpsbäcken, nedströms S Sandbys ARV45671</v>
      </c>
      <c r="B129" t="str">
        <f t="shared" si="8"/>
        <v>33  Sularpsbäcken, nedströms S Sandbys ARV1</v>
      </c>
      <c r="C129">
        <v>23</v>
      </c>
      <c r="D129" t="s">
        <v>297</v>
      </c>
      <c r="E129" s="216">
        <v>45671</v>
      </c>
      <c r="F129">
        <v>3.7</v>
      </c>
      <c r="G129">
        <v>12.54</v>
      </c>
      <c r="H129">
        <v>95</v>
      </c>
      <c r="I129">
        <v>7.9</v>
      </c>
      <c r="J129">
        <v>17</v>
      </c>
      <c r="K129">
        <v>66.599999999999994</v>
      </c>
      <c r="L129">
        <v>2</v>
      </c>
      <c r="M129">
        <v>18</v>
      </c>
      <c r="N129">
        <v>71</v>
      </c>
      <c r="O129">
        <v>6400</v>
      </c>
      <c r="P129">
        <v>220</v>
      </c>
      <c r="Q129">
        <v>7100</v>
      </c>
      <c r="R129" t="s">
        <v>18</v>
      </c>
      <c r="S129" t="s">
        <v>18</v>
      </c>
      <c r="T129" t="s">
        <v>18</v>
      </c>
    </row>
    <row r="130" spans="1:20">
      <c r="A130" t="str">
        <f t="shared" si="7"/>
        <v>33 Sularpsbäcken, nedströms S Sandbys ARV45734</v>
      </c>
      <c r="B130" t="str">
        <f t="shared" si="8"/>
        <v>33  Sularpsbäcken, nedströms S Sandbys ARV3</v>
      </c>
      <c r="C130">
        <v>23</v>
      </c>
      <c r="D130" t="s">
        <v>297</v>
      </c>
      <c r="E130" s="216">
        <v>45734</v>
      </c>
      <c r="F130">
        <v>5.7</v>
      </c>
      <c r="G130">
        <v>15.4</v>
      </c>
      <c r="H130">
        <v>123</v>
      </c>
      <c r="I130">
        <v>8.1999999999999993</v>
      </c>
      <c r="J130">
        <v>2.4</v>
      </c>
      <c r="K130">
        <v>62.5</v>
      </c>
      <c r="L130">
        <v>2</v>
      </c>
      <c r="M130">
        <v>14</v>
      </c>
      <c r="N130">
        <v>37</v>
      </c>
      <c r="O130">
        <v>4400</v>
      </c>
      <c r="P130">
        <v>49</v>
      </c>
      <c r="Q130">
        <v>4700</v>
      </c>
      <c r="R130" t="s">
        <v>18</v>
      </c>
      <c r="S130" t="s">
        <v>18</v>
      </c>
      <c r="T130" t="s">
        <v>18</v>
      </c>
    </row>
    <row r="131" spans="1:20">
      <c r="A131" t="str">
        <f t="shared" si="7"/>
        <v>33 Sularpsbäcken, nedströms S Sandbys ARV45848</v>
      </c>
      <c r="B131" t="str">
        <f t="shared" si="8"/>
        <v>33  Sularpsbäcken, nedströms S Sandbys ARV7</v>
      </c>
      <c r="C131">
        <v>23</v>
      </c>
      <c r="D131" t="s">
        <v>297</v>
      </c>
      <c r="E131" s="216">
        <v>45848</v>
      </c>
      <c r="F131">
        <v>19.2</v>
      </c>
      <c r="G131">
        <v>8.02</v>
      </c>
      <c r="H131">
        <v>87</v>
      </c>
      <c r="I131">
        <v>7.7</v>
      </c>
      <c r="J131">
        <v>9</v>
      </c>
      <c r="K131">
        <v>55</v>
      </c>
      <c r="L131">
        <v>1.9</v>
      </c>
      <c r="M131">
        <v>45</v>
      </c>
      <c r="N131">
        <v>86</v>
      </c>
      <c r="O131">
        <v>2500</v>
      </c>
      <c r="P131">
        <v>100</v>
      </c>
      <c r="Q131">
        <v>3000</v>
      </c>
      <c r="R131" t="s">
        <v>18</v>
      </c>
      <c r="S131" t="s">
        <v>18</v>
      </c>
      <c r="T131" t="s">
        <v>18</v>
      </c>
    </row>
    <row r="132" spans="1:20">
      <c r="A132" t="str">
        <f t="shared" si="7"/>
        <v>33 Sularpsbäcken, nedströms S Sandbys ARV</v>
      </c>
      <c r="B132" t="e">
        <f t="shared" si="8"/>
        <v>#VALUE!</v>
      </c>
      <c r="C132">
        <v>23</v>
      </c>
      <c r="D132" t="s">
        <v>297</v>
      </c>
      <c r="E132" s="216" t="s">
        <v>18</v>
      </c>
      <c r="F132" t="s">
        <v>18</v>
      </c>
      <c r="G132" t="s">
        <v>18</v>
      </c>
      <c r="H132" t="s">
        <v>18</v>
      </c>
      <c r="I132" t="s">
        <v>18</v>
      </c>
      <c r="J132" t="s">
        <v>18</v>
      </c>
      <c r="K132" t="s">
        <v>18</v>
      </c>
      <c r="L132" t="s">
        <v>18</v>
      </c>
      <c r="M132" t="s">
        <v>18</v>
      </c>
      <c r="N132" t="s">
        <v>18</v>
      </c>
      <c r="O132" t="s">
        <v>18</v>
      </c>
      <c r="P132" t="s">
        <v>18</v>
      </c>
      <c r="Q132" t="s">
        <v>18</v>
      </c>
      <c r="R132" t="s">
        <v>18</v>
      </c>
      <c r="S132" t="s">
        <v>18</v>
      </c>
      <c r="T132" t="s">
        <v>18</v>
      </c>
    </row>
    <row r="133" spans="1:20">
      <c r="A133" t="str">
        <f t="shared" si="7"/>
        <v>33 Sularpsbäcken, nedströms S Sandbys ARV</v>
      </c>
      <c r="B133" t="e">
        <f t="shared" si="8"/>
        <v>#VALUE!</v>
      </c>
      <c r="C133">
        <v>23</v>
      </c>
      <c r="D133" t="s">
        <v>297</v>
      </c>
      <c r="E133" s="216" t="s">
        <v>18</v>
      </c>
      <c r="F133" t="s">
        <v>18</v>
      </c>
      <c r="G133" t="s">
        <v>18</v>
      </c>
      <c r="H133" t="s">
        <v>18</v>
      </c>
      <c r="I133" t="s">
        <v>18</v>
      </c>
      <c r="J133" t="s">
        <v>18</v>
      </c>
      <c r="K133" t="s">
        <v>18</v>
      </c>
      <c r="L133" t="s">
        <v>18</v>
      </c>
      <c r="M133" t="s">
        <v>18</v>
      </c>
      <c r="N133" t="s">
        <v>18</v>
      </c>
      <c r="O133" t="s">
        <v>18</v>
      </c>
      <c r="P133" t="s">
        <v>18</v>
      </c>
      <c r="Q133" t="s">
        <v>18</v>
      </c>
      <c r="R133" t="s">
        <v>18</v>
      </c>
      <c r="S133" t="s">
        <v>18</v>
      </c>
      <c r="T133" t="s">
        <v>18</v>
      </c>
    </row>
    <row r="134" spans="1:20">
      <c r="A134" t="str">
        <f t="shared" si="7"/>
        <v>33 Sularpsbäcken, nedströms S Sandbys ARV2025-05-13</v>
      </c>
      <c r="B134" t="str">
        <f t="shared" si="8"/>
        <v>33  Sularpsbäcken, nedströms S Sandbys ARV5</v>
      </c>
      <c r="C134">
        <v>23</v>
      </c>
      <c r="D134" t="s">
        <v>297</v>
      </c>
      <c r="E134" s="216" t="s">
        <v>435</v>
      </c>
      <c r="F134">
        <v>15.5</v>
      </c>
      <c r="G134">
        <v>11.5</v>
      </c>
      <c r="H134">
        <v>116</v>
      </c>
      <c r="I134">
        <v>8</v>
      </c>
      <c r="J134">
        <v>3.8</v>
      </c>
      <c r="K134">
        <v>68.099999999999994</v>
      </c>
      <c r="L134">
        <v>2.2999999999999998</v>
      </c>
      <c r="M134">
        <v>29</v>
      </c>
      <c r="N134">
        <v>130</v>
      </c>
      <c r="O134">
        <v>4000</v>
      </c>
      <c r="P134">
        <v>91</v>
      </c>
      <c r="Q134">
        <v>4500</v>
      </c>
      <c r="R134" t="s">
        <v>18</v>
      </c>
      <c r="S134" t="s">
        <v>18</v>
      </c>
      <c r="T134" t="s">
        <v>18</v>
      </c>
    </row>
    <row r="135" spans="1:20">
      <c r="A135" t="str">
        <f t="shared" si="7"/>
        <v>33A Sularpsbäcekn, uppströms S Sandbys ARV45671</v>
      </c>
      <c r="B135" t="str">
        <f t="shared" si="8"/>
        <v>33A Sularpsbäcekn, uppströms S Sandbys ARV1</v>
      </c>
      <c r="C135">
        <v>24</v>
      </c>
      <c r="D135" t="s">
        <v>269</v>
      </c>
      <c r="E135" s="216">
        <v>45671</v>
      </c>
      <c r="F135">
        <v>3.7</v>
      </c>
      <c r="G135">
        <v>12.92</v>
      </c>
      <c r="H135">
        <v>98</v>
      </c>
      <c r="I135">
        <v>8</v>
      </c>
      <c r="J135">
        <v>14</v>
      </c>
      <c r="K135">
        <v>60.1</v>
      </c>
      <c r="L135">
        <v>1.7</v>
      </c>
      <c r="M135">
        <v>20</v>
      </c>
      <c r="N135">
        <v>52</v>
      </c>
      <c r="O135">
        <v>5600</v>
      </c>
      <c r="P135">
        <v>200</v>
      </c>
      <c r="Q135">
        <v>6200</v>
      </c>
      <c r="R135" t="s">
        <v>18</v>
      </c>
      <c r="S135" t="s">
        <v>18</v>
      </c>
      <c r="T135" t="s">
        <v>18</v>
      </c>
    </row>
    <row r="136" spans="1:20">
      <c r="A136" t="str">
        <f t="shared" si="7"/>
        <v>33A Sularpsbäcekn, uppströms S Sandbys ARV45734</v>
      </c>
      <c r="B136" t="str">
        <f t="shared" si="8"/>
        <v>33A Sularpsbäcekn, uppströms S Sandbys ARV3</v>
      </c>
      <c r="C136">
        <v>24</v>
      </c>
      <c r="D136" t="s">
        <v>269</v>
      </c>
      <c r="E136" s="216">
        <v>45734</v>
      </c>
      <c r="F136">
        <v>4.3</v>
      </c>
      <c r="G136">
        <v>16.57</v>
      </c>
      <c r="H136">
        <v>128</v>
      </c>
      <c r="I136">
        <v>8.4</v>
      </c>
      <c r="J136">
        <v>1.8</v>
      </c>
      <c r="K136">
        <v>60.7</v>
      </c>
      <c r="L136">
        <v>1.8</v>
      </c>
      <c r="M136">
        <v>8.1</v>
      </c>
      <c r="N136">
        <v>26</v>
      </c>
      <c r="O136">
        <v>2800</v>
      </c>
      <c r="P136" t="s">
        <v>148</v>
      </c>
      <c r="Q136">
        <v>3000</v>
      </c>
      <c r="R136" t="s">
        <v>18</v>
      </c>
      <c r="S136" t="s">
        <v>18</v>
      </c>
      <c r="T136" t="s">
        <v>18</v>
      </c>
    </row>
    <row r="137" spans="1:20">
      <c r="A137" t="str">
        <f t="shared" si="7"/>
        <v>33A Sularpsbäcekn, uppströms S Sandbys ARV45848</v>
      </c>
      <c r="B137" t="str">
        <f t="shared" si="8"/>
        <v>33A Sularpsbäcekn, uppströms S Sandbys ARV7</v>
      </c>
      <c r="C137">
        <v>24</v>
      </c>
      <c r="D137" t="s">
        <v>269</v>
      </c>
      <c r="E137" s="216">
        <v>45848</v>
      </c>
      <c r="F137">
        <v>18.2</v>
      </c>
      <c r="G137">
        <v>8.02</v>
      </c>
      <c r="H137">
        <v>85</v>
      </c>
      <c r="I137">
        <v>7.8</v>
      </c>
      <c r="J137">
        <v>12</v>
      </c>
      <c r="K137">
        <v>53.6</v>
      </c>
      <c r="L137">
        <v>1.5</v>
      </c>
      <c r="M137">
        <v>49</v>
      </c>
      <c r="N137">
        <v>110</v>
      </c>
      <c r="O137">
        <v>1100</v>
      </c>
      <c r="P137">
        <v>56</v>
      </c>
      <c r="Q137">
        <v>1400</v>
      </c>
      <c r="R137" t="s">
        <v>18</v>
      </c>
      <c r="S137" t="s">
        <v>18</v>
      </c>
      <c r="T137" t="s">
        <v>18</v>
      </c>
    </row>
    <row r="138" spans="1:20">
      <c r="A138" t="str">
        <f t="shared" si="7"/>
        <v>33A Sularpsbäcekn, uppströms S Sandbys ARV</v>
      </c>
      <c r="B138" t="e">
        <f t="shared" si="8"/>
        <v>#VALUE!</v>
      </c>
      <c r="C138">
        <v>24</v>
      </c>
      <c r="D138" t="s">
        <v>269</v>
      </c>
      <c r="E138" s="216" t="s">
        <v>18</v>
      </c>
      <c r="F138" t="s">
        <v>18</v>
      </c>
      <c r="G138" t="s">
        <v>18</v>
      </c>
      <c r="H138" t="s">
        <v>18</v>
      </c>
      <c r="I138" t="s">
        <v>18</v>
      </c>
      <c r="J138" t="s">
        <v>18</v>
      </c>
      <c r="K138" t="s">
        <v>18</v>
      </c>
      <c r="L138" t="s">
        <v>18</v>
      </c>
      <c r="M138" t="s">
        <v>18</v>
      </c>
      <c r="N138" t="s">
        <v>18</v>
      </c>
      <c r="O138" t="s">
        <v>18</v>
      </c>
      <c r="P138" t="s">
        <v>18</v>
      </c>
      <c r="Q138" t="s">
        <v>18</v>
      </c>
      <c r="R138" t="s">
        <v>18</v>
      </c>
      <c r="S138" t="s">
        <v>18</v>
      </c>
      <c r="T138" t="s">
        <v>18</v>
      </c>
    </row>
    <row r="139" spans="1:20">
      <c r="A139" t="str">
        <f t="shared" si="7"/>
        <v>33A Sularpsbäcekn, uppströms S Sandbys ARV</v>
      </c>
      <c r="B139" t="e">
        <f t="shared" si="8"/>
        <v>#VALUE!</v>
      </c>
      <c r="C139">
        <v>24</v>
      </c>
      <c r="D139" t="s">
        <v>269</v>
      </c>
      <c r="E139" s="216" t="s">
        <v>18</v>
      </c>
      <c r="F139" t="s">
        <v>18</v>
      </c>
      <c r="G139" t="s">
        <v>18</v>
      </c>
      <c r="H139" t="s">
        <v>18</v>
      </c>
      <c r="I139" t="s">
        <v>18</v>
      </c>
      <c r="J139" t="s">
        <v>18</v>
      </c>
      <c r="K139" t="s">
        <v>18</v>
      </c>
      <c r="L139" t="s">
        <v>18</v>
      </c>
      <c r="M139" t="s">
        <v>18</v>
      </c>
      <c r="N139" t="s">
        <v>18</v>
      </c>
      <c r="O139" t="s">
        <v>18</v>
      </c>
      <c r="P139" t="s">
        <v>18</v>
      </c>
      <c r="Q139" t="s">
        <v>18</v>
      </c>
      <c r="R139" t="s">
        <v>18</v>
      </c>
      <c r="S139" t="s">
        <v>18</v>
      </c>
      <c r="T139" t="s">
        <v>18</v>
      </c>
    </row>
    <row r="140" spans="1:20">
      <c r="A140" t="str">
        <f t="shared" si="7"/>
        <v>33A Sularpsbäcekn, uppströms S Sandbys ARV2025-05-13</v>
      </c>
      <c r="B140" t="str">
        <f t="shared" si="8"/>
        <v>33A Sularpsbäcekn, uppströms S Sandbys ARV5</v>
      </c>
      <c r="C140">
        <v>24</v>
      </c>
      <c r="D140" t="s">
        <v>269</v>
      </c>
      <c r="E140" s="216" t="s">
        <v>435</v>
      </c>
      <c r="F140">
        <v>14</v>
      </c>
      <c r="G140">
        <v>12.1</v>
      </c>
      <c r="H140">
        <v>118</v>
      </c>
      <c r="I140">
        <v>8.1999999999999993</v>
      </c>
      <c r="J140">
        <v>3</v>
      </c>
      <c r="K140">
        <v>67.900000000000006</v>
      </c>
      <c r="L140">
        <v>1.6</v>
      </c>
      <c r="M140">
        <v>25</v>
      </c>
      <c r="N140">
        <v>66</v>
      </c>
      <c r="O140">
        <v>1700</v>
      </c>
      <c r="P140" t="s">
        <v>148</v>
      </c>
      <c r="Q140">
        <v>2200</v>
      </c>
      <c r="R140" t="s">
        <v>18</v>
      </c>
      <c r="S140" t="s">
        <v>18</v>
      </c>
      <c r="T140" t="s">
        <v>18</v>
      </c>
    </row>
    <row r="141" spans="1:20">
      <c r="A141" t="str">
        <f t="shared" si="7"/>
        <v>35 Klingavälsån, vid utlopp till Kävlingeån45671</v>
      </c>
      <c r="B141" t="str">
        <f t="shared" si="8"/>
        <v>35  Klingavälsån, vid utlopp till Kävlingeån1</v>
      </c>
      <c r="C141">
        <v>25</v>
      </c>
      <c r="D141" t="s">
        <v>263</v>
      </c>
      <c r="E141" s="216">
        <v>45671</v>
      </c>
      <c r="F141">
        <v>1</v>
      </c>
      <c r="G141">
        <v>12.02</v>
      </c>
      <c r="H141">
        <v>84</v>
      </c>
      <c r="I141">
        <v>7.7</v>
      </c>
      <c r="J141">
        <v>7.8</v>
      </c>
      <c r="K141">
        <v>42.3</v>
      </c>
      <c r="L141">
        <v>1.5</v>
      </c>
      <c r="M141">
        <v>27</v>
      </c>
      <c r="N141">
        <v>66</v>
      </c>
      <c r="O141">
        <v>1600</v>
      </c>
      <c r="P141">
        <v>170</v>
      </c>
      <c r="Q141">
        <v>2300</v>
      </c>
      <c r="R141" t="s">
        <v>18</v>
      </c>
      <c r="S141" t="s">
        <v>18</v>
      </c>
      <c r="T141" t="s">
        <v>18</v>
      </c>
    </row>
    <row r="142" spans="1:20">
      <c r="A142" t="str">
        <f t="shared" si="7"/>
        <v>35 Klingavälsån, vid utlopp till Kävlingeån45706</v>
      </c>
      <c r="B142" t="str">
        <f t="shared" si="8"/>
        <v>35  Klingavälsån, vid utlopp till Kävlingeån2</v>
      </c>
      <c r="C142">
        <v>25</v>
      </c>
      <c r="D142" t="s">
        <v>263</v>
      </c>
      <c r="E142" s="216">
        <v>45706</v>
      </c>
      <c r="F142">
        <v>0.9</v>
      </c>
      <c r="G142">
        <v>13.61</v>
      </c>
      <c r="H142">
        <v>95</v>
      </c>
      <c r="I142">
        <v>7.9</v>
      </c>
      <c r="J142">
        <v>5.5</v>
      </c>
      <c r="K142">
        <v>41.2</v>
      </c>
      <c r="L142">
        <v>1.5</v>
      </c>
      <c r="M142">
        <v>25</v>
      </c>
      <c r="N142">
        <v>63</v>
      </c>
      <c r="O142">
        <v>1100</v>
      </c>
      <c r="P142">
        <v>110</v>
      </c>
      <c r="Q142">
        <v>1900</v>
      </c>
      <c r="R142" t="s">
        <v>18</v>
      </c>
      <c r="S142" t="s">
        <v>18</v>
      </c>
      <c r="T142" t="s">
        <v>18</v>
      </c>
    </row>
    <row r="143" spans="1:20">
      <c r="A143" t="str">
        <f t="shared" si="7"/>
        <v>35 Klingavälsån, vid utlopp till Kävlingeån45728</v>
      </c>
      <c r="B143" t="str">
        <f t="shared" si="8"/>
        <v>35  Klingavälsån, vid utlopp till Kävlingeån3</v>
      </c>
      <c r="C143">
        <v>25</v>
      </c>
      <c r="D143" t="s">
        <v>263</v>
      </c>
      <c r="E143" s="216">
        <v>45728</v>
      </c>
      <c r="F143">
        <v>5.7</v>
      </c>
      <c r="G143">
        <v>12.3</v>
      </c>
      <c r="H143">
        <v>98</v>
      </c>
      <c r="I143">
        <v>8</v>
      </c>
      <c r="J143">
        <v>5.6</v>
      </c>
      <c r="K143">
        <v>42.7</v>
      </c>
      <c r="L143">
        <v>2.7</v>
      </c>
      <c r="M143">
        <v>9.6999999999999993</v>
      </c>
      <c r="N143">
        <v>48</v>
      </c>
      <c r="O143">
        <v>850</v>
      </c>
      <c r="P143">
        <v>27</v>
      </c>
      <c r="Q143">
        <v>1400</v>
      </c>
      <c r="R143" t="s">
        <v>18</v>
      </c>
      <c r="S143" t="s">
        <v>18</v>
      </c>
      <c r="T143" t="s">
        <v>18</v>
      </c>
    </row>
    <row r="144" spans="1:20">
      <c r="A144" t="str">
        <f t="shared" si="7"/>
        <v>35 Klingavälsån, vid utlopp till Kävlingeån45761</v>
      </c>
      <c r="B144" t="str">
        <f t="shared" si="8"/>
        <v>35  Klingavälsån, vid utlopp till Kävlingeån4</v>
      </c>
      <c r="C144">
        <v>25</v>
      </c>
      <c r="D144" t="s">
        <v>263</v>
      </c>
      <c r="E144" s="216">
        <v>45761</v>
      </c>
      <c r="F144">
        <v>11.2</v>
      </c>
      <c r="G144">
        <v>11.58</v>
      </c>
      <c r="H144">
        <v>106</v>
      </c>
      <c r="I144">
        <v>8</v>
      </c>
      <c r="J144">
        <v>4.3</v>
      </c>
      <c r="K144">
        <v>43.1</v>
      </c>
      <c r="L144">
        <v>1.8</v>
      </c>
      <c r="M144">
        <v>16</v>
      </c>
      <c r="N144">
        <v>52</v>
      </c>
      <c r="O144">
        <v>490</v>
      </c>
      <c r="P144">
        <v>31</v>
      </c>
      <c r="Q144">
        <v>1100</v>
      </c>
      <c r="R144" t="s">
        <v>18</v>
      </c>
      <c r="S144" t="s">
        <v>18</v>
      </c>
      <c r="T144" t="s">
        <v>18</v>
      </c>
    </row>
    <row r="145" spans="1:20">
      <c r="A145" t="str">
        <f t="shared" si="7"/>
        <v>35 Klingavälsån, vid utlopp till Kävlingeån45826</v>
      </c>
      <c r="B145" t="str">
        <f t="shared" si="8"/>
        <v>35  Klingavälsån, vid utlopp till Kävlingeån6</v>
      </c>
      <c r="C145">
        <v>25</v>
      </c>
      <c r="D145" t="s">
        <v>263</v>
      </c>
      <c r="E145" s="216">
        <v>45826</v>
      </c>
      <c r="F145">
        <v>19.600000000000001</v>
      </c>
      <c r="G145">
        <v>9.08</v>
      </c>
      <c r="H145">
        <v>99</v>
      </c>
      <c r="I145">
        <v>8</v>
      </c>
      <c r="J145">
        <v>5.5</v>
      </c>
      <c r="K145">
        <v>44.7</v>
      </c>
      <c r="L145">
        <v>1.3</v>
      </c>
      <c r="M145">
        <v>22</v>
      </c>
      <c r="N145">
        <v>55</v>
      </c>
      <c r="O145">
        <v>340</v>
      </c>
      <c r="P145">
        <v>67</v>
      </c>
      <c r="Q145">
        <v>1100</v>
      </c>
      <c r="R145" t="s">
        <v>18</v>
      </c>
      <c r="S145" t="s">
        <v>18</v>
      </c>
      <c r="T145" t="s">
        <v>18</v>
      </c>
    </row>
    <row r="146" spans="1:20">
      <c r="A146" t="str">
        <f t="shared" si="7"/>
        <v>35 Klingavälsån, vid utlopp till Kävlingeån45848</v>
      </c>
      <c r="B146" t="str">
        <f t="shared" si="8"/>
        <v>35  Klingavälsån, vid utlopp till Kävlingeån7</v>
      </c>
      <c r="C146">
        <v>25</v>
      </c>
      <c r="D146" t="s">
        <v>263</v>
      </c>
      <c r="E146" s="216">
        <v>45848</v>
      </c>
      <c r="F146">
        <v>17.899999999999999</v>
      </c>
      <c r="G146">
        <v>8.4700000000000006</v>
      </c>
      <c r="H146">
        <v>89</v>
      </c>
      <c r="I146">
        <v>7.8</v>
      </c>
      <c r="J146">
        <v>3.5</v>
      </c>
      <c r="K146">
        <v>43.1</v>
      </c>
      <c r="L146">
        <v>1.1000000000000001</v>
      </c>
      <c r="M146">
        <v>17</v>
      </c>
      <c r="N146">
        <v>38</v>
      </c>
      <c r="O146">
        <v>170</v>
      </c>
      <c r="P146">
        <v>24</v>
      </c>
      <c r="Q146">
        <v>650</v>
      </c>
      <c r="R146" t="s">
        <v>18</v>
      </c>
      <c r="S146" t="s">
        <v>18</v>
      </c>
      <c r="T146" t="s">
        <v>18</v>
      </c>
    </row>
    <row r="147" spans="1:20">
      <c r="A147" t="str">
        <f t="shared" si="7"/>
        <v>35 Klingavälsån, vid utlopp till Kävlingeån</v>
      </c>
      <c r="B147" t="e">
        <f t="shared" si="8"/>
        <v>#VALUE!</v>
      </c>
      <c r="C147">
        <v>25</v>
      </c>
      <c r="D147" t="s">
        <v>263</v>
      </c>
      <c r="E147" s="216" t="s">
        <v>18</v>
      </c>
      <c r="F147" t="s">
        <v>18</v>
      </c>
      <c r="G147" t="s">
        <v>18</v>
      </c>
      <c r="H147" t="s">
        <v>18</v>
      </c>
      <c r="I147" t="s">
        <v>18</v>
      </c>
      <c r="J147" t="s">
        <v>18</v>
      </c>
      <c r="K147" t="s">
        <v>18</v>
      </c>
      <c r="L147" t="s">
        <v>18</v>
      </c>
      <c r="M147" t="s">
        <v>18</v>
      </c>
      <c r="N147" t="s">
        <v>18</v>
      </c>
      <c r="O147" t="s">
        <v>18</v>
      </c>
      <c r="P147" t="s">
        <v>18</v>
      </c>
      <c r="Q147" t="s">
        <v>18</v>
      </c>
      <c r="R147" t="s">
        <v>18</v>
      </c>
      <c r="S147" t="s">
        <v>18</v>
      </c>
      <c r="T147" t="s">
        <v>18</v>
      </c>
    </row>
    <row r="148" spans="1:20">
      <c r="A148" t="str">
        <f t="shared" si="7"/>
        <v>35 Klingavälsån, vid utlopp till Kävlingeån</v>
      </c>
      <c r="B148" t="e">
        <f t="shared" si="8"/>
        <v>#VALUE!</v>
      </c>
      <c r="C148">
        <v>25</v>
      </c>
      <c r="D148" t="s">
        <v>263</v>
      </c>
      <c r="E148" s="216" t="s">
        <v>18</v>
      </c>
      <c r="F148" t="s">
        <v>18</v>
      </c>
      <c r="G148" t="s">
        <v>18</v>
      </c>
      <c r="H148" t="s">
        <v>18</v>
      </c>
      <c r="I148" t="s">
        <v>18</v>
      </c>
      <c r="J148" t="s">
        <v>18</v>
      </c>
      <c r="K148" t="s">
        <v>18</v>
      </c>
      <c r="L148" t="s">
        <v>18</v>
      </c>
      <c r="M148" t="s">
        <v>18</v>
      </c>
      <c r="N148" t="s">
        <v>18</v>
      </c>
      <c r="O148" t="s">
        <v>18</v>
      </c>
      <c r="P148" t="s">
        <v>18</v>
      </c>
      <c r="Q148" t="s">
        <v>18</v>
      </c>
      <c r="R148" t="s">
        <v>18</v>
      </c>
      <c r="S148" t="s">
        <v>18</v>
      </c>
      <c r="T148" t="s">
        <v>18</v>
      </c>
    </row>
    <row r="149" spans="1:20">
      <c r="A149" t="str">
        <f t="shared" si="7"/>
        <v>35 Klingavälsån, vid utlopp till Kävlingeån</v>
      </c>
      <c r="B149" t="e">
        <f t="shared" si="8"/>
        <v>#VALUE!</v>
      </c>
      <c r="C149">
        <v>25</v>
      </c>
      <c r="D149" t="s">
        <v>263</v>
      </c>
      <c r="E149" s="216" t="s">
        <v>18</v>
      </c>
      <c r="F149" t="s">
        <v>18</v>
      </c>
      <c r="G149" t="s">
        <v>18</v>
      </c>
      <c r="H149" t="s">
        <v>18</v>
      </c>
      <c r="I149" t="s">
        <v>18</v>
      </c>
      <c r="J149" t="s">
        <v>18</v>
      </c>
      <c r="K149" t="s">
        <v>18</v>
      </c>
      <c r="L149" t="s">
        <v>18</v>
      </c>
      <c r="M149" t="s">
        <v>18</v>
      </c>
      <c r="N149" t="s">
        <v>18</v>
      </c>
      <c r="O149" t="s">
        <v>18</v>
      </c>
      <c r="P149" t="s">
        <v>18</v>
      </c>
      <c r="Q149" t="s">
        <v>18</v>
      </c>
      <c r="R149" t="s">
        <v>18</v>
      </c>
      <c r="S149" t="s">
        <v>18</v>
      </c>
      <c r="T149" t="s">
        <v>18</v>
      </c>
    </row>
    <row r="150" spans="1:20">
      <c r="A150" t="str">
        <f t="shared" si="7"/>
        <v>35 Klingavälsån, vid utlopp till Kävlingeån</v>
      </c>
      <c r="B150" t="e">
        <f t="shared" si="8"/>
        <v>#VALUE!</v>
      </c>
      <c r="C150">
        <v>25</v>
      </c>
      <c r="D150" t="s">
        <v>263</v>
      </c>
      <c r="E150" s="216" t="s">
        <v>18</v>
      </c>
      <c r="F150" t="s">
        <v>18</v>
      </c>
      <c r="G150" t="s">
        <v>18</v>
      </c>
      <c r="H150" t="s">
        <v>18</v>
      </c>
      <c r="I150" t="s">
        <v>18</v>
      </c>
      <c r="J150" t="s">
        <v>18</v>
      </c>
      <c r="K150" t="s">
        <v>18</v>
      </c>
      <c r="L150" t="s">
        <v>18</v>
      </c>
      <c r="M150" t="s">
        <v>18</v>
      </c>
      <c r="N150" t="s">
        <v>18</v>
      </c>
      <c r="O150" t="s">
        <v>18</v>
      </c>
      <c r="P150" t="s">
        <v>18</v>
      </c>
      <c r="Q150" t="s">
        <v>18</v>
      </c>
      <c r="R150" t="s">
        <v>18</v>
      </c>
      <c r="S150" t="s">
        <v>18</v>
      </c>
      <c r="T150" t="s">
        <v>18</v>
      </c>
    </row>
    <row r="151" spans="1:20">
      <c r="A151" t="str">
        <f t="shared" si="7"/>
        <v>35 Klingavälsån, vid utlopp till Kävlingeån</v>
      </c>
      <c r="B151" t="e">
        <f t="shared" si="8"/>
        <v>#VALUE!</v>
      </c>
      <c r="C151">
        <v>25</v>
      </c>
      <c r="D151" t="s">
        <v>263</v>
      </c>
      <c r="E151" s="216" t="s">
        <v>18</v>
      </c>
      <c r="F151" t="s">
        <v>18</v>
      </c>
      <c r="G151" t="s">
        <v>18</v>
      </c>
      <c r="H151" t="s">
        <v>18</v>
      </c>
      <c r="I151" t="s">
        <v>18</v>
      </c>
      <c r="J151" t="s">
        <v>18</v>
      </c>
      <c r="K151" t="s">
        <v>18</v>
      </c>
      <c r="L151" t="s">
        <v>18</v>
      </c>
      <c r="M151" t="s">
        <v>18</v>
      </c>
      <c r="N151" t="s">
        <v>18</v>
      </c>
      <c r="O151" t="s">
        <v>18</v>
      </c>
      <c r="P151" t="s">
        <v>18</v>
      </c>
      <c r="Q151" t="s">
        <v>18</v>
      </c>
      <c r="R151" t="s">
        <v>18</v>
      </c>
      <c r="S151" t="s">
        <v>18</v>
      </c>
      <c r="T151" t="s">
        <v>18</v>
      </c>
    </row>
    <row r="152" spans="1:20">
      <c r="A152" t="str">
        <f t="shared" si="7"/>
        <v>35 Klingavälsån, vid utlopp till Kävlingeån2025-05-13</v>
      </c>
      <c r="B152" t="str">
        <f t="shared" si="8"/>
        <v>35  Klingavälsån, vid utlopp till Kävlingeån5</v>
      </c>
      <c r="C152">
        <v>25</v>
      </c>
      <c r="D152" t="s">
        <v>263</v>
      </c>
      <c r="E152" s="216" t="s">
        <v>435</v>
      </c>
      <c r="F152">
        <v>13.1</v>
      </c>
      <c r="G152">
        <v>9.8800000000000008</v>
      </c>
      <c r="H152">
        <v>94</v>
      </c>
      <c r="I152">
        <v>8</v>
      </c>
      <c r="J152">
        <v>3.8</v>
      </c>
      <c r="K152">
        <v>44.1</v>
      </c>
      <c r="L152">
        <v>0.98</v>
      </c>
      <c r="M152">
        <v>15</v>
      </c>
      <c r="N152">
        <v>43</v>
      </c>
      <c r="O152">
        <v>270</v>
      </c>
      <c r="P152">
        <v>28</v>
      </c>
      <c r="Q152">
        <v>930</v>
      </c>
      <c r="R152" t="s">
        <v>18</v>
      </c>
      <c r="S152" t="s">
        <v>18</v>
      </c>
      <c r="T152" t="s">
        <v>18</v>
      </c>
    </row>
    <row r="153" spans="1:20">
      <c r="A153" t="str">
        <f t="shared" si="7"/>
        <v>50 Klingavälsån, vid Sövdesjöns utlopp45671</v>
      </c>
      <c r="B153" t="str">
        <f t="shared" si="8"/>
        <v>50  Klingavälsån, vid Sövdesjöns utlopp1</v>
      </c>
      <c r="C153">
        <v>27</v>
      </c>
      <c r="D153" t="s">
        <v>264</v>
      </c>
      <c r="E153" s="216">
        <v>45671</v>
      </c>
      <c r="F153">
        <v>2.2000000000000002</v>
      </c>
      <c r="G153">
        <v>12.84</v>
      </c>
      <c r="H153">
        <v>93</v>
      </c>
      <c r="I153">
        <v>8.1</v>
      </c>
      <c r="J153">
        <v>1.9</v>
      </c>
      <c r="K153">
        <v>34.9</v>
      </c>
      <c r="L153">
        <v>1.5</v>
      </c>
      <c r="M153">
        <v>31</v>
      </c>
      <c r="N153">
        <v>50</v>
      </c>
      <c r="O153">
        <v>1100</v>
      </c>
      <c r="P153">
        <v>140</v>
      </c>
      <c r="Q153">
        <v>1800</v>
      </c>
      <c r="R153" t="s">
        <v>18</v>
      </c>
      <c r="S153" t="s">
        <v>18</v>
      </c>
      <c r="T153" t="s">
        <v>18</v>
      </c>
    </row>
    <row r="154" spans="1:20">
      <c r="A154" t="str">
        <f t="shared" si="7"/>
        <v>50 Klingavälsån, vid Sövdesjöns utlopp45734</v>
      </c>
      <c r="B154" t="str">
        <f t="shared" si="8"/>
        <v>50  Klingavälsån, vid Sövdesjöns utlopp3</v>
      </c>
      <c r="C154">
        <v>27</v>
      </c>
      <c r="D154" t="s">
        <v>264</v>
      </c>
      <c r="E154" s="216">
        <v>45734</v>
      </c>
      <c r="F154">
        <v>4.7</v>
      </c>
      <c r="G154">
        <v>14.25</v>
      </c>
      <c r="H154">
        <v>111</v>
      </c>
      <c r="I154">
        <v>8.5</v>
      </c>
      <c r="J154">
        <v>1.9</v>
      </c>
      <c r="K154">
        <v>33.799999999999997</v>
      </c>
      <c r="L154">
        <v>3</v>
      </c>
      <c r="M154" t="s">
        <v>149</v>
      </c>
      <c r="N154">
        <v>28</v>
      </c>
      <c r="O154">
        <v>780</v>
      </c>
      <c r="P154">
        <v>16</v>
      </c>
      <c r="Q154">
        <v>1300</v>
      </c>
      <c r="R154" t="s">
        <v>18</v>
      </c>
      <c r="S154" t="s">
        <v>18</v>
      </c>
      <c r="T154" t="s">
        <v>18</v>
      </c>
    </row>
    <row r="155" spans="1:20">
      <c r="A155" t="str">
        <f t="shared" si="7"/>
        <v>50 Klingavälsån, vid Sövdesjöns utlopp45848</v>
      </c>
      <c r="B155" t="str">
        <f t="shared" si="8"/>
        <v>50  Klingavälsån, vid Sövdesjöns utlopp7</v>
      </c>
      <c r="C155">
        <v>27</v>
      </c>
      <c r="D155" t="s">
        <v>264</v>
      </c>
      <c r="E155" s="216">
        <v>45848</v>
      </c>
      <c r="F155">
        <v>20</v>
      </c>
      <c r="G155">
        <v>7.88</v>
      </c>
      <c r="H155">
        <v>87</v>
      </c>
      <c r="I155">
        <v>8.1999999999999993</v>
      </c>
      <c r="J155">
        <v>6.4</v>
      </c>
      <c r="K155">
        <v>35.5</v>
      </c>
      <c r="L155">
        <v>3.6</v>
      </c>
      <c r="M155">
        <v>3.9</v>
      </c>
      <c r="N155">
        <v>66</v>
      </c>
      <c r="O155">
        <v>31</v>
      </c>
      <c r="P155">
        <v>100</v>
      </c>
      <c r="Q155">
        <v>970</v>
      </c>
      <c r="R155" t="s">
        <v>18</v>
      </c>
      <c r="S155" t="s">
        <v>18</v>
      </c>
      <c r="T155" t="s">
        <v>18</v>
      </c>
    </row>
    <row r="156" spans="1:20">
      <c r="A156" t="str">
        <f t="shared" si="7"/>
        <v>50 Klingavälsån, vid Sövdesjöns utlopp</v>
      </c>
      <c r="B156" t="e">
        <f t="shared" si="8"/>
        <v>#VALUE!</v>
      </c>
      <c r="C156">
        <v>27</v>
      </c>
      <c r="D156" t="s">
        <v>264</v>
      </c>
      <c r="E156" s="216" t="s">
        <v>18</v>
      </c>
      <c r="F156" t="s">
        <v>18</v>
      </c>
      <c r="G156" t="s">
        <v>18</v>
      </c>
      <c r="H156" t="s">
        <v>18</v>
      </c>
      <c r="I156" t="s">
        <v>18</v>
      </c>
      <c r="J156" t="s">
        <v>18</v>
      </c>
      <c r="K156" t="s">
        <v>18</v>
      </c>
      <c r="L156" t="s">
        <v>18</v>
      </c>
      <c r="M156" t="s">
        <v>18</v>
      </c>
      <c r="N156" t="s">
        <v>18</v>
      </c>
      <c r="O156" t="s">
        <v>18</v>
      </c>
      <c r="P156" t="s">
        <v>18</v>
      </c>
      <c r="Q156" t="s">
        <v>18</v>
      </c>
      <c r="R156" t="s">
        <v>18</v>
      </c>
      <c r="S156" t="s">
        <v>18</v>
      </c>
      <c r="T156" t="s">
        <v>18</v>
      </c>
    </row>
    <row r="157" spans="1:20">
      <c r="A157" t="str">
        <f t="shared" si="7"/>
        <v>50 Klingavälsån, vid Sövdesjöns utlopp</v>
      </c>
      <c r="B157" t="e">
        <f t="shared" si="8"/>
        <v>#VALUE!</v>
      </c>
      <c r="C157">
        <v>27</v>
      </c>
      <c r="D157" t="s">
        <v>264</v>
      </c>
      <c r="E157" s="216" t="s">
        <v>18</v>
      </c>
      <c r="F157" t="s">
        <v>18</v>
      </c>
      <c r="G157" t="s">
        <v>18</v>
      </c>
      <c r="H157" t="s">
        <v>18</v>
      </c>
      <c r="I157" t="s">
        <v>18</v>
      </c>
      <c r="J157" t="s">
        <v>18</v>
      </c>
      <c r="K157" t="s">
        <v>18</v>
      </c>
      <c r="L157" t="s">
        <v>18</v>
      </c>
      <c r="M157" t="s">
        <v>18</v>
      </c>
      <c r="N157" t="s">
        <v>18</v>
      </c>
      <c r="O157" t="s">
        <v>18</v>
      </c>
      <c r="P157" t="s">
        <v>18</v>
      </c>
      <c r="Q157" t="s">
        <v>18</v>
      </c>
      <c r="R157" t="s">
        <v>18</v>
      </c>
      <c r="S157" t="s">
        <v>18</v>
      </c>
      <c r="T157" t="s">
        <v>18</v>
      </c>
    </row>
    <row r="158" spans="1:20">
      <c r="A158" t="str">
        <f t="shared" si="7"/>
        <v>50 Klingavälsån, vid Sövdesjöns utlopp2025-05-13</v>
      </c>
      <c r="B158" t="str">
        <f t="shared" si="8"/>
        <v>50  Klingavälsån, vid Sövdesjöns utlopp5</v>
      </c>
      <c r="C158">
        <v>27</v>
      </c>
      <c r="D158" t="s">
        <v>264</v>
      </c>
      <c r="E158" s="216" t="s">
        <v>435</v>
      </c>
      <c r="F158">
        <v>15.2</v>
      </c>
      <c r="G158">
        <v>10.3</v>
      </c>
      <c r="H158">
        <v>103</v>
      </c>
      <c r="I158">
        <v>8.1999999999999993</v>
      </c>
      <c r="J158">
        <v>2.8</v>
      </c>
      <c r="K158">
        <v>36.200000000000003</v>
      </c>
      <c r="L158">
        <v>2</v>
      </c>
      <c r="M158">
        <v>6.5</v>
      </c>
      <c r="N158">
        <v>30</v>
      </c>
      <c r="O158">
        <v>57</v>
      </c>
      <c r="P158">
        <v>61</v>
      </c>
      <c r="Q158">
        <v>970</v>
      </c>
      <c r="R158" t="s">
        <v>18</v>
      </c>
      <c r="S158" t="s">
        <v>18</v>
      </c>
      <c r="T158" t="s">
        <v>18</v>
      </c>
    </row>
    <row r="159" spans="1:20">
      <c r="A159" t="str">
        <f t="shared" si="7"/>
        <v>18 Vombsjön, djuphålan, yta45670</v>
      </c>
      <c r="B159" t="str">
        <f t="shared" si="8"/>
        <v>18  Vombsjön, djuphålan, yta1</v>
      </c>
      <c r="C159">
        <v>29</v>
      </c>
      <c r="D159" t="s">
        <v>295</v>
      </c>
      <c r="E159" s="216">
        <v>45670</v>
      </c>
      <c r="F159">
        <v>1.5</v>
      </c>
      <c r="G159">
        <v>13.74</v>
      </c>
      <c r="H159">
        <v>98</v>
      </c>
      <c r="I159">
        <v>8.1999999999999993</v>
      </c>
      <c r="J159">
        <v>6.4</v>
      </c>
      <c r="K159">
        <v>41</v>
      </c>
      <c r="L159" t="s">
        <v>18</v>
      </c>
      <c r="M159">
        <v>44</v>
      </c>
      <c r="N159">
        <v>82</v>
      </c>
      <c r="O159">
        <v>3700</v>
      </c>
      <c r="P159">
        <v>18</v>
      </c>
      <c r="Q159">
        <v>4000</v>
      </c>
      <c r="R159" t="s">
        <v>18</v>
      </c>
      <c r="S159">
        <v>1.5</v>
      </c>
      <c r="T159" t="s">
        <v>424</v>
      </c>
    </row>
    <row r="160" spans="1:20">
      <c r="A160" t="str">
        <f t="shared" si="7"/>
        <v>18 Vombsjön, djuphålan, yta45728</v>
      </c>
      <c r="B160" t="str">
        <f t="shared" si="8"/>
        <v>18  Vombsjön, djuphålan, yta3</v>
      </c>
      <c r="C160">
        <v>29</v>
      </c>
      <c r="D160" t="s">
        <v>295</v>
      </c>
      <c r="E160" s="216">
        <v>45728</v>
      </c>
      <c r="F160">
        <v>4.3</v>
      </c>
      <c r="G160">
        <v>14.6</v>
      </c>
      <c r="H160">
        <v>112</v>
      </c>
      <c r="I160">
        <v>8.4</v>
      </c>
      <c r="J160">
        <v>2.7</v>
      </c>
      <c r="K160">
        <v>42.2</v>
      </c>
      <c r="L160" t="s">
        <v>18</v>
      </c>
      <c r="M160">
        <v>4.8</v>
      </c>
      <c r="N160">
        <v>48</v>
      </c>
      <c r="O160">
        <v>3100</v>
      </c>
      <c r="P160" t="s">
        <v>148</v>
      </c>
      <c r="Q160">
        <v>3700</v>
      </c>
      <c r="R160" t="s">
        <v>18</v>
      </c>
      <c r="S160">
        <v>1.6</v>
      </c>
      <c r="T160" t="s">
        <v>18</v>
      </c>
    </row>
    <row r="161" spans="1:20">
      <c r="A161" t="str">
        <f t="shared" si="7"/>
        <v>18 Vombsjön, djuphålan, yta45761</v>
      </c>
      <c r="B161" t="str">
        <f t="shared" si="8"/>
        <v>18  Vombsjön, djuphålan, yta4</v>
      </c>
      <c r="C161">
        <v>29</v>
      </c>
      <c r="D161" t="s">
        <v>295</v>
      </c>
      <c r="E161" s="216">
        <v>45761</v>
      </c>
      <c r="F161">
        <v>9.4</v>
      </c>
      <c r="G161">
        <v>11.78</v>
      </c>
      <c r="H161">
        <v>103</v>
      </c>
      <c r="I161">
        <v>8.6999999999999993</v>
      </c>
      <c r="J161">
        <v>1.6</v>
      </c>
      <c r="K161">
        <v>41.2</v>
      </c>
      <c r="L161" t="s">
        <v>18</v>
      </c>
      <c r="M161" t="s">
        <v>149</v>
      </c>
      <c r="N161">
        <v>23</v>
      </c>
      <c r="O161">
        <v>2400</v>
      </c>
      <c r="P161">
        <v>52</v>
      </c>
      <c r="Q161">
        <v>2900</v>
      </c>
      <c r="R161">
        <v>2.2999999999999998</v>
      </c>
      <c r="S161">
        <v>3.4</v>
      </c>
      <c r="T161" t="s">
        <v>18</v>
      </c>
    </row>
    <row r="162" spans="1:20">
      <c r="A162" t="str">
        <f t="shared" si="7"/>
        <v>18 Vombsjön, djuphålan, yta</v>
      </c>
      <c r="B162" t="e">
        <f t="shared" si="8"/>
        <v>#VALUE!</v>
      </c>
      <c r="C162">
        <v>29</v>
      </c>
      <c r="D162" t="s">
        <v>295</v>
      </c>
      <c r="E162" s="216" t="s">
        <v>18</v>
      </c>
      <c r="F162" t="s">
        <v>18</v>
      </c>
      <c r="G162" t="s">
        <v>18</v>
      </c>
      <c r="H162" t="s">
        <v>18</v>
      </c>
      <c r="I162" t="s">
        <v>18</v>
      </c>
      <c r="J162" t="s">
        <v>18</v>
      </c>
      <c r="K162" t="s">
        <v>18</v>
      </c>
      <c r="L162" t="s">
        <v>18</v>
      </c>
      <c r="M162" t="s">
        <v>18</v>
      </c>
      <c r="N162" t="s">
        <v>18</v>
      </c>
      <c r="O162" t="s">
        <v>18</v>
      </c>
      <c r="P162" t="s">
        <v>18</v>
      </c>
      <c r="Q162" t="s">
        <v>18</v>
      </c>
      <c r="R162" t="s">
        <v>18</v>
      </c>
      <c r="S162" t="s">
        <v>18</v>
      </c>
      <c r="T162" t="s">
        <v>432</v>
      </c>
    </row>
    <row r="163" spans="1:20">
      <c r="A163" t="str">
        <f t="shared" si="7"/>
        <v>18 Vombsjön, djuphålan, yta</v>
      </c>
      <c r="B163" t="e">
        <f t="shared" si="8"/>
        <v>#VALUE!</v>
      </c>
      <c r="C163">
        <v>29</v>
      </c>
      <c r="D163" t="s">
        <v>295</v>
      </c>
      <c r="E163" s="216" t="s">
        <v>18</v>
      </c>
      <c r="F163" t="s">
        <v>18</v>
      </c>
      <c r="G163" t="s">
        <v>18</v>
      </c>
      <c r="H163" t="s">
        <v>18</v>
      </c>
      <c r="I163" t="s">
        <v>18</v>
      </c>
      <c r="J163" t="s">
        <v>18</v>
      </c>
      <c r="K163" t="s">
        <v>18</v>
      </c>
      <c r="L163" t="s">
        <v>18</v>
      </c>
      <c r="M163" t="s">
        <v>18</v>
      </c>
      <c r="N163" t="s">
        <v>18</v>
      </c>
      <c r="O163" t="s">
        <v>18</v>
      </c>
      <c r="P163" t="s">
        <v>18</v>
      </c>
      <c r="Q163" t="s">
        <v>18</v>
      </c>
      <c r="R163" t="s">
        <v>18</v>
      </c>
      <c r="S163" t="s">
        <v>18</v>
      </c>
      <c r="T163" t="s">
        <v>439</v>
      </c>
    </row>
    <row r="164" spans="1:20">
      <c r="A164" t="str">
        <f t="shared" si="7"/>
        <v>18 Vombsjön, djuphålan, yta</v>
      </c>
      <c r="B164" t="e">
        <f t="shared" si="8"/>
        <v>#VALUE!</v>
      </c>
      <c r="C164">
        <v>29</v>
      </c>
      <c r="D164" t="s">
        <v>295</v>
      </c>
      <c r="E164" s="216" t="s">
        <v>18</v>
      </c>
      <c r="F164" t="s">
        <v>18</v>
      </c>
      <c r="G164" t="s">
        <v>18</v>
      </c>
      <c r="H164" t="s">
        <v>18</v>
      </c>
      <c r="I164" t="s">
        <v>18</v>
      </c>
      <c r="J164" t="s">
        <v>18</v>
      </c>
      <c r="K164" t="s">
        <v>18</v>
      </c>
      <c r="L164" t="s">
        <v>18</v>
      </c>
      <c r="M164" t="s">
        <v>18</v>
      </c>
      <c r="N164" t="s">
        <v>18</v>
      </c>
      <c r="O164" t="s">
        <v>18</v>
      </c>
      <c r="P164" t="s">
        <v>18</v>
      </c>
      <c r="Q164" t="s">
        <v>18</v>
      </c>
      <c r="R164" t="s">
        <v>18</v>
      </c>
      <c r="S164" t="s">
        <v>18</v>
      </c>
      <c r="T164" t="s">
        <v>439</v>
      </c>
    </row>
    <row r="165" spans="1:20">
      <c r="A165" t="str">
        <f t="shared" si="7"/>
        <v>18 Vombsjön, djuphålan, yta</v>
      </c>
      <c r="B165" t="e">
        <f t="shared" si="8"/>
        <v>#VALUE!</v>
      </c>
      <c r="C165">
        <v>29</v>
      </c>
      <c r="D165" t="s">
        <v>295</v>
      </c>
      <c r="E165" s="216" t="s">
        <v>18</v>
      </c>
      <c r="F165" t="s">
        <v>18</v>
      </c>
      <c r="G165" t="s">
        <v>18</v>
      </c>
      <c r="H165" t="s">
        <v>18</v>
      </c>
      <c r="I165" t="s">
        <v>18</v>
      </c>
      <c r="J165" t="s">
        <v>18</v>
      </c>
      <c r="K165" t="s">
        <v>18</v>
      </c>
      <c r="L165" t="s">
        <v>18</v>
      </c>
      <c r="M165" t="s">
        <v>18</v>
      </c>
      <c r="N165" t="s">
        <v>18</v>
      </c>
      <c r="O165" t="s">
        <v>18</v>
      </c>
      <c r="P165" t="s">
        <v>18</v>
      </c>
      <c r="Q165" t="s">
        <v>18</v>
      </c>
      <c r="R165" t="s">
        <v>18</v>
      </c>
      <c r="S165" t="s">
        <v>18</v>
      </c>
      <c r="T165" t="s">
        <v>18</v>
      </c>
    </row>
    <row r="166" spans="1:20">
      <c r="A166" t="str">
        <f t="shared" si="7"/>
        <v>18 Vombsjön, djuphålan, yta</v>
      </c>
      <c r="B166" t="e">
        <f t="shared" si="8"/>
        <v>#VALUE!</v>
      </c>
      <c r="C166">
        <v>29</v>
      </c>
      <c r="D166" t="s">
        <v>295</v>
      </c>
      <c r="E166" s="216" t="s">
        <v>18</v>
      </c>
      <c r="F166" t="s">
        <v>18</v>
      </c>
      <c r="G166" t="s">
        <v>18</v>
      </c>
      <c r="H166" t="s">
        <v>18</v>
      </c>
      <c r="I166" t="s">
        <v>18</v>
      </c>
      <c r="J166" t="s">
        <v>18</v>
      </c>
      <c r="K166" t="s">
        <v>18</v>
      </c>
      <c r="L166" t="s">
        <v>18</v>
      </c>
      <c r="M166" t="s">
        <v>18</v>
      </c>
      <c r="N166" t="s">
        <v>18</v>
      </c>
      <c r="O166" t="s">
        <v>18</v>
      </c>
      <c r="P166" t="s">
        <v>18</v>
      </c>
      <c r="Q166" t="s">
        <v>18</v>
      </c>
      <c r="R166" t="s">
        <v>18</v>
      </c>
      <c r="S166" t="s">
        <v>18</v>
      </c>
      <c r="T166" t="s">
        <v>18</v>
      </c>
    </row>
    <row r="167" spans="1:20">
      <c r="A167" t="str">
        <f t="shared" si="7"/>
        <v>18 Vombsjön, djuphålan, yta</v>
      </c>
      <c r="B167" t="e">
        <f t="shared" si="8"/>
        <v>#VALUE!</v>
      </c>
      <c r="C167">
        <v>29</v>
      </c>
      <c r="D167" t="s">
        <v>295</v>
      </c>
      <c r="E167" s="216" t="s">
        <v>18</v>
      </c>
      <c r="F167" t="s">
        <v>18</v>
      </c>
      <c r="G167" t="s">
        <v>18</v>
      </c>
      <c r="H167" t="s">
        <v>18</v>
      </c>
      <c r="I167" t="s">
        <v>18</v>
      </c>
      <c r="J167" t="s">
        <v>18</v>
      </c>
      <c r="K167" t="s">
        <v>18</v>
      </c>
      <c r="L167" t="s">
        <v>18</v>
      </c>
      <c r="M167" t="s">
        <v>18</v>
      </c>
      <c r="N167" t="s">
        <v>18</v>
      </c>
      <c r="O167" t="s">
        <v>18</v>
      </c>
      <c r="P167" t="s">
        <v>18</v>
      </c>
      <c r="Q167" t="s">
        <v>18</v>
      </c>
      <c r="R167" t="s">
        <v>18</v>
      </c>
      <c r="S167" t="s">
        <v>18</v>
      </c>
      <c r="T167" t="s">
        <v>18</v>
      </c>
    </row>
    <row r="168" spans="1:20">
      <c r="A168" t="str">
        <f t="shared" si="7"/>
        <v>18 Vombsjön, djuphålan, yta</v>
      </c>
      <c r="B168" t="e">
        <f t="shared" si="8"/>
        <v>#VALUE!</v>
      </c>
      <c r="C168">
        <v>29</v>
      </c>
      <c r="D168" t="s">
        <v>295</v>
      </c>
      <c r="E168" s="216" t="s">
        <v>18</v>
      </c>
      <c r="F168" t="s">
        <v>18</v>
      </c>
      <c r="G168" t="s">
        <v>18</v>
      </c>
      <c r="H168" t="s">
        <v>18</v>
      </c>
      <c r="I168" t="s">
        <v>18</v>
      </c>
      <c r="J168" t="s">
        <v>18</v>
      </c>
      <c r="K168" t="s">
        <v>18</v>
      </c>
      <c r="L168" t="s">
        <v>18</v>
      </c>
      <c r="M168" t="s">
        <v>18</v>
      </c>
      <c r="N168" t="s">
        <v>18</v>
      </c>
      <c r="O168" t="s">
        <v>18</v>
      </c>
      <c r="P168" t="s">
        <v>18</v>
      </c>
      <c r="Q168" t="s">
        <v>18</v>
      </c>
      <c r="R168" t="s">
        <v>18</v>
      </c>
      <c r="S168" t="s">
        <v>18</v>
      </c>
      <c r="T168" t="s">
        <v>18</v>
      </c>
    </row>
    <row r="169" spans="1:20">
      <c r="A169" t="str">
        <f t="shared" si="7"/>
        <v>18 Vombsjön, djuphålan, yta</v>
      </c>
      <c r="B169" t="e">
        <f t="shared" si="8"/>
        <v>#VALUE!</v>
      </c>
      <c r="C169">
        <v>29</v>
      </c>
      <c r="D169" t="s">
        <v>295</v>
      </c>
      <c r="E169" s="216" t="s">
        <v>18</v>
      </c>
      <c r="F169" t="s">
        <v>18</v>
      </c>
      <c r="G169" t="s">
        <v>18</v>
      </c>
      <c r="H169" t="s">
        <v>18</v>
      </c>
      <c r="I169" t="s">
        <v>18</v>
      </c>
      <c r="J169" t="s">
        <v>18</v>
      </c>
      <c r="K169" t="s">
        <v>18</v>
      </c>
      <c r="L169" t="s">
        <v>18</v>
      </c>
      <c r="M169" t="s">
        <v>18</v>
      </c>
      <c r="N169" t="s">
        <v>18</v>
      </c>
      <c r="O169" t="s">
        <v>18</v>
      </c>
      <c r="P169" t="s">
        <v>18</v>
      </c>
      <c r="Q169" t="s">
        <v>18</v>
      </c>
      <c r="R169" t="s">
        <v>18</v>
      </c>
      <c r="S169" t="s">
        <v>18</v>
      </c>
      <c r="T169" t="s">
        <v>18</v>
      </c>
    </row>
    <row r="170" spans="1:20">
      <c r="A170" t="str">
        <f t="shared" si="7"/>
        <v>18 Vombsjön, djuphålan, yta2025-05-15</v>
      </c>
      <c r="B170" t="str">
        <f t="shared" si="8"/>
        <v>18  Vombsjön, djuphålan, yta5</v>
      </c>
      <c r="C170">
        <v>29</v>
      </c>
      <c r="D170" t="s">
        <v>295</v>
      </c>
      <c r="E170" s="216" t="s">
        <v>436</v>
      </c>
      <c r="F170">
        <v>12</v>
      </c>
      <c r="G170">
        <v>10.79</v>
      </c>
      <c r="H170">
        <v>100</v>
      </c>
      <c r="I170">
        <v>8.6</v>
      </c>
      <c r="J170">
        <v>1.9</v>
      </c>
      <c r="K170">
        <v>40.5</v>
      </c>
      <c r="L170" t="s">
        <v>18</v>
      </c>
      <c r="M170" t="s">
        <v>149</v>
      </c>
      <c r="N170">
        <v>22</v>
      </c>
      <c r="O170">
        <v>1800</v>
      </c>
      <c r="P170">
        <v>39</v>
      </c>
      <c r="Q170">
        <v>2600</v>
      </c>
      <c r="R170">
        <v>13</v>
      </c>
      <c r="S170">
        <v>1.8</v>
      </c>
      <c r="T170" t="s">
        <v>18</v>
      </c>
    </row>
    <row r="171" spans="1:20">
      <c r="A171" t="str">
        <f t="shared" ref="A171:A182" si="9">TRIM(CONCATENATE(D171,E171))</f>
        <v>18 Vombsjön, djuphålan, botten45670</v>
      </c>
      <c r="B171" t="str">
        <f t="shared" ref="B171:B182" si="10">CONCATENATE(D171,MONTH(E171))</f>
        <v>18  Vombsjön, djuphålan, botten1</v>
      </c>
      <c r="C171">
        <v>30</v>
      </c>
      <c r="D171" t="s">
        <v>296</v>
      </c>
      <c r="E171" s="216">
        <v>45670</v>
      </c>
      <c r="F171">
        <v>2</v>
      </c>
      <c r="G171">
        <v>13.24</v>
      </c>
      <c r="H171">
        <v>96</v>
      </c>
      <c r="I171" t="s">
        <v>18</v>
      </c>
      <c r="J171" t="s">
        <v>18</v>
      </c>
      <c r="K171" t="s">
        <v>18</v>
      </c>
      <c r="L171" t="s">
        <v>18</v>
      </c>
      <c r="M171">
        <v>34</v>
      </c>
      <c r="N171">
        <v>84</v>
      </c>
      <c r="O171">
        <v>3100</v>
      </c>
      <c r="P171">
        <v>17</v>
      </c>
      <c r="Q171">
        <v>3500</v>
      </c>
      <c r="R171" t="s">
        <v>18</v>
      </c>
      <c r="S171" t="s">
        <v>18</v>
      </c>
      <c r="T171" t="s">
        <v>425</v>
      </c>
    </row>
    <row r="172" spans="1:20">
      <c r="A172" t="str">
        <f t="shared" si="9"/>
        <v>18 Vombsjön, djuphålan, botten45728</v>
      </c>
      <c r="B172" t="str">
        <f t="shared" si="10"/>
        <v>18  Vombsjön, djuphålan, botten3</v>
      </c>
      <c r="C172">
        <v>30</v>
      </c>
      <c r="D172" t="s">
        <v>296</v>
      </c>
      <c r="E172" s="216">
        <v>45728</v>
      </c>
      <c r="F172">
        <v>4.7</v>
      </c>
      <c r="G172">
        <v>14.55</v>
      </c>
      <c r="H172">
        <v>113</v>
      </c>
      <c r="I172" t="s">
        <v>18</v>
      </c>
      <c r="J172" t="s">
        <v>18</v>
      </c>
      <c r="K172" t="s">
        <v>18</v>
      </c>
      <c r="L172" t="s">
        <v>18</v>
      </c>
      <c r="M172">
        <v>9.6999999999999993</v>
      </c>
      <c r="N172">
        <v>51</v>
      </c>
      <c r="O172">
        <v>3100</v>
      </c>
      <c r="P172" t="s">
        <v>148</v>
      </c>
      <c r="Q172">
        <v>3800</v>
      </c>
      <c r="R172" t="s">
        <v>18</v>
      </c>
      <c r="S172" t="s">
        <v>18</v>
      </c>
      <c r="T172" t="s">
        <v>18</v>
      </c>
    </row>
    <row r="173" spans="1:20">
      <c r="A173" t="str">
        <f t="shared" si="9"/>
        <v>18 Vombsjön, djuphålan, botten45761</v>
      </c>
      <c r="B173" t="str">
        <f t="shared" si="10"/>
        <v>18  Vombsjön, djuphålan, botten4</v>
      </c>
      <c r="C173">
        <v>30</v>
      </c>
      <c r="D173" t="s">
        <v>296</v>
      </c>
      <c r="E173" s="216">
        <v>45761</v>
      </c>
      <c r="F173">
        <v>9.5</v>
      </c>
      <c r="G173">
        <v>11.41</v>
      </c>
      <c r="H173">
        <v>100</v>
      </c>
      <c r="I173" t="s">
        <v>18</v>
      </c>
      <c r="J173" t="s">
        <v>18</v>
      </c>
      <c r="K173" t="s">
        <v>18</v>
      </c>
      <c r="L173" t="s">
        <v>18</v>
      </c>
      <c r="M173" t="s">
        <v>149</v>
      </c>
      <c r="N173">
        <v>26</v>
      </c>
      <c r="O173">
        <v>2300</v>
      </c>
      <c r="P173">
        <v>72</v>
      </c>
      <c r="Q173">
        <v>3000</v>
      </c>
      <c r="R173" t="s">
        <v>18</v>
      </c>
      <c r="S173" t="s">
        <v>18</v>
      </c>
      <c r="T173" t="s">
        <v>18</v>
      </c>
    </row>
    <row r="174" spans="1:20">
      <c r="A174" t="str">
        <f t="shared" si="9"/>
        <v>18 Vombsjön, djuphålan, botten</v>
      </c>
      <c r="B174" t="e">
        <f t="shared" si="10"/>
        <v>#VALUE!</v>
      </c>
      <c r="C174">
        <v>30</v>
      </c>
      <c r="D174" t="s">
        <v>296</v>
      </c>
      <c r="E174" s="216" t="s">
        <v>18</v>
      </c>
      <c r="F174" t="s">
        <v>18</v>
      </c>
      <c r="G174" t="s">
        <v>18</v>
      </c>
      <c r="H174" t="s">
        <v>18</v>
      </c>
      <c r="I174" t="s">
        <v>18</v>
      </c>
      <c r="J174" t="s">
        <v>18</v>
      </c>
      <c r="K174" t="s">
        <v>18</v>
      </c>
      <c r="L174" t="s">
        <v>18</v>
      </c>
      <c r="M174" t="s">
        <v>18</v>
      </c>
      <c r="N174" t="s">
        <v>18</v>
      </c>
      <c r="O174" t="s">
        <v>18</v>
      </c>
      <c r="P174" t="s">
        <v>18</v>
      </c>
      <c r="Q174" t="s">
        <v>18</v>
      </c>
      <c r="R174" t="s">
        <v>18</v>
      </c>
      <c r="S174" t="s">
        <v>18</v>
      </c>
      <c r="T174" t="s">
        <v>432</v>
      </c>
    </row>
    <row r="175" spans="1:20">
      <c r="A175" t="str">
        <f t="shared" si="9"/>
        <v>18 Vombsjön, djuphålan, botten</v>
      </c>
      <c r="B175" t="e">
        <f t="shared" si="10"/>
        <v>#VALUE!</v>
      </c>
      <c r="C175">
        <v>30</v>
      </c>
      <c r="D175" t="s">
        <v>296</v>
      </c>
      <c r="E175" s="216" t="s">
        <v>18</v>
      </c>
      <c r="F175" t="s">
        <v>18</v>
      </c>
      <c r="G175" t="s">
        <v>18</v>
      </c>
      <c r="H175" t="s">
        <v>18</v>
      </c>
      <c r="I175" t="s">
        <v>18</v>
      </c>
      <c r="J175" t="s">
        <v>18</v>
      </c>
      <c r="K175" t="s">
        <v>18</v>
      </c>
      <c r="L175" t="s">
        <v>18</v>
      </c>
      <c r="M175" t="s">
        <v>18</v>
      </c>
      <c r="N175" t="s">
        <v>18</v>
      </c>
      <c r="O175" t="s">
        <v>18</v>
      </c>
      <c r="P175" t="s">
        <v>18</v>
      </c>
      <c r="Q175" t="s">
        <v>18</v>
      </c>
      <c r="R175" t="s">
        <v>18</v>
      </c>
      <c r="S175" t="s">
        <v>18</v>
      </c>
      <c r="T175" t="s">
        <v>439</v>
      </c>
    </row>
    <row r="176" spans="1:20">
      <c r="A176" t="str">
        <f t="shared" si="9"/>
        <v>18 Vombsjön, djuphålan, botten</v>
      </c>
      <c r="B176" t="e">
        <f t="shared" si="10"/>
        <v>#VALUE!</v>
      </c>
      <c r="C176">
        <v>30</v>
      </c>
      <c r="D176" t="s">
        <v>296</v>
      </c>
      <c r="E176" s="216" t="s">
        <v>18</v>
      </c>
      <c r="F176" t="s">
        <v>18</v>
      </c>
      <c r="G176" t="s">
        <v>18</v>
      </c>
      <c r="H176" t="s">
        <v>18</v>
      </c>
      <c r="I176" t="s">
        <v>18</v>
      </c>
      <c r="J176" t="s">
        <v>18</v>
      </c>
      <c r="K176" t="s">
        <v>18</v>
      </c>
      <c r="L176" t="s">
        <v>18</v>
      </c>
      <c r="M176" t="s">
        <v>18</v>
      </c>
      <c r="N176" t="s">
        <v>18</v>
      </c>
      <c r="O176" t="s">
        <v>18</v>
      </c>
      <c r="P176" t="s">
        <v>18</v>
      </c>
      <c r="Q176" t="s">
        <v>18</v>
      </c>
      <c r="R176" t="s">
        <v>18</v>
      </c>
      <c r="S176" t="s">
        <v>18</v>
      </c>
      <c r="T176" t="s">
        <v>439</v>
      </c>
    </row>
    <row r="177" spans="1:20">
      <c r="A177" t="str">
        <f t="shared" si="9"/>
        <v>18 Vombsjön, djuphålan, botten</v>
      </c>
      <c r="B177" t="e">
        <f t="shared" si="10"/>
        <v>#VALUE!</v>
      </c>
      <c r="C177">
        <v>30</v>
      </c>
      <c r="D177" t="s">
        <v>296</v>
      </c>
      <c r="E177" s="216" t="s">
        <v>18</v>
      </c>
      <c r="F177" t="s">
        <v>18</v>
      </c>
      <c r="G177" t="s">
        <v>18</v>
      </c>
      <c r="H177" t="s">
        <v>18</v>
      </c>
      <c r="I177" t="s">
        <v>18</v>
      </c>
      <c r="J177" t="s">
        <v>18</v>
      </c>
      <c r="K177" t="s">
        <v>18</v>
      </c>
      <c r="L177" t="s">
        <v>18</v>
      </c>
      <c r="M177" t="s">
        <v>18</v>
      </c>
      <c r="N177" t="s">
        <v>18</v>
      </c>
      <c r="O177" t="s">
        <v>18</v>
      </c>
      <c r="P177" t="s">
        <v>18</v>
      </c>
      <c r="Q177" t="s">
        <v>18</v>
      </c>
      <c r="R177" t="s">
        <v>18</v>
      </c>
      <c r="S177" t="s">
        <v>18</v>
      </c>
      <c r="T177" t="s">
        <v>18</v>
      </c>
    </row>
    <row r="178" spans="1:20">
      <c r="A178" t="str">
        <f t="shared" si="9"/>
        <v>18 Vombsjön, djuphålan, botten</v>
      </c>
      <c r="B178" t="e">
        <f t="shared" si="10"/>
        <v>#VALUE!</v>
      </c>
      <c r="C178">
        <v>30</v>
      </c>
      <c r="D178" t="s">
        <v>296</v>
      </c>
      <c r="E178" s="216" t="s">
        <v>18</v>
      </c>
      <c r="F178" t="s">
        <v>18</v>
      </c>
      <c r="G178" t="s">
        <v>18</v>
      </c>
      <c r="H178" t="s">
        <v>18</v>
      </c>
      <c r="I178" t="s">
        <v>18</v>
      </c>
      <c r="J178" t="s">
        <v>18</v>
      </c>
      <c r="K178" t="s">
        <v>18</v>
      </c>
      <c r="L178" t="s">
        <v>18</v>
      </c>
      <c r="M178" t="s">
        <v>18</v>
      </c>
      <c r="N178" t="s">
        <v>18</v>
      </c>
      <c r="O178" t="s">
        <v>18</v>
      </c>
      <c r="P178" t="s">
        <v>18</v>
      </c>
      <c r="Q178" t="s">
        <v>18</v>
      </c>
      <c r="R178" t="s">
        <v>18</v>
      </c>
      <c r="S178" t="s">
        <v>18</v>
      </c>
      <c r="T178" t="s">
        <v>18</v>
      </c>
    </row>
    <row r="179" spans="1:20">
      <c r="A179" t="str">
        <f t="shared" si="9"/>
        <v>18 Vombsjön, djuphålan, botten</v>
      </c>
      <c r="B179" t="e">
        <f t="shared" si="10"/>
        <v>#VALUE!</v>
      </c>
      <c r="C179">
        <v>30</v>
      </c>
      <c r="D179" t="s">
        <v>296</v>
      </c>
      <c r="E179" s="216" t="s">
        <v>18</v>
      </c>
      <c r="F179" t="s">
        <v>18</v>
      </c>
      <c r="G179" t="s">
        <v>18</v>
      </c>
      <c r="H179" t="s">
        <v>18</v>
      </c>
      <c r="I179" t="s">
        <v>18</v>
      </c>
      <c r="J179" t="s">
        <v>18</v>
      </c>
      <c r="K179" t="s">
        <v>18</v>
      </c>
      <c r="L179" t="s">
        <v>18</v>
      </c>
      <c r="M179" t="s">
        <v>18</v>
      </c>
      <c r="N179" t="s">
        <v>18</v>
      </c>
      <c r="O179" t="s">
        <v>18</v>
      </c>
      <c r="P179" t="s">
        <v>18</v>
      </c>
      <c r="Q179" t="s">
        <v>18</v>
      </c>
      <c r="R179" t="s">
        <v>18</v>
      </c>
      <c r="S179" t="s">
        <v>18</v>
      </c>
      <c r="T179" t="s">
        <v>18</v>
      </c>
    </row>
    <row r="180" spans="1:20">
      <c r="A180" t="str">
        <f t="shared" si="9"/>
        <v>18 Vombsjön, djuphålan, botten</v>
      </c>
      <c r="B180" t="e">
        <f t="shared" si="10"/>
        <v>#VALUE!</v>
      </c>
      <c r="C180">
        <v>30</v>
      </c>
      <c r="D180" t="s">
        <v>296</v>
      </c>
      <c r="E180" s="216" t="s">
        <v>18</v>
      </c>
      <c r="F180" t="s">
        <v>18</v>
      </c>
      <c r="G180" t="s">
        <v>18</v>
      </c>
      <c r="H180" t="s">
        <v>18</v>
      </c>
      <c r="I180" t="s">
        <v>18</v>
      </c>
      <c r="J180" t="s">
        <v>18</v>
      </c>
      <c r="K180" t="s">
        <v>18</v>
      </c>
      <c r="L180" t="s">
        <v>18</v>
      </c>
      <c r="M180" t="s">
        <v>18</v>
      </c>
      <c r="N180" t="s">
        <v>18</v>
      </c>
      <c r="O180" t="s">
        <v>18</v>
      </c>
      <c r="P180" t="s">
        <v>18</v>
      </c>
      <c r="Q180" t="s">
        <v>18</v>
      </c>
      <c r="R180" t="s">
        <v>18</v>
      </c>
      <c r="S180" t="s">
        <v>18</v>
      </c>
      <c r="T180" t="s">
        <v>18</v>
      </c>
    </row>
    <row r="181" spans="1:20">
      <c r="A181" t="str">
        <f t="shared" si="9"/>
        <v>18 Vombsjön, djuphålan, botten</v>
      </c>
      <c r="B181" t="e">
        <f t="shared" si="10"/>
        <v>#VALUE!</v>
      </c>
      <c r="C181">
        <v>30</v>
      </c>
      <c r="D181" t="s">
        <v>296</v>
      </c>
      <c r="E181" s="216" t="s">
        <v>18</v>
      </c>
      <c r="F181" t="s">
        <v>18</v>
      </c>
      <c r="G181" t="s">
        <v>18</v>
      </c>
      <c r="H181" t="s">
        <v>18</v>
      </c>
      <c r="I181" t="s">
        <v>18</v>
      </c>
      <c r="J181" t="s">
        <v>18</v>
      </c>
      <c r="K181" t="s">
        <v>18</v>
      </c>
      <c r="L181" t="s">
        <v>18</v>
      </c>
      <c r="M181" t="s">
        <v>18</v>
      </c>
      <c r="N181" t="s">
        <v>18</v>
      </c>
      <c r="O181" t="s">
        <v>18</v>
      </c>
      <c r="P181" t="s">
        <v>18</v>
      </c>
      <c r="Q181" t="s">
        <v>18</v>
      </c>
      <c r="R181" t="s">
        <v>18</v>
      </c>
      <c r="S181" t="s">
        <v>18</v>
      </c>
      <c r="T181" t="s">
        <v>18</v>
      </c>
    </row>
    <row r="182" spans="1:20">
      <c r="A182" t="str">
        <f t="shared" si="9"/>
        <v>18 Vombsjön, djuphålan, botten2025-05-15</v>
      </c>
      <c r="B182" t="str">
        <f t="shared" si="10"/>
        <v>18  Vombsjön, djuphålan, botten5</v>
      </c>
      <c r="C182">
        <v>30</v>
      </c>
      <c r="D182" t="s">
        <v>296</v>
      </c>
      <c r="E182" s="216" t="s">
        <v>436</v>
      </c>
      <c r="F182">
        <v>11.4</v>
      </c>
      <c r="G182">
        <v>10.52</v>
      </c>
      <c r="H182">
        <v>97</v>
      </c>
      <c r="I182" t="s">
        <v>18</v>
      </c>
      <c r="J182" t="s">
        <v>18</v>
      </c>
      <c r="K182" t="s">
        <v>18</v>
      </c>
      <c r="L182" t="s">
        <v>18</v>
      </c>
      <c r="M182" t="s">
        <v>149</v>
      </c>
      <c r="N182">
        <v>25</v>
      </c>
      <c r="O182">
        <v>2000</v>
      </c>
      <c r="P182">
        <v>44</v>
      </c>
      <c r="Q182">
        <v>2500</v>
      </c>
      <c r="R182" t="s">
        <v>18</v>
      </c>
      <c r="S182" t="s">
        <v>18</v>
      </c>
      <c r="T182" t="s">
        <v>437</v>
      </c>
    </row>
  </sheetData>
  <sortState xmlns:xlrd2="http://schemas.microsoft.com/office/spreadsheetml/2017/richdata2" ref="C3:T182">
    <sortCondition ref="C3:C182"/>
    <sortCondition ref="E3:E182"/>
  </sortState>
  <conditionalFormatting sqref="F1:F2 H1:H2 T1:T2">
    <cfRule type="cellIs" priority="30" stopIfTrue="1" operator="between">
      <formula>"0,000000001"</formula>
      <formula>100000000</formula>
    </cfRule>
  </conditionalFormatting>
  <conditionalFormatting sqref="I1:I2">
    <cfRule type="cellIs" dxfId="90" priority="31" stopIfTrue="1" operator="between">
      <formula>6.2</formula>
      <formula>6.5</formula>
    </cfRule>
    <cfRule type="cellIs" dxfId="89" priority="32" stopIfTrue="1" operator="between">
      <formula>5.6</formula>
      <formula>6.19</formula>
    </cfRule>
    <cfRule type="cellIs" dxfId="88" priority="33" stopIfTrue="1" operator="between">
      <formula>3</formula>
      <formula>5.59</formula>
    </cfRule>
  </conditionalFormatting>
  <conditionalFormatting sqref="G1:G2">
    <cfRule type="cellIs" dxfId="87" priority="34" stopIfTrue="1" operator="between">
      <formula>3</formula>
      <formula>5</formula>
    </cfRule>
    <cfRule type="cellIs" dxfId="86" priority="35" stopIfTrue="1" operator="between">
      <formula>1</formula>
      <formula>2.9</formula>
    </cfRule>
    <cfRule type="cellIs" dxfId="85" priority="36" stopIfTrue="1" operator="between">
      <formula>0.001</formula>
      <formula>0.95</formula>
    </cfRule>
  </conditionalFormatting>
  <conditionalFormatting sqref="J1:J2">
    <cfRule type="cellIs" dxfId="84" priority="43" stopIfTrue="1" operator="between">
      <formula>1</formula>
      <formula>2.5</formula>
    </cfRule>
    <cfRule type="cellIs" dxfId="83" priority="44" stopIfTrue="1" operator="between">
      <formula>2.56</formula>
      <formula>7</formula>
    </cfRule>
    <cfRule type="cellIs" dxfId="82" priority="45" stopIfTrue="1" operator="between">
      <formula>7.1</formula>
      <formula>300</formula>
    </cfRule>
  </conditionalFormatting>
  <conditionalFormatting sqref="U1:U2">
    <cfRule type="cellIs" priority="28" stopIfTrue="1" operator="between">
      <formula>"0,000000001"</formula>
      <formula>100000000</formula>
    </cfRule>
  </conditionalFormatting>
  <conditionalFormatting sqref="A2">
    <cfRule type="cellIs" priority="27" stopIfTrue="1" operator="between">
      <formula>"0,000000001"</formula>
      <formula>100000000</formula>
    </cfRule>
  </conditionalFormatting>
  <conditionalFormatting sqref="A1">
    <cfRule type="cellIs" priority="26" stopIfTrue="1" operator="between">
      <formula>"0,000000001"</formula>
      <formula>100000000</formula>
    </cfRule>
  </conditionalFormatting>
  <conditionalFormatting sqref="K1:K2">
    <cfRule type="cellIs" priority="22" stopIfTrue="1" operator="between">
      <formula>"0,000000001"</formula>
      <formula>100000000</formula>
    </cfRule>
  </conditionalFormatting>
  <conditionalFormatting sqref="L1:Q2 S1:S2">
    <cfRule type="cellIs" priority="6" stopIfTrue="1" operator="between">
      <formula>"0,000000001"</formula>
      <formula>100000000</formula>
    </cfRule>
  </conditionalFormatting>
  <conditionalFormatting sqref="R1:R2">
    <cfRule type="cellIs" dxfId="81" priority="1" stopIfTrue="1" operator="between">
      <formula>0.01</formula>
      <formula>300</formula>
    </cfRule>
    <cfRule type="cellIs" dxfId="80" priority="2" stopIfTrue="1" operator="between">
      <formula>301</formula>
      <formula>625</formula>
    </cfRule>
    <cfRule type="cellIs" dxfId="79" priority="3" stopIfTrue="1" operator="between">
      <formula>626</formula>
      <formula>1250</formula>
    </cfRule>
    <cfRule type="cellIs" dxfId="78" priority="4" stopIfTrue="1" operator="between">
      <formula>1251</formula>
      <formula>5000</formula>
    </cfRule>
    <cfRule type="cellIs" dxfId="77" priority="5" stopIfTrue="1" operator="between">
      <formula>5001</formula>
      <formula>100000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rgb="FF00B0F0"/>
  </sheetPr>
  <dimension ref="A1:AQ482"/>
  <sheetViews>
    <sheetView showRowColHeaders="0" topLeftCell="B1" workbookViewId="0"/>
  </sheetViews>
  <sheetFormatPr defaultRowHeight="12.5"/>
  <cols>
    <col min="1" max="1" width="7.90625" hidden="1" customWidth="1"/>
    <col min="2" max="2" width="38.90625" customWidth="1"/>
    <col min="3" max="3" width="12.453125" style="216" customWidth="1"/>
    <col min="4" max="4" width="7.453125" customWidth="1"/>
    <col min="5" max="5" width="6.90625" style="116" customWidth="1"/>
    <col min="6" max="6" width="6.90625" style="101" customWidth="1"/>
    <col min="7" max="7" width="7" customWidth="1"/>
    <col min="8" max="8" width="7.36328125" style="116" customWidth="1"/>
    <col min="9" max="9" width="7.6328125" customWidth="1"/>
    <col min="10" max="10" width="7.90625" customWidth="1"/>
    <col min="11" max="11" width="6.90625" customWidth="1"/>
    <col min="12" max="12" width="7.54296875" customWidth="1"/>
    <col min="13" max="13" width="7.08984375" customWidth="1"/>
    <col min="14" max="14" width="8.08984375" customWidth="1"/>
    <col min="15" max="15" width="8.6328125" customWidth="1"/>
    <col min="16" max="16" width="7.6328125" customWidth="1"/>
    <col min="17" max="17" width="8.6328125" style="233" customWidth="1"/>
    <col min="18" max="18" width="23.6328125" style="217" customWidth="1"/>
    <col min="19" max="19" width="2.90625" customWidth="1"/>
    <col min="20" max="20" width="8" customWidth="1"/>
    <col min="21" max="21" width="7.6328125" customWidth="1"/>
    <col min="22" max="22" width="9" customWidth="1"/>
    <col min="23" max="23" width="10.54296875" customWidth="1"/>
    <col min="24" max="24" width="8.54296875" customWidth="1"/>
    <col min="25" max="25" width="8.36328125" customWidth="1"/>
    <col min="26" max="26" width="11.453125" customWidth="1"/>
    <col min="27" max="27" width="6.90625" customWidth="1"/>
    <col min="28" max="28" width="164.54296875" customWidth="1"/>
    <col min="29" max="29" width="7.54296875" customWidth="1"/>
    <col min="30" max="30" width="7" customWidth="1"/>
    <col min="31" max="31" width="6.453125" customWidth="1"/>
    <col min="32" max="32" width="5.90625" customWidth="1"/>
    <col min="33" max="33" width="6.453125" customWidth="1"/>
    <col min="34" max="34" width="6.54296875" customWidth="1"/>
    <col min="35" max="35" width="6.453125" customWidth="1"/>
    <col min="36" max="43" width="9.08984375" customWidth="1"/>
  </cols>
  <sheetData>
    <row r="1" spans="1:43" s="398" customFormat="1" ht="37.5" customHeight="1">
      <c r="A1" s="397"/>
      <c r="C1" s="399"/>
      <c r="D1" s="399"/>
      <c r="E1" s="400"/>
      <c r="F1" s="401"/>
      <c r="H1" s="400"/>
      <c r="Q1" s="718"/>
      <c r="R1" s="402"/>
    </row>
    <row r="2" spans="1:43" s="398" customFormat="1" ht="23">
      <c r="A2" s="403"/>
      <c r="B2" s="438" t="s">
        <v>404</v>
      </c>
      <c r="C2" s="404"/>
      <c r="E2" s="400"/>
      <c r="F2" s="401"/>
      <c r="H2" s="400"/>
      <c r="Q2" s="718"/>
      <c r="R2" s="402"/>
    </row>
    <row r="3" spans="1:43" s="398" customFormat="1" ht="23">
      <c r="A3" s="403"/>
      <c r="B3" s="438" t="s">
        <v>216</v>
      </c>
      <c r="C3" s="405"/>
      <c r="E3" s="400"/>
      <c r="F3" s="401"/>
      <c r="H3" s="400"/>
      <c r="Q3" s="718"/>
      <c r="R3" s="402"/>
    </row>
    <row r="4" spans="1:43" s="398" customFormat="1" ht="81.75" customHeight="1">
      <c r="A4" s="397"/>
      <c r="C4" s="404"/>
      <c r="D4" s="404" t="s">
        <v>212</v>
      </c>
      <c r="E4" s="400"/>
      <c r="F4" s="401"/>
      <c r="H4" s="400"/>
      <c r="Q4" s="718"/>
      <c r="R4" s="402"/>
      <c r="AE4" s="406" t="s">
        <v>176</v>
      </c>
    </row>
    <row r="5" spans="1:43" s="126" customFormat="1" ht="13.5">
      <c r="A5" s="4" t="s">
        <v>2</v>
      </c>
      <c r="B5" s="113" t="s">
        <v>3</v>
      </c>
      <c r="C5" s="219" t="s">
        <v>4</v>
      </c>
      <c r="D5" s="183" t="s">
        <v>5</v>
      </c>
      <c r="E5" s="183" t="s">
        <v>7</v>
      </c>
      <c r="F5" s="184" t="s">
        <v>8</v>
      </c>
      <c r="G5" s="183" t="s">
        <v>6</v>
      </c>
      <c r="H5" s="183" t="s">
        <v>9</v>
      </c>
      <c r="I5" s="183" t="s">
        <v>116</v>
      </c>
      <c r="J5" s="183" t="s">
        <v>128</v>
      </c>
      <c r="K5" s="183" t="s">
        <v>102</v>
      </c>
      <c r="L5" s="183" t="s">
        <v>10</v>
      </c>
      <c r="M5" s="183" t="s">
        <v>129</v>
      </c>
      <c r="N5" s="183" t="s">
        <v>103</v>
      </c>
      <c r="O5" s="183" t="s">
        <v>11</v>
      </c>
      <c r="P5" s="183" t="s">
        <v>372</v>
      </c>
      <c r="Q5" s="183" t="s">
        <v>270</v>
      </c>
      <c r="R5" s="181" t="s">
        <v>13</v>
      </c>
      <c r="S5" s="120" t="s">
        <v>12</v>
      </c>
      <c r="T5" s="757"/>
      <c r="U5" s="757"/>
      <c r="W5" s="127"/>
      <c r="X5" s="127"/>
      <c r="Y5" s="127"/>
      <c r="Z5" s="127"/>
      <c r="AA5" s="127"/>
      <c r="AB5" s="127"/>
      <c r="AC5" s="128"/>
      <c r="AD5" s="129"/>
      <c r="AE5" s="183" t="s">
        <v>5</v>
      </c>
      <c r="AF5" s="183" t="s">
        <v>7</v>
      </c>
      <c r="AG5" s="184" t="s">
        <v>8</v>
      </c>
      <c r="AH5" s="183" t="s">
        <v>6</v>
      </c>
      <c r="AI5" s="183" t="s">
        <v>9</v>
      </c>
      <c r="AJ5" s="183" t="s">
        <v>116</v>
      </c>
      <c r="AK5" s="184" t="s">
        <v>230</v>
      </c>
      <c r="AL5" s="185" t="s">
        <v>102</v>
      </c>
      <c r="AM5" s="185" t="s">
        <v>10</v>
      </c>
      <c r="AN5" s="185" t="s">
        <v>157</v>
      </c>
      <c r="AO5" s="186" t="s">
        <v>103</v>
      </c>
      <c r="AP5" s="185" t="s">
        <v>11</v>
      </c>
      <c r="AQ5" s="185" t="s">
        <v>270</v>
      </c>
    </row>
    <row r="6" spans="1:43" s="134" customFormat="1" ht="11.5">
      <c r="A6" s="5" t="s">
        <v>14</v>
      </c>
      <c r="B6" s="114" t="s">
        <v>15</v>
      </c>
      <c r="C6" s="220" t="s">
        <v>16</v>
      </c>
      <c r="D6" s="177" t="s">
        <v>17</v>
      </c>
      <c r="E6" s="177" t="s">
        <v>106</v>
      </c>
      <c r="F6" s="177" t="s">
        <v>114</v>
      </c>
      <c r="G6" s="177"/>
      <c r="H6" s="177" t="s">
        <v>104</v>
      </c>
      <c r="I6" s="177" t="s">
        <v>105</v>
      </c>
      <c r="J6" s="177" t="s">
        <v>106</v>
      </c>
      <c r="K6" s="177" t="s">
        <v>19</v>
      </c>
      <c r="L6" s="177" t="s">
        <v>19</v>
      </c>
      <c r="M6" s="177" t="s">
        <v>20</v>
      </c>
      <c r="N6" s="177" t="s">
        <v>20</v>
      </c>
      <c r="O6" s="177" t="s">
        <v>20</v>
      </c>
      <c r="P6" s="177" t="s">
        <v>19</v>
      </c>
      <c r="Q6" s="177" t="s">
        <v>271</v>
      </c>
      <c r="R6" s="165"/>
      <c r="S6" s="115"/>
      <c r="T6" s="130"/>
      <c r="U6" s="130"/>
      <c r="V6" s="131"/>
      <c r="W6" s="131"/>
      <c r="X6" s="131"/>
      <c r="Y6" s="131"/>
      <c r="Z6" s="131"/>
      <c r="AA6" s="131"/>
      <c r="AB6" s="131"/>
      <c r="AC6" s="132"/>
      <c r="AD6" s="133"/>
      <c r="AE6" s="177" t="s">
        <v>17</v>
      </c>
      <c r="AF6" s="177" t="s">
        <v>106</v>
      </c>
      <c r="AG6" s="177" t="s">
        <v>114</v>
      </c>
      <c r="AH6" s="177"/>
      <c r="AI6" s="177" t="s">
        <v>104</v>
      </c>
      <c r="AJ6" s="177" t="s">
        <v>105</v>
      </c>
      <c r="AK6" s="178" t="s">
        <v>106</v>
      </c>
      <c r="AL6" s="179" t="s">
        <v>19</v>
      </c>
      <c r="AM6" s="180" t="s">
        <v>19</v>
      </c>
      <c r="AN6" s="180" t="s">
        <v>20</v>
      </c>
      <c r="AO6" s="179" t="s">
        <v>20</v>
      </c>
      <c r="AP6" s="179" t="s">
        <v>20</v>
      </c>
      <c r="AQ6" s="179" t="s">
        <v>271</v>
      </c>
    </row>
    <row r="7" spans="1:43" s="102" customFormat="1" ht="12" customHeight="1">
      <c r="A7" s="118">
        <v>3</v>
      </c>
      <c r="B7" s="102" t="s">
        <v>252</v>
      </c>
      <c r="C7" s="206">
        <v>45671</v>
      </c>
      <c r="D7" s="222">
        <v>2.8</v>
      </c>
      <c r="E7" s="222">
        <v>13.79</v>
      </c>
      <c r="F7" s="218">
        <v>102</v>
      </c>
      <c r="G7" s="222">
        <v>8</v>
      </c>
      <c r="H7" s="222">
        <v>7.6</v>
      </c>
      <c r="I7" s="222">
        <v>45.8</v>
      </c>
      <c r="J7" s="218">
        <v>1.5</v>
      </c>
      <c r="K7" s="218">
        <v>42</v>
      </c>
      <c r="L7" s="218">
        <v>84</v>
      </c>
      <c r="M7" s="218">
        <v>4000</v>
      </c>
      <c r="N7" s="218">
        <v>53</v>
      </c>
      <c r="O7" s="218">
        <v>4500</v>
      </c>
      <c r="P7" s="222" t="s">
        <v>18</v>
      </c>
      <c r="Q7" s="222" t="s">
        <v>18</v>
      </c>
      <c r="R7" s="609" t="s">
        <v>18</v>
      </c>
      <c r="S7" s="421"/>
      <c r="T7" s="421"/>
      <c r="U7" s="423"/>
      <c r="V7" s="423"/>
      <c r="W7" s="424"/>
      <c r="X7" s="425"/>
      <c r="Y7" s="425"/>
      <c r="Z7" s="411"/>
      <c r="AA7" s="411"/>
      <c r="AB7" s="411"/>
      <c r="AC7" s="411"/>
      <c r="AD7" s="411"/>
      <c r="AE7" s="102">
        <v>2.8</v>
      </c>
      <c r="AF7" s="102">
        <v>13.79</v>
      </c>
      <c r="AG7" s="102">
        <v>102</v>
      </c>
      <c r="AH7" s="102">
        <v>8</v>
      </c>
      <c r="AI7" s="102">
        <v>7.6</v>
      </c>
      <c r="AJ7" s="102">
        <v>45.8</v>
      </c>
      <c r="AK7" s="102">
        <v>1.5</v>
      </c>
      <c r="AL7" s="102">
        <v>42</v>
      </c>
      <c r="AM7" s="102">
        <v>84</v>
      </c>
      <c r="AN7" s="102">
        <v>4000</v>
      </c>
      <c r="AO7" s="102">
        <v>53</v>
      </c>
      <c r="AP7" s="102">
        <v>4500</v>
      </c>
      <c r="AQ7" s="102" t="str">
        <f t="shared" ref="AQ7:AQ38" si="0">IF(OR(LEFT(Q7,1)="&lt;",LEFT(Q7,1)="&gt;"),VALUE(MID(Q7,2,5)),Q7)</f>
        <v/>
      </c>
    </row>
    <row r="8" spans="1:43" s="102" customFormat="1" ht="12" customHeight="1">
      <c r="A8" s="118">
        <v>3</v>
      </c>
      <c r="B8" s="102" t="s">
        <v>252</v>
      </c>
      <c r="C8" s="206">
        <v>45706</v>
      </c>
      <c r="D8" s="222">
        <v>1</v>
      </c>
      <c r="E8" s="222">
        <v>14.72</v>
      </c>
      <c r="F8" s="218">
        <v>103</v>
      </c>
      <c r="G8" s="222">
        <v>8</v>
      </c>
      <c r="H8" s="222">
        <v>4.9000000000000004</v>
      </c>
      <c r="I8" s="222">
        <v>47.1</v>
      </c>
      <c r="J8" s="218">
        <v>1.1000000000000001</v>
      </c>
      <c r="K8" s="218">
        <v>37</v>
      </c>
      <c r="L8" s="218">
        <v>62</v>
      </c>
      <c r="M8" s="218">
        <v>3500</v>
      </c>
      <c r="N8" s="218">
        <v>60</v>
      </c>
      <c r="O8" s="218">
        <v>4100</v>
      </c>
      <c r="P8" s="222" t="s">
        <v>18</v>
      </c>
      <c r="Q8" s="222" t="s">
        <v>18</v>
      </c>
      <c r="R8" s="609" t="s">
        <v>18</v>
      </c>
      <c r="S8" s="426"/>
      <c r="T8" s="427"/>
      <c r="U8" s="422"/>
      <c r="V8" s="423"/>
      <c r="W8" s="424"/>
      <c r="X8" s="425"/>
      <c r="Y8" s="425"/>
      <c r="Z8" s="424"/>
      <c r="AA8" s="425"/>
      <c r="AB8" s="425"/>
      <c r="AC8" s="425"/>
      <c r="AD8" s="411"/>
      <c r="AE8" s="102">
        <v>1</v>
      </c>
      <c r="AF8" s="102">
        <v>14.72</v>
      </c>
      <c r="AG8" s="102">
        <v>103</v>
      </c>
      <c r="AH8" s="102">
        <v>8</v>
      </c>
      <c r="AI8" s="102">
        <v>4.9000000000000004</v>
      </c>
      <c r="AJ8" s="102">
        <v>47.1</v>
      </c>
      <c r="AK8" s="102">
        <v>1.1000000000000001</v>
      </c>
      <c r="AL8" s="102">
        <v>37</v>
      </c>
      <c r="AM8" s="102">
        <v>62</v>
      </c>
      <c r="AN8" s="102">
        <v>3500</v>
      </c>
      <c r="AO8" s="102">
        <v>60</v>
      </c>
      <c r="AP8" s="102">
        <v>4100</v>
      </c>
      <c r="AQ8" s="102" t="str">
        <f t="shared" si="0"/>
        <v/>
      </c>
    </row>
    <row r="9" spans="1:43" s="102" customFormat="1" ht="12" customHeight="1">
      <c r="A9" s="118">
        <v>3</v>
      </c>
      <c r="B9" s="102" t="s">
        <v>252</v>
      </c>
      <c r="C9" s="206">
        <v>45734</v>
      </c>
      <c r="D9" s="222">
        <v>13.33</v>
      </c>
      <c r="E9" s="222">
        <v>13.33</v>
      </c>
      <c r="F9" s="218">
        <v>91</v>
      </c>
      <c r="G9" s="222">
        <v>8.1</v>
      </c>
      <c r="H9" s="222">
        <v>4.8</v>
      </c>
      <c r="I9" s="222">
        <v>50</v>
      </c>
      <c r="J9" s="222">
        <v>2.4</v>
      </c>
      <c r="K9" s="218">
        <v>6.1</v>
      </c>
      <c r="L9" s="218">
        <v>51</v>
      </c>
      <c r="M9" s="218">
        <v>2700</v>
      </c>
      <c r="N9" s="218" t="s">
        <v>148</v>
      </c>
      <c r="O9" s="218">
        <v>3100</v>
      </c>
      <c r="P9" s="222" t="s">
        <v>18</v>
      </c>
      <c r="Q9" s="222" t="s">
        <v>18</v>
      </c>
      <c r="R9" s="609" t="s">
        <v>18</v>
      </c>
      <c r="S9" s="428"/>
      <c r="T9" s="411"/>
      <c r="U9" s="422"/>
      <c r="V9" s="423"/>
      <c r="W9" s="411"/>
      <c r="X9" s="411"/>
      <c r="Y9" s="411"/>
      <c r="Z9" s="411"/>
      <c r="AA9" s="411"/>
      <c r="AB9" s="411"/>
      <c r="AC9" s="411"/>
      <c r="AD9" s="411"/>
      <c r="AE9" s="102">
        <v>13.33</v>
      </c>
      <c r="AF9" s="102">
        <v>13.33</v>
      </c>
      <c r="AG9" s="102">
        <v>91</v>
      </c>
      <c r="AH9" s="102">
        <v>8.1</v>
      </c>
      <c r="AI9" s="102">
        <v>4.8</v>
      </c>
      <c r="AJ9" s="102">
        <v>50</v>
      </c>
      <c r="AK9" s="102">
        <v>2.4</v>
      </c>
      <c r="AL9" s="102">
        <v>6.1</v>
      </c>
      <c r="AM9" s="102">
        <v>51</v>
      </c>
      <c r="AN9" s="102">
        <v>2700</v>
      </c>
      <c r="AO9" s="102">
        <v>10</v>
      </c>
      <c r="AP9" s="102">
        <v>3100</v>
      </c>
      <c r="AQ9" s="102" t="str">
        <f t="shared" si="0"/>
        <v/>
      </c>
    </row>
    <row r="10" spans="1:43" s="102" customFormat="1" ht="12" customHeight="1">
      <c r="A10" s="118">
        <v>3</v>
      </c>
      <c r="B10" s="102" t="s">
        <v>252</v>
      </c>
      <c r="C10" s="206">
        <v>45761</v>
      </c>
      <c r="D10" s="222">
        <v>11.5</v>
      </c>
      <c r="E10" s="222">
        <v>9.98</v>
      </c>
      <c r="F10" s="218">
        <v>92</v>
      </c>
      <c r="G10" s="222">
        <v>8</v>
      </c>
      <c r="H10" s="222">
        <v>2.6</v>
      </c>
      <c r="I10" s="222">
        <v>57.6</v>
      </c>
      <c r="J10" s="222">
        <v>1.7</v>
      </c>
      <c r="K10" s="218">
        <v>14</v>
      </c>
      <c r="L10" s="218">
        <v>45</v>
      </c>
      <c r="M10" s="218">
        <v>1800</v>
      </c>
      <c r="N10" s="218">
        <v>30</v>
      </c>
      <c r="O10" s="218">
        <v>2500</v>
      </c>
      <c r="P10" s="222" t="s">
        <v>18</v>
      </c>
      <c r="Q10" s="222" t="s">
        <v>18</v>
      </c>
      <c r="R10" s="609" t="s">
        <v>18</v>
      </c>
      <c r="S10" s="429"/>
      <c r="T10" s="430"/>
      <c r="U10" s="422"/>
      <c r="V10" s="423"/>
      <c r="W10" s="431"/>
      <c r="X10" s="432"/>
      <c r="Y10" s="433"/>
      <c r="Z10" s="411"/>
      <c r="AA10" s="411"/>
      <c r="AB10" s="411"/>
      <c r="AC10" s="411"/>
      <c r="AD10" s="411"/>
      <c r="AE10" s="102">
        <v>11.5</v>
      </c>
      <c r="AF10" s="102">
        <v>9.98</v>
      </c>
      <c r="AG10" s="102">
        <v>92</v>
      </c>
      <c r="AH10" s="102">
        <v>8</v>
      </c>
      <c r="AI10" s="102">
        <v>2.6</v>
      </c>
      <c r="AJ10" s="102">
        <v>57.6</v>
      </c>
      <c r="AK10" s="102">
        <v>1.7</v>
      </c>
      <c r="AL10" s="102">
        <v>14</v>
      </c>
      <c r="AM10" s="102">
        <v>45</v>
      </c>
      <c r="AN10" s="102">
        <v>1800</v>
      </c>
      <c r="AO10" s="102">
        <v>30</v>
      </c>
      <c r="AP10" s="102">
        <v>2500</v>
      </c>
      <c r="AQ10" s="102" t="str">
        <f t="shared" si="0"/>
        <v/>
      </c>
    </row>
    <row r="11" spans="1:43" s="102" customFormat="1" ht="12" customHeight="1">
      <c r="A11" s="118">
        <v>3</v>
      </c>
      <c r="B11" s="102" t="s">
        <v>252</v>
      </c>
      <c r="C11" s="206">
        <v>45826</v>
      </c>
      <c r="D11" s="222">
        <v>20.5</v>
      </c>
      <c r="E11" s="222">
        <v>8.3800000000000008</v>
      </c>
      <c r="F11" s="218">
        <v>93</v>
      </c>
      <c r="G11" s="222">
        <v>7.9</v>
      </c>
      <c r="H11" s="222">
        <v>1.2</v>
      </c>
      <c r="I11" s="222">
        <v>52.1</v>
      </c>
      <c r="J11" s="222">
        <v>0.89</v>
      </c>
      <c r="K11" s="218">
        <v>48</v>
      </c>
      <c r="L11" s="218">
        <v>68</v>
      </c>
      <c r="M11" s="218">
        <v>1000</v>
      </c>
      <c r="N11" s="218">
        <v>44</v>
      </c>
      <c r="O11" s="218">
        <v>1900</v>
      </c>
      <c r="P11" s="222" t="s">
        <v>18</v>
      </c>
      <c r="Q11" s="222" t="s">
        <v>18</v>
      </c>
      <c r="R11" s="609" t="s">
        <v>18</v>
      </c>
      <c r="S11" s="434"/>
      <c r="T11" s="435"/>
      <c r="U11" s="422"/>
      <c r="V11" s="423"/>
      <c r="W11" s="421"/>
      <c r="X11" s="421"/>
      <c r="Y11" s="421"/>
      <c r="Z11" s="421"/>
      <c r="AA11" s="421"/>
      <c r="AB11" s="411"/>
      <c r="AC11" s="411"/>
      <c r="AD11" s="411"/>
      <c r="AE11" s="102">
        <v>20.5</v>
      </c>
      <c r="AF11" s="102">
        <v>8.3800000000000008</v>
      </c>
      <c r="AG11" s="102">
        <v>93</v>
      </c>
      <c r="AH11" s="102">
        <v>7.9</v>
      </c>
      <c r="AI11" s="102">
        <v>1.2</v>
      </c>
      <c r="AJ11" s="102">
        <v>52.1</v>
      </c>
      <c r="AK11" s="102">
        <v>0.89</v>
      </c>
      <c r="AL11" s="102">
        <v>48</v>
      </c>
      <c r="AM11" s="102">
        <v>68</v>
      </c>
      <c r="AN11" s="102">
        <v>1000</v>
      </c>
      <c r="AO11" s="102">
        <v>44</v>
      </c>
      <c r="AP11" s="102">
        <v>1900</v>
      </c>
      <c r="AQ11" s="102" t="str">
        <f t="shared" si="0"/>
        <v/>
      </c>
    </row>
    <row r="12" spans="1:43" s="102" customFormat="1" ht="12" customHeight="1">
      <c r="A12" s="118">
        <v>3</v>
      </c>
      <c r="B12" s="102" t="s">
        <v>252</v>
      </c>
      <c r="C12" s="206">
        <v>45848</v>
      </c>
      <c r="D12" s="222">
        <v>20.5</v>
      </c>
      <c r="E12" s="222">
        <v>7.6</v>
      </c>
      <c r="F12" s="218">
        <v>84</v>
      </c>
      <c r="G12" s="222">
        <v>7.8</v>
      </c>
      <c r="H12" s="222">
        <v>0.78</v>
      </c>
      <c r="I12" s="222">
        <v>52.3</v>
      </c>
      <c r="J12" s="222">
        <v>0.62</v>
      </c>
      <c r="K12" s="218">
        <v>57</v>
      </c>
      <c r="L12" s="218">
        <v>78</v>
      </c>
      <c r="M12" s="218">
        <v>1100</v>
      </c>
      <c r="N12" s="218">
        <v>34</v>
      </c>
      <c r="O12" s="218">
        <v>1300</v>
      </c>
      <c r="P12" s="222" t="s">
        <v>18</v>
      </c>
      <c r="Q12" s="222" t="s">
        <v>18</v>
      </c>
      <c r="R12" s="609" t="s">
        <v>18</v>
      </c>
      <c r="S12" s="420"/>
      <c r="T12" s="421"/>
      <c r="U12" s="422"/>
      <c r="V12" s="423"/>
      <c r="W12" s="421"/>
      <c r="X12" s="421"/>
      <c r="Y12" s="421"/>
      <c r="Z12" s="421"/>
      <c r="AA12" s="421"/>
      <c r="AB12" s="411"/>
      <c r="AC12" s="411"/>
      <c r="AD12" s="411"/>
      <c r="AE12" s="102">
        <v>20.5</v>
      </c>
      <c r="AF12" s="102">
        <v>7.6</v>
      </c>
      <c r="AG12" s="102">
        <v>84</v>
      </c>
      <c r="AH12" s="102">
        <v>7.8</v>
      </c>
      <c r="AI12" s="102">
        <v>0.78</v>
      </c>
      <c r="AJ12" s="102">
        <v>52.3</v>
      </c>
      <c r="AK12" s="102">
        <v>0.62</v>
      </c>
      <c r="AL12" s="102">
        <v>57</v>
      </c>
      <c r="AM12" s="102">
        <v>78</v>
      </c>
      <c r="AN12" s="102">
        <v>1100</v>
      </c>
      <c r="AO12" s="102">
        <v>34</v>
      </c>
      <c r="AP12" s="102">
        <v>1300</v>
      </c>
      <c r="AQ12" s="102" t="str">
        <f t="shared" si="0"/>
        <v/>
      </c>
    </row>
    <row r="13" spans="1:43" s="102" customFormat="1" ht="12" customHeight="1">
      <c r="A13" s="118">
        <v>3</v>
      </c>
      <c r="B13" s="102" t="s">
        <v>252</v>
      </c>
      <c r="C13" s="206" t="s">
        <v>18</v>
      </c>
      <c r="D13" s="222" t="s">
        <v>18</v>
      </c>
      <c r="E13" s="222" t="s">
        <v>18</v>
      </c>
      <c r="F13" s="218" t="s">
        <v>18</v>
      </c>
      <c r="G13" s="222" t="s">
        <v>18</v>
      </c>
      <c r="H13" s="222" t="s">
        <v>18</v>
      </c>
      <c r="I13" s="222" t="s">
        <v>18</v>
      </c>
      <c r="J13" s="222" t="s">
        <v>18</v>
      </c>
      <c r="K13" s="218" t="s">
        <v>18</v>
      </c>
      <c r="L13" s="218" t="s">
        <v>18</v>
      </c>
      <c r="M13" s="218" t="s">
        <v>18</v>
      </c>
      <c r="N13" s="218" t="s">
        <v>18</v>
      </c>
      <c r="O13" s="218" t="s">
        <v>18</v>
      </c>
      <c r="P13" s="222" t="s">
        <v>18</v>
      </c>
      <c r="Q13" s="222" t="s">
        <v>18</v>
      </c>
      <c r="R13" s="609" t="s">
        <v>18</v>
      </c>
      <c r="S13" s="420"/>
      <c r="T13" s="421"/>
      <c r="U13" s="422"/>
      <c r="V13" s="423"/>
      <c r="W13" s="421"/>
      <c r="X13" s="421"/>
      <c r="Y13" s="421"/>
      <c r="Z13" s="421"/>
      <c r="AA13" s="421"/>
      <c r="AB13" s="411"/>
      <c r="AC13" s="411"/>
      <c r="AD13" s="411"/>
      <c r="AE13" s="102" t="s">
        <v>18</v>
      </c>
      <c r="AF13" s="102" t="s">
        <v>18</v>
      </c>
      <c r="AG13" s="102" t="s">
        <v>18</v>
      </c>
      <c r="AH13" s="102" t="s">
        <v>18</v>
      </c>
      <c r="AI13" s="102" t="s">
        <v>18</v>
      </c>
      <c r="AJ13" s="102" t="s">
        <v>18</v>
      </c>
      <c r="AK13" s="102" t="s">
        <v>18</v>
      </c>
      <c r="AL13" s="102" t="s">
        <v>18</v>
      </c>
      <c r="AM13" s="102" t="s">
        <v>18</v>
      </c>
      <c r="AN13" s="102" t="s">
        <v>18</v>
      </c>
      <c r="AO13" s="102" t="s">
        <v>18</v>
      </c>
      <c r="AP13" s="102" t="s">
        <v>18</v>
      </c>
      <c r="AQ13" s="102" t="str">
        <f t="shared" si="0"/>
        <v/>
      </c>
    </row>
    <row r="14" spans="1:43" s="102" customFormat="1" ht="12" customHeight="1">
      <c r="A14" s="118">
        <v>3</v>
      </c>
      <c r="B14" s="102" t="s">
        <v>252</v>
      </c>
      <c r="C14" s="206" t="s">
        <v>18</v>
      </c>
      <c r="D14" s="222" t="s">
        <v>18</v>
      </c>
      <c r="E14" s="222" t="s">
        <v>18</v>
      </c>
      <c r="F14" s="218" t="s">
        <v>18</v>
      </c>
      <c r="G14" s="222" t="s">
        <v>18</v>
      </c>
      <c r="H14" s="222" t="s">
        <v>18</v>
      </c>
      <c r="I14" s="222" t="s">
        <v>18</v>
      </c>
      <c r="J14" s="222" t="s">
        <v>18</v>
      </c>
      <c r="K14" s="218" t="s">
        <v>18</v>
      </c>
      <c r="L14" s="218" t="s">
        <v>18</v>
      </c>
      <c r="M14" s="218" t="s">
        <v>18</v>
      </c>
      <c r="N14" s="218" t="s">
        <v>18</v>
      </c>
      <c r="O14" s="218" t="s">
        <v>18</v>
      </c>
      <c r="P14" s="222" t="s">
        <v>18</v>
      </c>
      <c r="Q14" s="222" t="s">
        <v>18</v>
      </c>
      <c r="R14" s="609" t="s">
        <v>18</v>
      </c>
      <c r="S14" s="420"/>
      <c r="T14" s="421"/>
      <c r="U14" s="422"/>
      <c r="V14" s="423"/>
      <c r="W14" s="421"/>
      <c r="X14" s="421"/>
      <c r="Y14" s="421"/>
      <c r="Z14" s="421"/>
      <c r="AA14" s="421"/>
      <c r="AB14" s="411"/>
      <c r="AC14" s="411"/>
      <c r="AD14" s="411"/>
      <c r="AE14" s="102" t="s">
        <v>18</v>
      </c>
      <c r="AF14" s="102" t="s">
        <v>18</v>
      </c>
      <c r="AG14" s="102" t="s">
        <v>18</v>
      </c>
      <c r="AH14" s="102" t="s">
        <v>18</v>
      </c>
      <c r="AI14" s="102" t="s">
        <v>18</v>
      </c>
      <c r="AJ14" s="102" t="s">
        <v>18</v>
      </c>
      <c r="AK14" s="102" t="s">
        <v>18</v>
      </c>
      <c r="AL14" s="102" t="s">
        <v>18</v>
      </c>
      <c r="AM14" s="102" t="s">
        <v>18</v>
      </c>
      <c r="AN14" s="102" t="s">
        <v>18</v>
      </c>
      <c r="AO14" s="102" t="s">
        <v>18</v>
      </c>
      <c r="AP14" s="102" t="s">
        <v>18</v>
      </c>
      <c r="AQ14" s="102" t="str">
        <f t="shared" si="0"/>
        <v/>
      </c>
    </row>
    <row r="15" spans="1:43" s="102" customFormat="1" ht="12" customHeight="1">
      <c r="A15" s="118">
        <v>3</v>
      </c>
      <c r="B15" s="102" t="s">
        <v>252</v>
      </c>
      <c r="C15" s="206" t="s">
        <v>18</v>
      </c>
      <c r="D15" s="222" t="s">
        <v>18</v>
      </c>
      <c r="E15" s="222" t="s">
        <v>18</v>
      </c>
      <c r="F15" s="218" t="s">
        <v>18</v>
      </c>
      <c r="G15" s="222" t="s">
        <v>18</v>
      </c>
      <c r="H15" s="222" t="s">
        <v>18</v>
      </c>
      <c r="I15" s="222" t="s">
        <v>18</v>
      </c>
      <c r="J15" s="222" t="s">
        <v>18</v>
      </c>
      <c r="K15" s="218" t="s">
        <v>18</v>
      </c>
      <c r="L15" s="218" t="s">
        <v>18</v>
      </c>
      <c r="M15" s="218" t="s">
        <v>18</v>
      </c>
      <c r="N15" s="218" t="s">
        <v>18</v>
      </c>
      <c r="O15" s="218" t="s">
        <v>18</v>
      </c>
      <c r="P15" s="222" t="s">
        <v>18</v>
      </c>
      <c r="Q15" s="222" t="s">
        <v>18</v>
      </c>
      <c r="R15" s="609" t="s">
        <v>18</v>
      </c>
      <c r="S15" s="420"/>
      <c r="T15" s="421"/>
      <c r="U15" s="422"/>
      <c r="V15" s="423"/>
      <c r="W15" s="421"/>
      <c r="X15" s="421"/>
      <c r="Y15" s="421"/>
      <c r="Z15" s="421"/>
      <c r="AA15" s="421"/>
      <c r="AB15" s="411"/>
      <c r="AC15" s="411"/>
      <c r="AD15" s="411"/>
      <c r="AE15" s="102" t="s">
        <v>18</v>
      </c>
      <c r="AF15" s="102" t="s">
        <v>18</v>
      </c>
      <c r="AG15" s="102" t="s">
        <v>18</v>
      </c>
      <c r="AH15" s="102" t="s">
        <v>18</v>
      </c>
      <c r="AI15" s="102" t="s">
        <v>18</v>
      </c>
      <c r="AJ15" s="102" t="s">
        <v>18</v>
      </c>
      <c r="AK15" s="102" t="s">
        <v>18</v>
      </c>
      <c r="AL15" s="102" t="s">
        <v>18</v>
      </c>
      <c r="AM15" s="102" t="s">
        <v>18</v>
      </c>
      <c r="AN15" s="102" t="s">
        <v>18</v>
      </c>
      <c r="AO15" s="102" t="s">
        <v>18</v>
      </c>
      <c r="AP15" s="102" t="s">
        <v>18</v>
      </c>
      <c r="AQ15" s="102" t="str">
        <f t="shared" si="0"/>
        <v/>
      </c>
    </row>
    <row r="16" spans="1:43" s="102" customFormat="1" ht="12" customHeight="1">
      <c r="A16" s="118">
        <v>3</v>
      </c>
      <c r="B16" s="102" t="s">
        <v>252</v>
      </c>
      <c r="C16" s="206" t="s">
        <v>18</v>
      </c>
      <c r="D16" s="222" t="s">
        <v>18</v>
      </c>
      <c r="E16" s="222" t="s">
        <v>18</v>
      </c>
      <c r="F16" s="218" t="s">
        <v>18</v>
      </c>
      <c r="G16" s="222" t="s">
        <v>18</v>
      </c>
      <c r="H16" s="222" t="s">
        <v>18</v>
      </c>
      <c r="I16" s="222" t="s">
        <v>18</v>
      </c>
      <c r="J16" s="222" t="s">
        <v>18</v>
      </c>
      <c r="K16" s="218" t="s">
        <v>18</v>
      </c>
      <c r="L16" s="218" t="s">
        <v>18</v>
      </c>
      <c r="M16" s="218" t="s">
        <v>18</v>
      </c>
      <c r="N16" s="218" t="s">
        <v>18</v>
      </c>
      <c r="O16" s="218" t="s">
        <v>18</v>
      </c>
      <c r="P16" s="222" t="s">
        <v>18</v>
      </c>
      <c r="Q16" s="222" t="s">
        <v>18</v>
      </c>
      <c r="R16" s="609" t="s">
        <v>18</v>
      </c>
      <c r="S16" s="420"/>
      <c r="T16" s="421"/>
      <c r="U16" s="422"/>
      <c r="V16" s="423"/>
      <c r="W16" s="421"/>
      <c r="X16" s="421"/>
      <c r="Y16" s="421"/>
      <c r="Z16" s="421"/>
      <c r="AA16" s="421"/>
      <c r="AB16" s="411"/>
      <c r="AC16" s="411"/>
      <c r="AD16" s="411"/>
      <c r="AE16" s="102" t="s">
        <v>18</v>
      </c>
      <c r="AF16" s="102" t="s">
        <v>18</v>
      </c>
      <c r="AG16" s="102" t="s">
        <v>18</v>
      </c>
      <c r="AH16" s="102" t="s">
        <v>18</v>
      </c>
      <c r="AI16" s="102" t="s">
        <v>18</v>
      </c>
      <c r="AJ16" s="102" t="s">
        <v>18</v>
      </c>
      <c r="AK16" s="102" t="s">
        <v>18</v>
      </c>
      <c r="AL16" s="102" t="s">
        <v>18</v>
      </c>
      <c r="AM16" s="102" t="s">
        <v>18</v>
      </c>
      <c r="AN16" s="102" t="s">
        <v>18</v>
      </c>
      <c r="AO16" s="102" t="s">
        <v>18</v>
      </c>
      <c r="AP16" s="102" t="s">
        <v>18</v>
      </c>
      <c r="AQ16" s="102" t="str">
        <f t="shared" si="0"/>
        <v/>
      </c>
    </row>
    <row r="17" spans="1:43" s="102" customFormat="1" ht="12" customHeight="1">
      <c r="A17" s="118">
        <v>3</v>
      </c>
      <c r="B17" s="102" t="s">
        <v>252</v>
      </c>
      <c r="C17" s="206" t="s">
        <v>18</v>
      </c>
      <c r="D17" s="222" t="s">
        <v>18</v>
      </c>
      <c r="E17" s="222" t="s">
        <v>18</v>
      </c>
      <c r="F17" s="218" t="s">
        <v>18</v>
      </c>
      <c r="G17" s="222" t="s">
        <v>18</v>
      </c>
      <c r="H17" s="222" t="s">
        <v>18</v>
      </c>
      <c r="I17" s="222" t="s">
        <v>18</v>
      </c>
      <c r="J17" s="222" t="s">
        <v>18</v>
      </c>
      <c r="K17" s="218" t="s">
        <v>18</v>
      </c>
      <c r="L17" s="218" t="s">
        <v>18</v>
      </c>
      <c r="M17" s="218" t="s">
        <v>18</v>
      </c>
      <c r="N17" s="218" t="s">
        <v>18</v>
      </c>
      <c r="O17" s="218" t="s">
        <v>18</v>
      </c>
      <c r="P17" s="222" t="s">
        <v>18</v>
      </c>
      <c r="Q17" s="222" t="s">
        <v>18</v>
      </c>
      <c r="R17" s="609" t="s">
        <v>18</v>
      </c>
      <c r="S17" s="420"/>
      <c r="T17" s="421"/>
      <c r="U17" s="422"/>
      <c r="V17" s="423"/>
      <c r="W17" s="421"/>
      <c r="X17" s="421"/>
      <c r="Y17" s="421"/>
      <c r="Z17" s="421"/>
      <c r="AA17" s="421"/>
      <c r="AB17" s="411"/>
      <c r="AC17" s="411"/>
      <c r="AD17" s="411"/>
      <c r="AE17" s="102" t="s">
        <v>18</v>
      </c>
      <c r="AF17" s="102" t="s">
        <v>18</v>
      </c>
      <c r="AG17" s="102" t="s">
        <v>18</v>
      </c>
      <c r="AH17" s="102" t="s">
        <v>18</v>
      </c>
      <c r="AI17" s="102" t="s">
        <v>18</v>
      </c>
      <c r="AJ17" s="102" t="s">
        <v>18</v>
      </c>
      <c r="AK17" s="102" t="s">
        <v>18</v>
      </c>
      <c r="AL17" s="102" t="s">
        <v>18</v>
      </c>
      <c r="AM17" s="102" t="s">
        <v>18</v>
      </c>
      <c r="AN17" s="102" t="s">
        <v>18</v>
      </c>
      <c r="AO17" s="102" t="s">
        <v>18</v>
      </c>
      <c r="AP17" s="102" t="s">
        <v>18</v>
      </c>
      <c r="AQ17" s="102" t="str">
        <f t="shared" si="0"/>
        <v/>
      </c>
    </row>
    <row r="18" spans="1:43" s="102" customFormat="1" ht="12">
      <c r="A18" s="118">
        <v>3</v>
      </c>
      <c r="B18" s="102" t="s">
        <v>252</v>
      </c>
      <c r="C18" s="206" t="s">
        <v>435</v>
      </c>
      <c r="D18" s="222">
        <v>15.4</v>
      </c>
      <c r="E18" s="222">
        <v>9.42</v>
      </c>
      <c r="F18" s="218">
        <v>94</v>
      </c>
      <c r="G18" s="222">
        <v>7.9</v>
      </c>
      <c r="H18" s="222">
        <v>1.7</v>
      </c>
      <c r="I18" s="222">
        <v>55.1</v>
      </c>
      <c r="J18" s="222">
        <v>1</v>
      </c>
      <c r="K18" s="218">
        <v>20</v>
      </c>
      <c r="L18" s="218">
        <v>51</v>
      </c>
      <c r="M18" s="218">
        <v>1100</v>
      </c>
      <c r="N18" s="218">
        <v>28</v>
      </c>
      <c r="O18" s="218">
        <v>1800</v>
      </c>
      <c r="P18" s="222" t="s">
        <v>18</v>
      </c>
      <c r="Q18" s="222" t="s">
        <v>18</v>
      </c>
      <c r="R18" s="609" t="s">
        <v>18</v>
      </c>
      <c r="S18" s="420"/>
      <c r="T18" s="421"/>
      <c r="U18" s="422"/>
      <c r="V18" s="423"/>
      <c r="W18" s="421"/>
      <c r="X18" s="421"/>
      <c r="Y18" s="421"/>
      <c r="Z18" s="421"/>
      <c r="AA18" s="421"/>
      <c r="AB18" s="411"/>
      <c r="AC18" s="411"/>
      <c r="AD18" s="411"/>
      <c r="AE18" s="102">
        <v>15.4</v>
      </c>
      <c r="AF18" s="102">
        <v>9.42</v>
      </c>
      <c r="AG18" s="102">
        <v>94</v>
      </c>
      <c r="AH18" s="102">
        <v>7.9</v>
      </c>
      <c r="AI18" s="102">
        <v>1.7</v>
      </c>
      <c r="AJ18" s="102">
        <v>55.1</v>
      </c>
      <c r="AK18" s="102">
        <v>1</v>
      </c>
      <c r="AL18" s="102">
        <v>20</v>
      </c>
      <c r="AM18" s="102">
        <v>51</v>
      </c>
      <c r="AN18" s="102">
        <v>1100</v>
      </c>
      <c r="AO18" s="102">
        <v>28</v>
      </c>
      <c r="AP18" s="102">
        <v>1800</v>
      </c>
      <c r="AQ18" s="102" t="str">
        <f t="shared" si="0"/>
        <v/>
      </c>
    </row>
    <row r="19" spans="1:43" s="102" customFormat="1" ht="12">
      <c r="A19" s="117"/>
      <c r="C19" s="610" t="s">
        <v>150</v>
      </c>
      <c r="D19" s="611">
        <v>12.147142857142857</v>
      </c>
      <c r="E19" s="611">
        <v>11.031428571428572</v>
      </c>
      <c r="F19" s="612">
        <v>94.142857142857139</v>
      </c>
      <c r="G19" s="611">
        <v>7.9571428571428564</v>
      </c>
      <c r="H19" s="611">
        <v>3.3685714285714288</v>
      </c>
      <c r="I19" s="611">
        <v>51.428571428571431</v>
      </c>
      <c r="J19" s="611">
        <v>1.3157142857142856</v>
      </c>
      <c r="K19" s="612">
        <v>32.014285714285712</v>
      </c>
      <c r="L19" s="612">
        <v>62.714285714285715</v>
      </c>
      <c r="M19" s="612">
        <v>2171.4285714285716</v>
      </c>
      <c r="N19" s="612">
        <v>37</v>
      </c>
      <c r="O19" s="612">
        <v>2742.8571428571427</v>
      </c>
      <c r="P19" s="611"/>
      <c r="Q19" s="715"/>
      <c r="R19" s="307"/>
      <c r="S19" s="420"/>
      <c r="T19" s="421"/>
      <c r="U19" s="422"/>
      <c r="V19" s="423"/>
      <c r="W19" s="421"/>
      <c r="X19" s="421"/>
      <c r="Y19" s="421"/>
      <c r="Z19" s="421"/>
      <c r="AA19" s="421"/>
      <c r="AB19" s="411"/>
      <c r="AC19" s="411"/>
      <c r="AD19" s="411"/>
      <c r="AE19" s="102">
        <v>12.147142857142857</v>
      </c>
      <c r="AF19" s="102">
        <v>11.031428571428572</v>
      </c>
      <c r="AG19" s="102">
        <v>94.142857142857139</v>
      </c>
      <c r="AH19" s="102">
        <v>7.9571428571428564</v>
      </c>
      <c r="AI19" s="102">
        <v>3.3685714285714288</v>
      </c>
      <c r="AJ19" s="102">
        <v>51.428571428571431</v>
      </c>
      <c r="AK19" s="102">
        <v>1.3157142857142856</v>
      </c>
      <c r="AL19" s="102">
        <v>32.014285714285712</v>
      </c>
      <c r="AM19" s="102">
        <v>62.714285714285715</v>
      </c>
      <c r="AN19" s="102">
        <v>2171.4285714285716</v>
      </c>
      <c r="AO19" s="102">
        <v>37</v>
      </c>
      <c r="AP19" s="102">
        <v>2742.8571428571427</v>
      </c>
      <c r="AQ19" s="102">
        <f t="shared" si="0"/>
        <v>0</v>
      </c>
    </row>
    <row r="20" spans="1:43" s="102" customFormat="1" ht="12">
      <c r="A20" s="117"/>
      <c r="C20" s="613" t="s">
        <v>151</v>
      </c>
      <c r="D20" s="614">
        <v>20.5</v>
      </c>
      <c r="E20" s="614">
        <v>14.72</v>
      </c>
      <c r="F20" s="615">
        <v>103</v>
      </c>
      <c r="G20" s="614">
        <v>8.1</v>
      </c>
      <c r="H20" s="614">
        <v>7.6</v>
      </c>
      <c r="I20" s="614">
        <v>57.6</v>
      </c>
      <c r="J20" s="615">
        <v>2.4</v>
      </c>
      <c r="K20" s="615">
        <v>57</v>
      </c>
      <c r="L20" s="615">
        <v>84</v>
      </c>
      <c r="M20" s="615">
        <v>4000</v>
      </c>
      <c r="N20" s="615">
        <v>60</v>
      </c>
      <c r="O20" s="615">
        <v>4500</v>
      </c>
      <c r="P20" s="614"/>
      <c r="Q20" s="716"/>
      <c r="R20" s="307"/>
      <c r="S20" s="420"/>
      <c r="T20" s="421"/>
      <c r="U20" s="422"/>
      <c r="V20" s="423"/>
      <c r="W20" s="421"/>
      <c r="X20" s="421"/>
      <c r="Y20" s="421"/>
      <c r="Z20" s="421"/>
      <c r="AA20" s="421"/>
      <c r="AB20" s="411"/>
      <c r="AC20" s="411"/>
      <c r="AD20" s="411"/>
      <c r="AE20" s="102">
        <v>20.5</v>
      </c>
      <c r="AF20" s="102">
        <v>14.72</v>
      </c>
      <c r="AG20" s="102">
        <v>103</v>
      </c>
      <c r="AH20" s="102">
        <v>8.1</v>
      </c>
      <c r="AI20" s="102">
        <v>7.6</v>
      </c>
      <c r="AJ20" s="102">
        <v>57.6</v>
      </c>
      <c r="AK20" s="102">
        <v>2.4</v>
      </c>
      <c r="AL20" s="102">
        <v>57</v>
      </c>
      <c r="AM20" s="102">
        <v>84</v>
      </c>
      <c r="AN20" s="102">
        <v>4000</v>
      </c>
      <c r="AO20" s="102">
        <v>60</v>
      </c>
      <c r="AP20" s="102">
        <v>4500</v>
      </c>
      <c r="AQ20" s="102">
        <f t="shared" si="0"/>
        <v>0</v>
      </c>
    </row>
    <row r="21" spans="1:43" s="102" customFormat="1" ht="12">
      <c r="A21" s="117"/>
      <c r="C21" s="616" t="s">
        <v>152</v>
      </c>
      <c r="D21" s="617">
        <v>1</v>
      </c>
      <c r="E21" s="617">
        <v>7.6</v>
      </c>
      <c r="F21" s="618">
        <v>84</v>
      </c>
      <c r="G21" s="617">
        <v>7.8</v>
      </c>
      <c r="H21" s="617">
        <v>0.78</v>
      </c>
      <c r="I21" s="617">
        <v>45.8</v>
      </c>
      <c r="J21" s="617">
        <v>0.62</v>
      </c>
      <c r="K21" s="618">
        <v>6.1</v>
      </c>
      <c r="L21" s="618">
        <v>45</v>
      </c>
      <c r="M21" s="618">
        <v>1000</v>
      </c>
      <c r="N21" s="618">
        <v>10</v>
      </c>
      <c r="O21" s="618">
        <v>1300</v>
      </c>
      <c r="P21" s="617"/>
      <c r="Q21" s="717"/>
      <c r="R21" s="307"/>
      <c r="S21" s="420"/>
      <c r="T21" s="421"/>
      <c r="U21" s="422"/>
      <c r="V21" s="423"/>
      <c r="W21" s="421"/>
      <c r="X21" s="421"/>
      <c r="Y21" s="421"/>
      <c r="Z21" s="421"/>
      <c r="AA21" s="421"/>
      <c r="AB21" s="411"/>
      <c r="AC21" s="411"/>
      <c r="AD21" s="411"/>
      <c r="AE21" s="102">
        <v>1</v>
      </c>
      <c r="AF21" s="102">
        <v>7.6</v>
      </c>
      <c r="AG21" s="102">
        <v>84</v>
      </c>
      <c r="AH21" s="102">
        <v>7.8</v>
      </c>
      <c r="AI21" s="102">
        <v>0.78</v>
      </c>
      <c r="AJ21" s="102">
        <v>45.8</v>
      </c>
      <c r="AK21" s="102">
        <v>0.62</v>
      </c>
      <c r="AL21" s="102">
        <v>6.1</v>
      </c>
      <c r="AM21" s="102">
        <v>45</v>
      </c>
      <c r="AN21" s="102">
        <v>1000</v>
      </c>
      <c r="AO21" s="102">
        <v>10</v>
      </c>
      <c r="AP21" s="102">
        <v>1300</v>
      </c>
      <c r="AQ21" s="102">
        <f t="shared" si="0"/>
        <v>0</v>
      </c>
    </row>
    <row r="22" spans="1:43" s="102" customFormat="1" ht="12">
      <c r="A22" s="117"/>
      <c r="B22" s="411"/>
      <c r="C22" s="619"/>
      <c r="D22" s="620"/>
      <c r="E22" s="620"/>
      <c r="F22" s="621"/>
      <c r="G22" s="620"/>
      <c r="H22" s="620"/>
      <c r="I22" s="620"/>
      <c r="J22" s="622"/>
      <c r="K22" s="622"/>
      <c r="L22" s="622"/>
      <c r="M22" s="622"/>
      <c r="N22" s="622"/>
      <c r="O22" s="622"/>
      <c r="P22" s="620"/>
      <c r="Q22" s="620"/>
      <c r="R22" s="387"/>
      <c r="S22" s="420"/>
      <c r="T22" s="421"/>
      <c r="U22" s="422"/>
      <c r="V22" s="423"/>
      <c r="W22" s="421"/>
      <c r="X22" s="421"/>
      <c r="Y22" s="421"/>
      <c r="Z22" s="421"/>
      <c r="AA22" s="421"/>
      <c r="AB22" s="411"/>
      <c r="AC22" s="411"/>
      <c r="AD22" s="411"/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02">
        <v>0</v>
      </c>
      <c r="AN22" s="102">
        <v>0</v>
      </c>
      <c r="AO22" s="102">
        <v>0</v>
      </c>
      <c r="AP22" s="102">
        <v>0</v>
      </c>
      <c r="AQ22" s="102">
        <f t="shared" si="0"/>
        <v>0</v>
      </c>
    </row>
    <row r="23" spans="1:43" s="102" customFormat="1" ht="12" customHeight="1">
      <c r="A23" s="117">
        <v>5</v>
      </c>
      <c r="B23" s="102" t="s">
        <v>253</v>
      </c>
      <c r="C23" s="206">
        <v>45671</v>
      </c>
      <c r="D23" s="222">
        <v>1.8</v>
      </c>
      <c r="E23" s="222">
        <v>12.94</v>
      </c>
      <c r="F23" s="218">
        <v>93</v>
      </c>
      <c r="G23" s="222">
        <v>7.9</v>
      </c>
      <c r="H23" s="222">
        <v>6.8</v>
      </c>
      <c r="I23" s="222">
        <v>45</v>
      </c>
      <c r="J23" s="102">
        <v>1.4</v>
      </c>
      <c r="K23" s="218">
        <v>42</v>
      </c>
      <c r="L23" s="218">
        <v>92</v>
      </c>
      <c r="M23" s="218">
        <v>3200</v>
      </c>
      <c r="N23" s="218">
        <v>74</v>
      </c>
      <c r="O23" s="218">
        <v>4000</v>
      </c>
      <c r="P23" s="222" t="s">
        <v>18</v>
      </c>
      <c r="Q23" s="222" t="s">
        <v>18</v>
      </c>
      <c r="R23" s="218" t="s">
        <v>18</v>
      </c>
      <c r="S23" s="426"/>
      <c r="T23" s="427"/>
      <c r="U23" s="422"/>
      <c r="V23" s="423"/>
      <c r="W23" s="424"/>
      <c r="X23" s="425"/>
      <c r="Y23" s="425"/>
      <c r="Z23" s="424"/>
      <c r="AA23" s="425"/>
      <c r="AB23" s="425"/>
      <c r="AC23" s="425"/>
      <c r="AD23" s="411"/>
      <c r="AE23" s="102">
        <v>1.8</v>
      </c>
      <c r="AF23" s="102">
        <v>12.94</v>
      </c>
      <c r="AG23" s="102">
        <v>93</v>
      </c>
      <c r="AH23" s="102">
        <v>7.9</v>
      </c>
      <c r="AI23" s="102">
        <v>6.8</v>
      </c>
      <c r="AJ23" s="102">
        <v>45</v>
      </c>
      <c r="AK23" s="102">
        <v>1.4</v>
      </c>
      <c r="AL23" s="102">
        <v>42</v>
      </c>
      <c r="AM23" s="102">
        <v>92</v>
      </c>
      <c r="AN23" s="102">
        <v>3200</v>
      </c>
      <c r="AO23" s="102">
        <v>74</v>
      </c>
      <c r="AP23" s="102">
        <v>4000</v>
      </c>
      <c r="AQ23" s="102" t="str">
        <f t="shared" si="0"/>
        <v/>
      </c>
    </row>
    <row r="24" spans="1:43" s="102" customFormat="1" ht="12" customHeight="1">
      <c r="A24" s="117">
        <v>5</v>
      </c>
      <c r="B24" s="102" t="s">
        <v>253</v>
      </c>
      <c r="C24" s="206">
        <v>45734</v>
      </c>
      <c r="D24" s="222">
        <v>11.35</v>
      </c>
      <c r="E24" s="222">
        <v>11.35</v>
      </c>
      <c r="F24" s="218">
        <v>89</v>
      </c>
      <c r="G24" s="222">
        <v>7.8</v>
      </c>
      <c r="H24" s="222">
        <v>5.3</v>
      </c>
      <c r="I24" s="222">
        <v>48.8</v>
      </c>
      <c r="J24" s="102">
        <v>2.2999999999999998</v>
      </c>
      <c r="K24" s="218">
        <v>14</v>
      </c>
      <c r="L24" s="218">
        <v>58</v>
      </c>
      <c r="M24" s="218">
        <v>2100</v>
      </c>
      <c r="N24" s="218">
        <v>89</v>
      </c>
      <c r="O24" s="218">
        <v>2500</v>
      </c>
      <c r="P24" s="222" t="s">
        <v>18</v>
      </c>
      <c r="R24" s="218" t="s">
        <v>18</v>
      </c>
      <c r="S24" s="429"/>
      <c r="T24" s="430"/>
      <c r="U24" s="422"/>
      <c r="V24" s="423"/>
      <c r="W24" s="431"/>
      <c r="X24" s="432"/>
      <c r="Y24" s="411"/>
      <c r="Z24" s="411"/>
      <c r="AA24" s="411"/>
      <c r="AB24" s="411"/>
      <c r="AC24" s="411"/>
      <c r="AD24" s="411"/>
      <c r="AE24" s="102">
        <v>11.35</v>
      </c>
      <c r="AF24" s="102">
        <v>11.35</v>
      </c>
      <c r="AG24" s="102">
        <v>89</v>
      </c>
      <c r="AH24" s="102">
        <v>7.8</v>
      </c>
      <c r="AI24" s="102">
        <v>5.3</v>
      </c>
      <c r="AJ24" s="102">
        <v>48.8</v>
      </c>
      <c r="AK24" s="102">
        <v>2.2999999999999998</v>
      </c>
      <c r="AL24" s="102">
        <v>14</v>
      </c>
      <c r="AM24" s="102">
        <v>58</v>
      </c>
      <c r="AN24" s="102">
        <v>2100</v>
      </c>
      <c r="AO24" s="102">
        <v>89</v>
      </c>
      <c r="AP24" s="102">
        <v>2500</v>
      </c>
      <c r="AQ24" s="102" t="str">
        <f>IF(OR(LEFT(Q25,1)="&lt;",LEFT(Q25,1)="&gt;"),VALUE(MID(Q25,2,5)),Q25)</f>
        <v/>
      </c>
    </row>
    <row r="25" spans="1:43" s="102" customFormat="1" ht="12" customHeight="1">
      <c r="A25" s="117">
        <v>5</v>
      </c>
      <c r="B25" s="102" t="s">
        <v>253</v>
      </c>
      <c r="C25" s="206">
        <v>45848</v>
      </c>
      <c r="D25" s="222">
        <v>22</v>
      </c>
      <c r="E25" s="222">
        <v>8.33</v>
      </c>
      <c r="F25" s="218">
        <v>95</v>
      </c>
      <c r="G25" s="222">
        <v>7.8</v>
      </c>
      <c r="H25" s="222">
        <v>1.1000000000000001</v>
      </c>
      <c r="I25" s="222">
        <v>47.5</v>
      </c>
      <c r="J25" s="102">
        <v>1.2</v>
      </c>
      <c r="K25" s="218">
        <v>21</v>
      </c>
      <c r="L25" s="218">
        <v>47</v>
      </c>
      <c r="M25" s="218">
        <v>380</v>
      </c>
      <c r="N25" s="218">
        <v>36</v>
      </c>
      <c r="O25" s="218">
        <v>870</v>
      </c>
      <c r="P25" s="222" t="s">
        <v>18</v>
      </c>
      <c r="Q25" s="222" t="s">
        <v>18</v>
      </c>
      <c r="R25" s="218" t="s">
        <v>18</v>
      </c>
      <c r="S25" s="420"/>
      <c r="T25" s="421"/>
      <c r="U25" s="422"/>
      <c r="V25" s="423"/>
      <c r="W25" s="421"/>
      <c r="X25" s="421"/>
      <c r="Y25" s="421"/>
      <c r="Z25" s="421"/>
      <c r="AA25" s="421"/>
      <c r="AB25" s="411"/>
      <c r="AC25" s="411"/>
      <c r="AD25" s="411"/>
      <c r="AE25" s="102">
        <v>22</v>
      </c>
      <c r="AF25" s="102">
        <v>8.33</v>
      </c>
      <c r="AG25" s="102">
        <v>95</v>
      </c>
      <c r="AH25" s="102">
        <v>7.8</v>
      </c>
      <c r="AI25" s="102">
        <v>1.1000000000000001</v>
      </c>
      <c r="AJ25" s="102">
        <v>47.5</v>
      </c>
      <c r="AK25" s="102">
        <v>1.2</v>
      </c>
      <c r="AL25" s="102">
        <v>21</v>
      </c>
      <c r="AM25" s="102">
        <v>47</v>
      </c>
      <c r="AN25" s="102">
        <v>380</v>
      </c>
      <c r="AO25" s="102">
        <v>36</v>
      </c>
      <c r="AP25" s="102">
        <v>870</v>
      </c>
      <c r="AQ25" s="102" t="e">
        <f>IF(OR(LEFT(#REF!,1)="&lt;",LEFT(#REF!,1)="&gt;"),VALUE(MID(#REF!,2,5)),#REF!)</f>
        <v>#REF!</v>
      </c>
    </row>
    <row r="26" spans="1:43" s="102" customFormat="1" ht="12" customHeight="1">
      <c r="A26" s="117">
        <v>5</v>
      </c>
      <c r="B26" s="102" t="s">
        <v>253</v>
      </c>
      <c r="C26" s="206" t="s">
        <v>18</v>
      </c>
      <c r="D26" s="222" t="s">
        <v>18</v>
      </c>
      <c r="E26" s="222" t="s">
        <v>18</v>
      </c>
      <c r="F26" s="218" t="s">
        <v>18</v>
      </c>
      <c r="G26" s="222" t="s">
        <v>18</v>
      </c>
      <c r="H26" s="222" t="s">
        <v>18</v>
      </c>
      <c r="I26" s="222" t="s">
        <v>18</v>
      </c>
      <c r="J26" s="102" t="s">
        <v>18</v>
      </c>
      <c r="K26" s="218" t="s">
        <v>18</v>
      </c>
      <c r="L26" s="218" t="s">
        <v>18</v>
      </c>
      <c r="M26" s="218" t="s">
        <v>18</v>
      </c>
      <c r="N26" s="218" t="s">
        <v>18</v>
      </c>
      <c r="O26" s="218" t="s">
        <v>18</v>
      </c>
      <c r="P26" s="222" t="s">
        <v>18</v>
      </c>
      <c r="Q26" s="222" t="s">
        <v>18</v>
      </c>
      <c r="R26" s="218" t="s">
        <v>18</v>
      </c>
      <c r="S26" s="420"/>
      <c r="T26" s="421"/>
      <c r="U26" s="422"/>
      <c r="V26" s="423"/>
      <c r="W26" s="421"/>
      <c r="X26" s="421"/>
      <c r="Y26" s="421"/>
      <c r="Z26" s="421"/>
      <c r="AA26" s="421"/>
      <c r="AB26" s="411"/>
      <c r="AC26" s="411"/>
      <c r="AD26" s="411"/>
      <c r="AE26" s="102" t="s">
        <v>18</v>
      </c>
      <c r="AF26" s="102" t="s">
        <v>18</v>
      </c>
      <c r="AG26" s="102" t="s">
        <v>18</v>
      </c>
      <c r="AH26" s="102" t="s">
        <v>18</v>
      </c>
      <c r="AI26" s="102" t="s">
        <v>18</v>
      </c>
      <c r="AJ26" s="102" t="s">
        <v>18</v>
      </c>
      <c r="AK26" s="102" t="s">
        <v>18</v>
      </c>
      <c r="AL26" s="102" t="s">
        <v>18</v>
      </c>
      <c r="AM26" s="102" t="s">
        <v>18</v>
      </c>
      <c r="AN26" s="102" t="s">
        <v>18</v>
      </c>
      <c r="AO26" s="102" t="s">
        <v>18</v>
      </c>
      <c r="AP26" s="102" t="s">
        <v>18</v>
      </c>
      <c r="AQ26" s="102" t="str">
        <f t="shared" si="0"/>
        <v/>
      </c>
    </row>
    <row r="27" spans="1:43" s="102" customFormat="1" ht="12" customHeight="1">
      <c r="A27" s="117">
        <v>5</v>
      </c>
      <c r="B27" s="102" t="s">
        <v>253</v>
      </c>
      <c r="C27" s="206" t="s">
        <v>18</v>
      </c>
      <c r="D27" s="222" t="s">
        <v>18</v>
      </c>
      <c r="E27" s="222" t="s">
        <v>18</v>
      </c>
      <c r="F27" s="218" t="s">
        <v>18</v>
      </c>
      <c r="G27" s="222" t="s">
        <v>18</v>
      </c>
      <c r="H27" s="222" t="s">
        <v>18</v>
      </c>
      <c r="I27" s="222" t="s">
        <v>18</v>
      </c>
      <c r="J27" s="102" t="s">
        <v>18</v>
      </c>
      <c r="K27" s="218" t="s">
        <v>18</v>
      </c>
      <c r="L27" s="218" t="s">
        <v>18</v>
      </c>
      <c r="M27" s="218" t="s">
        <v>18</v>
      </c>
      <c r="N27" s="218" t="s">
        <v>18</v>
      </c>
      <c r="O27" s="218" t="s">
        <v>18</v>
      </c>
      <c r="P27" s="222" t="s">
        <v>18</v>
      </c>
      <c r="Q27" s="222" t="s">
        <v>18</v>
      </c>
      <c r="R27" s="218" t="s">
        <v>18</v>
      </c>
      <c r="S27" s="420"/>
      <c r="T27" s="421"/>
      <c r="U27" s="422"/>
      <c r="V27" s="423"/>
      <c r="W27" s="421"/>
      <c r="X27" s="421"/>
      <c r="Y27" s="421"/>
      <c r="Z27" s="421"/>
      <c r="AA27" s="421"/>
      <c r="AB27" s="411"/>
      <c r="AC27" s="411"/>
      <c r="AD27" s="411"/>
      <c r="AE27" s="102" t="s">
        <v>18</v>
      </c>
      <c r="AF27" s="102" t="s">
        <v>18</v>
      </c>
      <c r="AG27" s="102" t="s">
        <v>18</v>
      </c>
      <c r="AH27" s="102" t="s">
        <v>18</v>
      </c>
      <c r="AI27" s="102" t="s">
        <v>18</v>
      </c>
      <c r="AJ27" s="102" t="s">
        <v>18</v>
      </c>
      <c r="AK27" s="102" t="s">
        <v>18</v>
      </c>
      <c r="AL27" s="102" t="s">
        <v>18</v>
      </c>
      <c r="AM27" s="102" t="s">
        <v>18</v>
      </c>
      <c r="AN27" s="102" t="s">
        <v>18</v>
      </c>
      <c r="AO27" s="102" t="s">
        <v>18</v>
      </c>
      <c r="AP27" s="102" t="s">
        <v>18</v>
      </c>
      <c r="AQ27" s="102" t="str">
        <f t="shared" si="0"/>
        <v/>
      </c>
    </row>
    <row r="28" spans="1:43" s="102" customFormat="1" ht="12" customHeight="1">
      <c r="A28" s="117">
        <v>5</v>
      </c>
      <c r="B28" s="102" t="s">
        <v>253</v>
      </c>
      <c r="C28" s="206" t="s">
        <v>435</v>
      </c>
      <c r="D28" s="222">
        <v>15.5</v>
      </c>
      <c r="E28" s="222">
        <v>9.59</v>
      </c>
      <c r="F28" s="218">
        <v>96</v>
      </c>
      <c r="G28" s="222">
        <v>7.9</v>
      </c>
      <c r="H28" s="222">
        <v>2.4</v>
      </c>
      <c r="I28" s="222">
        <v>48.6</v>
      </c>
      <c r="J28" s="102">
        <v>1.3</v>
      </c>
      <c r="K28" s="218">
        <v>9.5</v>
      </c>
      <c r="L28" s="218">
        <v>43</v>
      </c>
      <c r="M28" s="218">
        <v>940</v>
      </c>
      <c r="N28" s="218">
        <v>36</v>
      </c>
      <c r="O28" s="218">
        <v>1500</v>
      </c>
      <c r="P28" s="222" t="s">
        <v>18</v>
      </c>
      <c r="Q28" s="222" t="s">
        <v>18</v>
      </c>
      <c r="R28" s="218" t="s">
        <v>18</v>
      </c>
      <c r="S28" s="420"/>
      <c r="T28" s="421"/>
      <c r="U28" s="422"/>
      <c r="V28" s="423"/>
      <c r="W28" s="421"/>
      <c r="X28" s="421"/>
      <c r="Y28" s="421"/>
      <c r="Z28" s="421"/>
      <c r="AA28" s="421"/>
      <c r="AB28" s="411"/>
      <c r="AC28" s="411"/>
      <c r="AD28" s="411"/>
      <c r="AE28" s="102">
        <v>15.5</v>
      </c>
      <c r="AF28" s="102">
        <v>9.59</v>
      </c>
      <c r="AG28" s="102">
        <v>96</v>
      </c>
      <c r="AH28" s="102">
        <v>7.9</v>
      </c>
      <c r="AI28" s="102">
        <v>2.4</v>
      </c>
      <c r="AJ28" s="102">
        <v>48.6</v>
      </c>
      <c r="AK28" s="102">
        <v>1.3</v>
      </c>
      <c r="AL28" s="102">
        <v>9.5</v>
      </c>
      <c r="AM28" s="102">
        <v>43</v>
      </c>
      <c r="AN28" s="102">
        <v>940</v>
      </c>
      <c r="AO28" s="102">
        <v>36</v>
      </c>
      <c r="AP28" s="102">
        <v>1500</v>
      </c>
      <c r="AQ28" s="102" t="str">
        <f t="shared" si="0"/>
        <v/>
      </c>
    </row>
    <row r="29" spans="1:43" s="102" customFormat="1" ht="12">
      <c r="A29" s="117"/>
      <c r="C29" s="610" t="s">
        <v>150</v>
      </c>
      <c r="D29" s="611">
        <v>12.6625</v>
      </c>
      <c r="E29" s="611">
        <v>10.552499999999998</v>
      </c>
      <c r="F29" s="612">
        <v>93.25</v>
      </c>
      <c r="G29" s="611">
        <v>7.85</v>
      </c>
      <c r="H29" s="611">
        <v>3.9</v>
      </c>
      <c r="I29" s="611">
        <v>47.475000000000001</v>
      </c>
      <c r="J29" s="611">
        <v>1.5499999999999998</v>
      </c>
      <c r="K29" s="612">
        <v>21.625</v>
      </c>
      <c r="L29" s="612">
        <v>60</v>
      </c>
      <c r="M29" s="612">
        <v>1655</v>
      </c>
      <c r="N29" s="612">
        <v>58.75</v>
      </c>
      <c r="O29" s="612">
        <v>2217.5</v>
      </c>
      <c r="P29" s="611"/>
      <c r="Q29" s="715"/>
      <c r="R29" s="307"/>
      <c r="S29" s="420"/>
      <c r="T29" s="421"/>
      <c r="U29" s="422"/>
      <c r="V29" s="423"/>
      <c r="W29" s="421"/>
      <c r="X29" s="421"/>
      <c r="Y29" s="421"/>
      <c r="Z29" s="421"/>
      <c r="AA29" s="421"/>
      <c r="AB29" s="411"/>
      <c r="AC29" s="411"/>
      <c r="AD29" s="411"/>
      <c r="AE29" s="102">
        <v>12.6625</v>
      </c>
      <c r="AF29" s="102">
        <v>10.552499999999998</v>
      </c>
      <c r="AG29" s="102">
        <v>93.25</v>
      </c>
      <c r="AH29" s="102">
        <v>7.85</v>
      </c>
      <c r="AI29" s="102">
        <v>3.9</v>
      </c>
      <c r="AJ29" s="102">
        <v>47.475000000000001</v>
      </c>
      <c r="AK29" s="102">
        <v>1.5499999999999998</v>
      </c>
      <c r="AL29" s="102">
        <v>21.625</v>
      </c>
      <c r="AM29" s="102">
        <v>60</v>
      </c>
      <c r="AN29" s="102">
        <v>1655</v>
      </c>
      <c r="AO29" s="102">
        <v>58.75</v>
      </c>
      <c r="AP29" s="102">
        <v>2217.5</v>
      </c>
      <c r="AQ29" s="102">
        <f t="shared" si="0"/>
        <v>0</v>
      </c>
    </row>
    <row r="30" spans="1:43" s="102" customFormat="1" ht="12">
      <c r="A30" s="117"/>
      <c r="C30" s="613" t="s">
        <v>151</v>
      </c>
      <c r="D30" s="614">
        <v>22</v>
      </c>
      <c r="E30" s="614">
        <v>12.94</v>
      </c>
      <c r="F30" s="615">
        <v>96</v>
      </c>
      <c r="G30" s="614">
        <v>7.9</v>
      </c>
      <c r="H30" s="614">
        <v>6.8</v>
      </c>
      <c r="I30" s="614">
        <v>48.8</v>
      </c>
      <c r="J30" s="614">
        <v>2.2999999999999998</v>
      </c>
      <c r="K30" s="615">
        <v>42</v>
      </c>
      <c r="L30" s="615">
        <v>92</v>
      </c>
      <c r="M30" s="615">
        <v>3200</v>
      </c>
      <c r="N30" s="615">
        <v>89</v>
      </c>
      <c r="O30" s="615">
        <v>4000</v>
      </c>
      <c r="P30" s="614"/>
      <c r="Q30" s="716"/>
      <c r="R30" s="307"/>
      <c r="S30" s="420"/>
      <c r="T30" s="421"/>
      <c r="U30" s="422"/>
      <c r="V30" s="423"/>
      <c r="W30" s="421"/>
      <c r="X30" s="421"/>
      <c r="Y30" s="421"/>
      <c r="Z30" s="421"/>
      <c r="AA30" s="421"/>
      <c r="AB30" s="411"/>
      <c r="AC30" s="411"/>
      <c r="AD30" s="411"/>
      <c r="AE30" s="102">
        <v>22</v>
      </c>
      <c r="AF30" s="102">
        <v>12.94</v>
      </c>
      <c r="AG30" s="102">
        <v>96</v>
      </c>
      <c r="AH30" s="102">
        <v>7.9</v>
      </c>
      <c r="AI30" s="102">
        <v>6.8</v>
      </c>
      <c r="AJ30" s="102">
        <v>48.8</v>
      </c>
      <c r="AK30" s="102">
        <v>2.2999999999999998</v>
      </c>
      <c r="AL30" s="102">
        <v>42</v>
      </c>
      <c r="AM30" s="102">
        <v>92</v>
      </c>
      <c r="AN30" s="102">
        <v>3200</v>
      </c>
      <c r="AO30" s="102">
        <v>89</v>
      </c>
      <c r="AP30" s="102">
        <v>4000</v>
      </c>
      <c r="AQ30" s="102">
        <f t="shared" si="0"/>
        <v>0</v>
      </c>
    </row>
    <row r="31" spans="1:43" s="102" customFormat="1" ht="12">
      <c r="A31" s="117"/>
      <c r="C31" s="616" t="s">
        <v>152</v>
      </c>
      <c r="D31" s="617">
        <v>1.8</v>
      </c>
      <c r="E31" s="617">
        <v>8.33</v>
      </c>
      <c r="F31" s="618">
        <v>89</v>
      </c>
      <c r="G31" s="617">
        <v>7.8</v>
      </c>
      <c r="H31" s="617">
        <v>1.1000000000000001</v>
      </c>
      <c r="I31" s="617">
        <v>45</v>
      </c>
      <c r="J31" s="617">
        <v>1.2</v>
      </c>
      <c r="K31" s="618">
        <v>9.5</v>
      </c>
      <c r="L31" s="618">
        <v>43</v>
      </c>
      <c r="M31" s="618">
        <v>380</v>
      </c>
      <c r="N31" s="618">
        <v>36</v>
      </c>
      <c r="O31" s="618">
        <v>870</v>
      </c>
      <c r="P31" s="617"/>
      <c r="Q31" s="717"/>
      <c r="R31" s="307"/>
      <c r="S31" s="420"/>
      <c r="T31" s="421"/>
      <c r="U31" s="422"/>
      <c r="V31" s="423"/>
      <c r="W31" s="421"/>
      <c r="X31" s="421"/>
      <c r="Y31" s="421"/>
      <c r="Z31" s="421"/>
      <c r="AA31" s="421"/>
      <c r="AB31" s="411"/>
      <c r="AC31" s="411"/>
      <c r="AD31" s="411"/>
      <c r="AE31" s="102">
        <v>1.8</v>
      </c>
      <c r="AF31" s="102">
        <v>8.33</v>
      </c>
      <c r="AG31" s="102">
        <v>89</v>
      </c>
      <c r="AH31" s="102">
        <v>7.8</v>
      </c>
      <c r="AI31" s="102">
        <v>1.1000000000000001</v>
      </c>
      <c r="AJ31" s="102">
        <v>45</v>
      </c>
      <c r="AK31" s="102">
        <v>1.2</v>
      </c>
      <c r="AL31" s="102">
        <v>9.5</v>
      </c>
      <c r="AM31" s="102">
        <v>43</v>
      </c>
      <c r="AN31" s="102">
        <v>380</v>
      </c>
      <c r="AO31" s="102">
        <v>36</v>
      </c>
      <c r="AP31" s="102">
        <v>870</v>
      </c>
      <c r="AQ31" s="102">
        <f t="shared" si="0"/>
        <v>0</v>
      </c>
    </row>
    <row r="32" spans="1:43" s="102" customFormat="1" ht="12">
      <c r="A32" s="117"/>
      <c r="B32" s="411"/>
      <c r="C32" s="619"/>
      <c r="D32" s="620"/>
      <c r="E32" s="620"/>
      <c r="F32" s="621"/>
      <c r="G32" s="620"/>
      <c r="H32" s="620"/>
      <c r="I32" s="620"/>
      <c r="J32" s="622"/>
      <c r="K32" s="622"/>
      <c r="L32" s="622"/>
      <c r="M32" s="622"/>
      <c r="N32" s="622"/>
      <c r="O32" s="622"/>
      <c r="P32" s="620"/>
      <c r="Q32" s="620"/>
      <c r="R32" s="387"/>
      <c r="S32" s="420"/>
      <c r="T32" s="421"/>
      <c r="U32" s="422"/>
      <c r="V32" s="423"/>
      <c r="W32" s="421"/>
      <c r="X32" s="421"/>
      <c r="Y32" s="421"/>
      <c r="Z32" s="421"/>
      <c r="AA32" s="421"/>
      <c r="AB32" s="411"/>
      <c r="AC32" s="411"/>
      <c r="AD32" s="411"/>
      <c r="AE32" s="102">
        <v>0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2">
        <v>0</v>
      </c>
      <c r="AM32" s="102">
        <v>0</v>
      </c>
      <c r="AN32" s="102">
        <v>0</v>
      </c>
      <c r="AO32" s="102">
        <v>0</v>
      </c>
      <c r="AP32" s="102">
        <v>0</v>
      </c>
      <c r="AQ32" s="102">
        <f t="shared" si="0"/>
        <v>0</v>
      </c>
    </row>
    <row r="33" spans="1:43" s="102" customFormat="1" ht="12" customHeight="1">
      <c r="A33" s="117">
        <v>6</v>
      </c>
      <c r="B33" s="102" t="s">
        <v>265</v>
      </c>
      <c r="C33" s="206">
        <v>45671</v>
      </c>
      <c r="D33" s="222">
        <v>2.2000000000000002</v>
      </c>
      <c r="E33" s="222">
        <v>13.14</v>
      </c>
      <c r="F33" s="218">
        <v>96</v>
      </c>
      <c r="G33" s="222">
        <v>7.9</v>
      </c>
      <c r="H33" s="222">
        <v>7.7</v>
      </c>
      <c r="I33" s="222">
        <v>43.7</v>
      </c>
      <c r="J33" s="102">
        <v>1.5</v>
      </c>
      <c r="K33" s="218">
        <v>40</v>
      </c>
      <c r="L33" s="218">
        <v>89</v>
      </c>
      <c r="M33" s="218">
        <v>2900</v>
      </c>
      <c r="N33" s="218">
        <v>91</v>
      </c>
      <c r="O33" s="218">
        <v>3500</v>
      </c>
      <c r="P33" s="222" t="s">
        <v>18</v>
      </c>
      <c r="Q33" s="222" t="s">
        <v>18</v>
      </c>
      <c r="R33" s="218" t="s">
        <v>18</v>
      </c>
      <c r="S33" s="420"/>
      <c r="T33" s="421"/>
      <c r="U33" s="422"/>
      <c r="V33" s="423"/>
      <c r="W33" s="421"/>
      <c r="X33" s="421"/>
      <c r="Y33" s="421"/>
      <c r="Z33" s="421"/>
      <c r="AA33" s="421"/>
      <c r="AB33" s="411"/>
      <c r="AC33" s="411"/>
      <c r="AD33" s="411"/>
      <c r="AE33" s="102">
        <v>2.2000000000000002</v>
      </c>
      <c r="AF33" s="102">
        <v>13.14</v>
      </c>
      <c r="AG33" s="102">
        <v>96</v>
      </c>
      <c r="AH33" s="102">
        <v>7.9</v>
      </c>
      <c r="AI33" s="102">
        <v>7.7</v>
      </c>
      <c r="AJ33" s="102">
        <v>43.7</v>
      </c>
      <c r="AK33" s="102">
        <v>1.5</v>
      </c>
      <c r="AL33" s="102">
        <v>40</v>
      </c>
      <c r="AM33" s="102">
        <v>89</v>
      </c>
      <c r="AN33" s="102">
        <v>2900</v>
      </c>
      <c r="AO33" s="102">
        <v>91</v>
      </c>
      <c r="AP33" s="102">
        <v>3500</v>
      </c>
      <c r="AQ33" s="102" t="str">
        <f t="shared" si="0"/>
        <v/>
      </c>
    </row>
    <row r="34" spans="1:43" s="102" customFormat="1" ht="12" customHeight="1">
      <c r="A34" s="117">
        <v>6</v>
      </c>
      <c r="B34" s="102" t="s">
        <v>265</v>
      </c>
      <c r="C34" s="206">
        <v>45706</v>
      </c>
      <c r="D34" s="222">
        <v>1.7</v>
      </c>
      <c r="E34" s="222">
        <v>13.91</v>
      </c>
      <c r="F34" s="218">
        <v>100</v>
      </c>
      <c r="G34" s="222">
        <v>8</v>
      </c>
      <c r="H34" s="222">
        <v>4.4000000000000004</v>
      </c>
      <c r="I34" s="222">
        <v>43.9</v>
      </c>
      <c r="J34" s="102">
        <v>1.2</v>
      </c>
      <c r="K34" s="218">
        <v>38</v>
      </c>
      <c r="L34" s="218">
        <v>64</v>
      </c>
      <c r="M34" s="218">
        <v>3000</v>
      </c>
      <c r="N34" s="218">
        <v>65</v>
      </c>
      <c r="O34" s="218">
        <v>3600</v>
      </c>
      <c r="P34" s="222" t="s">
        <v>18</v>
      </c>
      <c r="Q34" s="222" t="s">
        <v>18</v>
      </c>
      <c r="R34" s="218" t="s">
        <v>18</v>
      </c>
      <c r="S34" s="420"/>
      <c r="T34" s="421"/>
      <c r="U34" s="422"/>
      <c r="V34" s="423"/>
      <c r="W34" s="421"/>
      <c r="X34" s="421"/>
      <c r="Y34" s="421"/>
      <c r="Z34" s="421"/>
      <c r="AA34" s="421"/>
      <c r="AB34" s="411"/>
      <c r="AC34" s="411"/>
      <c r="AD34" s="411"/>
      <c r="AE34" s="102">
        <v>1.7</v>
      </c>
      <c r="AF34" s="102">
        <v>13.91</v>
      </c>
      <c r="AG34" s="102">
        <v>100</v>
      </c>
      <c r="AH34" s="102">
        <v>8</v>
      </c>
      <c r="AI34" s="102">
        <v>4.4000000000000004</v>
      </c>
      <c r="AJ34" s="102">
        <v>43.9</v>
      </c>
      <c r="AK34" s="102">
        <v>1.2</v>
      </c>
      <c r="AL34" s="102">
        <v>38</v>
      </c>
      <c r="AM34" s="102">
        <v>64</v>
      </c>
      <c r="AN34" s="102">
        <v>3000</v>
      </c>
      <c r="AO34" s="102">
        <v>65</v>
      </c>
      <c r="AP34" s="102">
        <v>3600</v>
      </c>
      <c r="AQ34" s="102" t="str">
        <f t="shared" si="0"/>
        <v/>
      </c>
    </row>
    <row r="35" spans="1:43" s="102" customFormat="1" ht="12" customHeight="1">
      <c r="A35" s="117">
        <v>6</v>
      </c>
      <c r="B35" s="102" t="s">
        <v>265</v>
      </c>
      <c r="C35" s="206">
        <v>45734</v>
      </c>
      <c r="D35" s="222">
        <v>11.48</v>
      </c>
      <c r="E35" s="222">
        <v>11.48</v>
      </c>
      <c r="F35" s="218">
        <v>90</v>
      </c>
      <c r="G35" s="222">
        <v>7.8</v>
      </c>
      <c r="H35" s="222">
        <v>6.3</v>
      </c>
      <c r="I35" s="222">
        <v>46.5</v>
      </c>
      <c r="J35" s="102">
        <v>2.2999999999999998</v>
      </c>
      <c r="K35" s="218">
        <v>19</v>
      </c>
      <c r="L35" s="218">
        <v>62</v>
      </c>
      <c r="M35" s="218">
        <v>1400</v>
      </c>
      <c r="N35" s="218">
        <v>110</v>
      </c>
      <c r="O35" s="218">
        <v>2000</v>
      </c>
      <c r="P35" s="222" t="s">
        <v>18</v>
      </c>
      <c r="Q35" s="222" t="s">
        <v>18</v>
      </c>
      <c r="R35" s="218" t="s">
        <v>18</v>
      </c>
      <c r="S35" s="420"/>
      <c r="T35" s="421"/>
      <c r="U35" s="422"/>
      <c r="V35" s="423"/>
      <c r="W35" s="421"/>
      <c r="X35" s="421"/>
      <c r="Y35" s="421"/>
      <c r="Z35" s="421"/>
      <c r="AA35" s="421"/>
      <c r="AB35" s="411"/>
      <c r="AC35" s="411"/>
      <c r="AD35" s="411"/>
      <c r="AE35" s="102">
        <v>11.48</v>
      </c>
      <c r="AF35" s="102">
        <v>11.48</v>
      </c>
      <c r="AG35" s="102">
        <v>90</v>
      </c>
      <c r="AH35" s="102">
        <v>7.8</v>
      </c>
      <c r="AI35" s="102">
        <v>6.3</v>
      </c>
      <c r="AJ35" s="102">
        <v>46.5</v>
      </c>
      <c r="AK35" s="102">
        <v>2.2999999999999998</v>
      </c>
      <c r="AL35" s="102">
        <v>19</v>
      </c>
      <c r="AM35" s="102">
        <v>62</v>
      </c>
      <c r="AN35" s="102">
        <v>1400</v>
      </c>
      <c r="AO35" s="102">
        <v>110</v>
      </c>
      <c r="AP35" s="102">
        <v>2000</v>
      </c>
      <c r="AQ35" s="102" t="str">
        <f t="shared" si="0"/>
        <v/>
      </c>
    </row>
    <row r="36" spans="1:43" s="102" customFormat="1" ht="12" customHeight="1">
      <c r="A36" s="117">
        <v>6</v>
      </c>
      <c r="B36" s="102" t="s">
        <v>265</v>
      </c>
      <c r="C36" s="206">
        <v>45761</v>
      </c>
      <c r="D36" s="222">
        <v>11.8</v>
      </c>
      <c r="E36" s="222">
        <v>8.5399999999999991</v>
      </c>
      <c r="F36" s="218">
        <v>79</v>
      </c>
      <c r="G36" s="222">
        <v>7.8</v>
      </c>
      <c r="H36" s="222">
        <v>3.5</v>
      </c>
      <c r="I36" s="222">
        <v>49.7</v>
      </c>
      <c r="J36" s="102">
        <v>1.9</v>
      </c>
      <c r="K36" s="218">
        <v>21</v>
      </c>
      <c r="L36" s="218">
        <v>59</v>
      </c>
      <c r="M36" s="218">
        <v>1200</v>
      </c>
      <c r="N36" s="218">
        <v>130</v>
      </c>
      <c r="O36" s="218">
        <v>1800</v>
      </c>
      <c r="P36" s="222" t="s">
        <v>18</v>
      </c>
      <c r="Q36" s="222" t="s">
        <v>18</v>
      </c>
      <c r="R36" s="218" t="s">
        <v>18</v>
      </c>
      <c r="S36" s="420"/>
      <c r="T36" s="421"/>
      <c r="U36" s="422"/>
      <c r="V36" s="423"/>
      <c r="W36" s="421"/>
      <c r="X36" s="421"/>
      <c r="Y36" s="421"/>
      <c r="Z36" s="421"/>
      <c r="AA36" s="421"/>
      <c r="AB36" s="411"/>
      <c r="AC36" s="411"/>
      <c r="AD36" s="411"/>
      <c r="AE36" s="102">
        <v>11.8</v>
      </c>
      <c r="AF36" s="102">
        <v>8.5399999999999991</v>
      </c>
      <c r="AG36" s="102">
        <v>79</v>
      </c>
      <c r="AH36" s="102">
        <v>7.8</v>
      </c>
      <c r="AI36" s="102">
        <v>3.5</v>
      </c>
      <c r="AJ36" s="102">
        <v>49.7</v>
      </c>
      <c r="AK36" s="102">
        <v>1.9</v>
      </c>
      <c r="AL36" s="102">
        <v>21</v>
      </c>
      <c r="AM36" s="102">
        <v>59</v>
      </c>
      <c r="AN36" s="102">
        <v>1200</v>
      </c>
      <c r="AO36" s="102">
        <v>130</v>
      </c>
      <c r="AP36" s="102">
        <v>1800</v>
      </c>
      <c r="AQ36" s="102" t="str">
        <f t="shared" si="0"/>
        <v/>
      </c>
    </row>
    <row r="37" spans="1:43" s="102" customFormat="1" ht="12" customHeight="1">
      <c r="A37" s="117">
        <v>6</v>
      </c>
      <c r="B37" s="102" t="s">
        <v>265</v>
      </c>
      <c r="C37" s="206">
        <v>45826</v>
      </c>
      <c r="D37" s="222">
        <v>19.8</v>
      </c>
      <c r="E37" s="222">
        <v>9.4700000000000006</v>
      </c>
      <c r="F37" s="218">
        <v>104</v>
      </c>
      <c r="G37" s="222">
        <v>7.9</v>
      </c>
      <c r="H37" s="222">
        <v>1.2</v>
      </c>
      <c r="I37" s="222">
        <v>47.3</v>
      </c>
      <c r="J37" s="102">
        <v>1.2</v>
      </c>
      <c r="K37" s="218">
        <v>14</v>
      </c>
      <c r="L37" s="218">
        <v>37</v>
      </c>
      <c r="M37" s="218">
        <v>490</v>
      </c>
      <c r="N37" s="218">
        <v>36</v>
      </c>
      <c r="O37" s="218">
        <v>1200</v>
      </c>
      <c r="P37" s="222" t="s">
        <v>18</v>
      </c>
      <c r="Q37" s="222" t="s">
        <v>18</v>
      </c>
      <c r="R37" s="218" t="s">
        <v>18</v>
      </c>
      <c r="S37" s="420"/>
      <c r="T37" s="421"/>
      <c r="U37" s="422"/>
      <c r="V37" s="423"/>
      <c r="W37" s="421"/>
      <c r="X37" s="421"/>
      <c r="Y37" s="421"/>
      <c r="Z37" s="421"/>
      <c r="AA37" s="421"/>
      <c r="AB37" s="411"/>
      <c r="AC37" s="411"/>
      <c r="AD37" s="411"/>
      <c r="AE37" s="102">
        <v>19.8</v>
      </c>
      <c r="AF37" s="102">
        <v>9.4700000000000006</v>
      </c>
      <c r="AG37" s="102">
        <v>104</v>
      </c>
      <c r="AH37" s="102">
        <v>7.9</v>
      </c>
      <c r="AI37" s="102">
        <v>1.2</v>
      </c>
      <c r="AJ37" s="102">
        <v>47.3</v>
      </c>
      <c r="AK37" s="102">
        <v>1.2</v>
      </c>
      <c r="AL37" s="102">
        <v>14</v>
      </c>
      <c r="AM37" s="102">
        <v>37</v>
      </c>
      <c r="AN37" s="102">
        <v>490</v>
      </c>
      <c r="AO37" s="102">
        <v>36</v>
      </c>
      <c r="AP37" s="102">
        <v>1200</v>
      </c>
      <c r="AQ37" s="102" t="str">
        <f t="shared" si="0"/>
        <v/>
      </c>
    </row>
    <row r="38" spans="1:43" s="102" customFormat="1" ht="12">
      <c r="A38" s="117">
        <v>6</v>
      </c>
      <c r="B38" s="102" t="s">
        <v>265</v>
      </c>
      <c r="C38" s="206">
        <v>45848</v>
      </c>
      <c r="D38" s="222">
        <v>21.2</v>
      </c>
      <c r="E38" s="222">
        <v>7.99</v>
      </c>
      <c r="F38" s="218">
        <v>90</v>
      </c>
      <c r="G38" s="222">
        <v>7.6</v>
      </c>
      <c r="H38" s="222">
        <v>2.8</v>
      </c>
      <c r="I38" s="222">
        <v>40.1</v>
      </c>
      <c r="J38" s="102">
        <v>1.9</v>
      </c>
      <c r="K38" s="218">
        <v>21</v>
      </c>
      <c r="L38" s="218">
        <v>58</v>
      </c>
      <c r="M38" s="218">
        <v>760</v>
      </c>
      <c r="N38" s="218">
        <v>100</v>
      </c>
      <c r="O38" s="218">
        <v>1300</v>
      </c>
      <c r="P38" s="222" t="s">
        <v>18</v>
      </c>
      <c r="Q38" s="222" t="s">
        <v>18</v>
      </c>
      <c r="R38" s="218" t="s">
        <v>18</v>
      </c>
      <c r="S38" s="420"/>
      <c r="T38" s="421"/>
      <c r="U38" s="422"/>
      <c r="V38" s="423"/>
      <c r="W38" s="421"/>
      <c r="X38" s="421"/>
      <c r="Y38" s="421"/>
      <c r="Z38" s="421"/>
      <c r="AA38" s="421"/>
      <c r="AB38" s="411"/>
      <c r="AC38" s="411"/>
      <c r="AD38" s="411"/>
      <c r="AE38" s="102">
        <v>21.2</v>
      </c>
      <c r="AF38" s="102">
        <v>7.99</v>
      </c>
      <c r="AG38" s="102">
        <v>90</v>
      </c>
      <c r="AH38" s="102">
        <v>7.6</v>
      </c>
      <c r="AI38" s="102">
        <v>2.8</v>
      </c>
      <c r="AJ38" s="102">
        <v>40.1</v>
      </c>
      <c r="AK38" s="102">
        <v>1.9</v>
      </c>
      <c r="AL38" s="102">
        <v>21</v>
      </c>
      <c r="AM38" s="102">
        <v>58</v>
      </c>
      <c r="AN38" s="102">
        <v>760</v>
      </c>
      <c r="AO38" s="102">
        <v>100</v>
      </c>
      <c r="AP38" s="102">
        <v>1300</v>
      </c>
      <c r="AQ38" s="102" t="str">
        <f t="shared" si="0"/>
        <v/>
      </c>
    </row>
    <row r="39" spans="1:43" s="102" customFormat="1" ht="12" customHeight="1">
      <c r="A39" s="117">
        <v>6</v>
      </c>
      <c r="B39" s="102" t="s">
        <v>265</v>
      </c>
      <c r="C39" s="206" t="s">
        <v>18</v>
      </c>
      <c r="D39" s="222" t="s">
        <v>18</v>
      </c>
      <c r="E39" s="222" t="s">
        <v>18</v>
      </c>
      <c r="F39" s="218" t="s">
        <v>18</v>
      </c>
      <c r="G39" s="222" t="s">
        <v>18</v>
      </c>
      <c r="H39" s="222" t="s">
        <v>18</v>
      </c>
      <c r="I39" s="222" t="s">
        <v>18</v>
      </c>
      <c r="J39" s="102" t="s">
        <v>18</v>
      </c>
      <c r="K39" s="218" t="s">
        <v>18</v>
      </c>
      <c r="L39" s="218" t="s">
        <v>18</v>
      </c>
      <c r="M39" s="218" t="s">
        <v>18</v>
      </c>
      <c r="N39" s="218" t="s">
        <v>18</v>
      </c>
      <c r="O39" s="218" t="s">
        <v>18</v>
      </c>
      <c r="P39" s="222" t="s">
        <v>18</v>
      </c>
      <c r="Q39" s="222" t="s">
        <v>18</v>
      </c>
      <c r="R39" s="609" t="s">
        <v>18</v>
      </c>
      <c r="S39" s="420"/>
      <c r="T39" s="421"/>
      <c r="U39" s="422"/>
      <c r="V39" s="423"/>
      <c r="W39" s="421"/>
      <c r="X39" s="421"/>
      <c r="Y39" s="421"/>
      <c r="Z39" s="421"/>
      <c r="AA39" s="421"/>
      <c r="AB39" s="411"/>
      <c r="AC39" s="411"/>
      <c r="AD39" s="411"/>
      <c r="AE39" s="102" t="s">
        <v>18</v>
      </c>
      <c r="AF39" s="102" t="s">
        <v>18</v>
      </c>
      <c r="AG39" s="102" t="s">
        <v>18</v>
      </c>
      <c r="AH39" s="102" t="s">
        <v>18</v>
      </c>
      <c r="AI39" s="102" t="s">
        <v>18</v>
      </c>
      <c r="AJ39" s="102" t="s">
        <v>18</v>
      </c>
      <c r="AK39" s="102" t="s">
        <v>18</v>
      </c>
      <c r="AL39" s="102" t="s">
        <v>18</v>
      </c>
      <c r="AM39" s="102" t="s">
        <v>18</v>
      </c>
      <c r="AN39" s="102" t="s">
        <v>18</v>
      </c>
      <c r="AO39" s="102" t="s">
        <v>18</v>
      </c>
      <c r="AP39" s="102" t="s">
        <v>18</v>
      </c>
      <c r="AQ39" s="102" t="str">
        <f t="shared" ref="AQ39:AQ70" si="1">IF(OR(LEFT(Q39,1)="&lt;",LEFT(Q39,1)="&gt;"),VALUE(MID(Q39,2,5)),Q39)</f>
        <v/>
      </c>
    </row>
    <row r="40" spans="1:43" s="102" customFormat="1" ht="12" customHeight="1">
      <c r="A40" s="117">
        <v>6</v>
      </c>
      <c r="B40" s="102" t="s">
        <v>265</v>
      </c>
      <c r="C40" s="206" t="s">
        <v>18</v>
      </c>
      <c r="D40" s="222" t="s">
        <v>18</v>
      </c>
      <c r="E40" s="222" t="s">
        <v>18</v>
      </c>
      <c r="F40" s="218" t="s">
        <v>18</v>
      </c>
      <c r="G40" s="222" t="s">
        <v>18</v>
      </c>
      <c r="H40" s="222" t="s">
        <v>18</v>
      </c>
      <c r="I40" s="222" t="s">
        <v>18</v>
      </c>
      <c r="J40" s="102" t="s">
        <v>18</v>
      </c>
      <c r="K40" s="218" t="s">
        <v>18</v>
      </c>
      <c r="L40" s="218" t="s">
        <v>18</v>
      </c>
      <c r="M40" s="218" t="s">
        <v>18</v>
      </c>
      <c r="N40" s="218" t="s">
        <v>18</v>
      </c>
      <c r="O40" s="218" t="s">
        <v>18</v>
      </c>
      <c r="P40" s="222" t="s">
        <v>18</v>
      </c>
      <c r="Q40" s="222" t="s">
        <v>18</v>
      </c>
      <c r="R40" s="609" t="s">
        <v>18</v>
      </c>
      <c r="S40" s="420"/>
      <c r="T40" s="421"/>
      <c r="U40" s="422"/>
      <c r="V40" s="423"/>
      <c r="W40" s="421"/>
      <c r="X40" s="421"/>
      <c r="Y40" s="421"/>
      <c r="Z40" s="421"/>
      <c r="AA40" s="421"/>
      <c r="AB40" s="411"/>
      <c r="AC40" s="411"/>
      <c r="AD40" s="411"/>
      <c r="AE40" s="102" t="s">
        <v>18</v>
      </c>
      <c r="AF40" s="102" t="s">
        <v>18</v>
      </c>
      <c r="AG40" s="102" t="s">
        <v>18</v>
      </c>
      <c r="AH40" s="102" t="s">
        <v>18</v>
      </c>
      <c r="AI40" s="102" t="s">
        <v>18</v>
      </c>
      <c r="AJ40" s="102" t="s">
        <v>18</v>
      </c>
      <c r="AK40" s="102" t="s">
        <v>18</v>
      </c>
      <c r="AL40" s="102" t="s">
        <v>18</v>
      </c>
      <c r="AM40" s="102" t="s">
        <v>18</v>
      </c>
      <c r="AN40" s="102" t="s">
        <v>18</v>
      </c>
      <c r="AO40" s="102" t="s">
        <v>18</v>
      </c>
      <c r="AP40" s="102" t="s">
        <v>18</v>
      </c>
      <c r="AQ40" s="102" t="str">
        <f t="shared" si="1"/>
        <v/>
      </c>
    </row>
    <row r="41" spans="1:43" s="102" customFormat="1" ht="12" customHeight="1">
      <c r="A41" s="117">
        <v>6</v>
      </c>
      <c r="B41" s="102" t="s">
        <v>265</v>
      </c>
      <c r="C41" s="206" t="s">
        <v>18</v>
      </c>
      <c r="D41" s="222" t="s">
        <v>18</v>
      </c>
      <c r="E41" s="222" t="s">
        <v>18</v>
      </c>
      <c r="F41" s="218" t="s">
        <v>18</v>
      </c>
      <c r="G41" s="222" t="s">
        <v>18</v>
      </c>
      <c r="H41" s="222" t="s">
        <v>18</v>
      </c>
      <c r="I41" s="222" t="s">
        <v>18</v>
      </c>
      <c r="J41" s="102" t="s">
        <v>18</v>
      </c>
      <c r="K41" s="218" t="s">
        <v>18</v>
      </c>
      <c r="L41" s="218" t="s">
        <v>18</v>
      </c>
      <c r="M41" s="218" t="s">
        <v>18</v>
      </c>
      <c r="N41" s="218" t="s">
        <v>18</v>
      </c>
      <c r="O41" s="218" t="s">
        <v>18</v>
      </c>
      <c r="P41" s="222" t="s">
        <v>18</v>
      </c>
      <c r="Q41" s="222" t="s">
        <v>18</v>
      </c>
      <c r="R41" s="609" t="s">
        <v>18</v>
      </c>
      <c r="S41" s="420"/>
      <c r="T41" s="421"/>
      <c r="U41" s="422"/>
      <c r="V41" s="423"/>
      <c r="W41" s="421"/>
      <c r="X41" s="421"/>
      <c r="Y41" s="421"/>
      <c r="Z41" s="421"/>
      <c r="AA41" s="421"/>
      <c r="AB41" s="411"/>
      <c r="AC41" s="411"/>
      <c r="AD41" s="411"/>
      <c r="AE41" s="102" t="s">
        <v>18</v>
      </c>
      <c r="AF41" s="102" t="s">
        <v>18</v>
      </c>
      <c r="AG41" s="102" t="s">
        <v>18</v>
      </c>
      <c r="AH41" s="102" t="s">
        <v>18</v>
      </c>
      <c r="AI41" s="102" t="s">
        <v>18</v>
      </c>
      <c r="AJ41" s="102" t="s">
        <v>18</v>
      </c>
      <c r="AK41" s="102" t="s">
        <v>18</v>
      </c>
      <c r="AL41" s="102" t="s">
        <v>18</v>
      </c>
      <c r="AM41" s="102" t="s">
        <v>18</v>
      </c>
      <c r="AN41" s="102" t="s">
        <v>18</v>
      </c>
      <c r="AO41" s="102" t="s">
        <v>18</v>
      </c>
      <c r="AP41" s="102" t="s">
        <v>18</v>
      </c>
      <c r="AQ41" s="102" t="str">
        <f t="shared" si="1"/>
        <v/>
      </c>
    </row>
    <row r="42" spans="1:43" s="102" customFormat="1" ht="12" customHeight="1">
      <c r="A42" s="117">
        <v>6</v>
      </c>
      <c r="B42" s="102" t="s">
        <v>265</v>
      </c>
      <c r="C42" s="206" t="s">
        <v>18</v>
      </c>
      <c r="D42" s="222" t="s">
        <v>18</v>
      </c>
      <c r="E42" s="222" t="s">
        <v>18</v>
      </c>
      <c r="F42" s="218" t="s">
        <v>18</v>
      </c>
      <c r="G42" s="222" t="s">
        <v>18</v>
      </c>
      <c r="H42" s="222" t="s">
        <v>18</v>
      </c>
      <c r="I42" s="222" t="s">
        <v>18</v>
      </c>
      <c r="J42" s="102" t="s">
        <v>18</v>
      </c>
      <c r="K42" s="218" t="s">
        <v>18</v>
      </c>
      <c r="L42" s="218" t="s">
        <v>18</v>
      </c>
      <c r="M42" s="218" t="s">
        <v>18</v>
      </c>
      <c r="N42" s="218" t="s">
        <v>18</v>
      </c>
      <c r="O42" s="218" t="s">
        <v>18</v>
      </c>
      <c r="P42" s="222" t="s">
        <v>18</v>
      </c>
      <c r="Q42" s="222" t="s">
        <v>18</v>
      </c>
      <c r="R42" s="609" t="s">
        <v>18</v>
      </c>
      <c r="S42" s="420"/>
      <c r="T42" s="421"/>
      <c r="U42" s="422"/>
      <c r="V42" s="423"/>
      <c r="W42" s="421"/>
      <c r="X42" s="421"/>
      <c r="Y42" s="421"/>
      <c r="Z42" s="421"/>
      <c r="AA42" s="421"/>
      <c r="AB42" s="411"/>
      <c r="AC42" s="411"/>
      <c r="AD42" s="411"/>
      <c r="AE42" s="102" t="s">
        <v>18</v>
      </c>
      <c r="AF42" s="102" t="s">
        <v>18</v>
      </c>
      <c r="AG42" s="102" t="s">
        <v>18</v>
      </c>
      <c r="AH42" s="102" t="s">
        <v>18</v>
      </c>
      <c r="AI42" s="102" t="s">
        <v>18</v>
      </c>
      <c r="AJ42" s="102" t="s">
        <v>18</v>
      </c>
      <c r="AK42" s="102" t="s">
        <v>18</v>
      </c>
      <c r="AL42" s="102" t="s">
        <v>18</v>
      </c>
      <c r="AM42" s="102" t="s">
        <v>18</v>
      </c>
      <c r="AN42" s="102" t="s">
        <v>18</v>
      </c>
      <c r="AO42" s="102" t="s">
        <v>18</v>
      </c>
      <c r="AP42" s="102" t="s">
        <v>18</v>
      </c>
      <c r="AQ42" s="102" t="str">
        <f t="shared" si="1"/>
        <v/>
      </c>
    </row>
    <row r="43" spans="1:43" s="102" customFormat="1" ht="12" customHeight="1">
      <c r="A43" s="117">
        <v>6</v>
      </c>
      <c r="B43" s="102" t="s">
        <v>265</v>
      </c>
      <c r="C43" s="206" t="s">
        <v>18</v>
      </c>
      <c r="D43" s="222" t="s">
        <v>18</v>
      </c>
      <c r="E43" s="222" t="s">
        <v>18</v>
      </c>
      <c r="F43" s="218" t="s">
        <v>18</v>
      </c>
      <c r="G43" s="222" t="s">
        <v>18</v>
      </c>
      <c r="H43" s="222" t="s">
        <v>18</v>
      </c>
      <c r="I43" s="222" t="s">
        <v>18</v>
      </c>
      <c r="J43" s="102" t="s">
        <v>18</v>
      </c>
      <c r="K43" s="218" t="s">
        <v>18</v>
      </c>
      <c r="L43" s="218" t="s">
        <v>18</v>
      </c>
      <c r="M43" s="218" t="s">
        <v>18</v>
      </c>
      <c r="N43" s="218" t="s">
        <v>18</v>
      </c>
      <c r="O43" s="218" t="s">
        <v>18</v>
      </c>
      <c r="P43" s="222" t="s">
        <v>18</v>
      </c>
      <c r="Q43" s="222" t="s">
        <v>18</v>
      </c>
      <c r="R43" s="609" t="s">
        <v>18</v>
      </c>
      <c r="S43" s="420"/>
      <c r="T43" s="421"/>
      <c r="U43" s="422"/>
      <c r="V43" s="423"/>
      <c r="W43" s="421"/>
      <c r="X43" s="421"/>
      <c r="Y43" s="421"/>
      <c r="Z43" s="421"/>
      <c r="AA43" s="421"/>
      <c r="AB43" s="411"/>
      <c r="AC43" s="411"/>
      <c r="AD43" s="411"/>
      <c r="AE43" s="102" t="s">
        <v>18</v>
      </c>
      <c r="AF43" s="102" t="s">
        <v>18</v>
      </c>
      <c r="AG43" s="102" t="s">
        <v>18</v>
      </c>
      <c r="AH43" s="102" t="s">
        <v>18</v>
      </c>
      <c r="AI43" s="102" t="s">
        <v>18</v>
      </c>
      <c r="AJ43" s="102" t="s">
        <v>18</v>
      </c>
      <c r="AK43" s="102" t="s">
        <v>18</v>
      </c>
      <c r="AL43" s="102" t="s">
        <v>18</v>
      </c>
      <c r="AM43" s="102" t="s">
        <v>18</v>
      </c>
      <c r="AN43" s="102" t="s">
        <v>18</v>
      </c>
      <c r="AO43" s="102" t="s">
        <v>18</v>
      </c>
      <c r="AP43" s="102" t="s">
        <v>18</v>
      </c>
      <c r="AQ43" s="102" t="str">
        <f t="shared" si="1"/>
        <v/>
      </c>
    </row>
    <row r="44" spans="1:43" s="102" customFormat="1" ht="12" customHeight="1">
      <c r="A44" s="117">
        <v>6</v>
      </c>
      <c r="B44" s="102" t="s">
        <v>265</v>
      </c>
      <c r="C44" s="206" t="s">
        <v>435</v>
      </c>
      <c r="D44" s="222">
        <v>15.4</v>
      </c>
      <c r="E44" s="222">
        <v>10.39</v>
      </c>
      <c r="F44" s="218">
        <v>104</v>
      </c>
      <c r="G44" s="222">
        <v>7.9</v>
      </c>
      <c r="H44" s="222">
        <v>2.7</v>
      </c>
      <c r="I44" s="222">
        <v>46.7</v>
      </c>
      <c r="J44" s="102">
        <v>1.5</v>
      </c>
      <c r="K44" s="218">
        <v>18</v>
      </c>
      <c r="L44" s="218">
        <v>52</v>
      </c>
      <c r="M44" s="218">
        <v>920</v>
      </c>
      <c r="N44" s="218">
        <v>70</v>
      </c>
      <c r="O44" s="218">
        <v>1500</v>
      </c>
      <c r="P44" s="222" t="s">
        <v>18</v>
      </c>
      <c r="Q44" s="222" t="s">
        <v>18</v>
      </c>
      <c r="R44" s="609" t="s">
        <v>18</v>
      </c>
      <c r="S44" s="420"/>
      <c r="T44" s="421"/>
      <c r="U44" s="422"/>
      <c r="V44" s="423"/>
      <c r="W44" s="421"/>
      <c r="X44" s="421"/>
      <c r="Y44" s="421"/>
      <c r="Z44" s="421"/>
      <c r="AA44" s="421"/>
      <c r="AB44" s="411"/>
      <c r="AC44" s="411"/>
      <c r="AD44" s="411"/>
      <c r="AE44" s="102">
        <v>15.4</v>
      </c>
      <c r="AF44" s="102">
        <v>10.39</v>
      </c>
      <c r="AG44" s="102">
        <v>104</v>
      </c>
      <c r="AH44" s="102">
        <v>7.9</v>
      </c>
      <c r="AI44" s="102">
        <v>2.7</v>
      </c>
      <c r="AJ44" s="102">
        <v>46.7</v>
      </c>
      <c r="AK44" s="102">
        <v>1.5</v>
      </c>
      <c r="AL44" s="102">
        <v>18</v>
      </c>
      <c r="AM44" s="102">
        <v>52</v>
      </c>
      <c r="AN44" s="102">
        <v>920</v>
      </c>
      <c r="AO44" s="102">
        <v>70</v>
      </c>
      <c r="AP44" s="102">
        <v>1500</v>
      </c>
      <c r="AQ44" s="102" t="str">
        <f t="shared" si="1"/>
        <v/>
      </c>
    </row>
    <row r="45" spans="1:43" s="102" customFormat="1" ht="12">
      <c r="A45" s="117"/>
      <c r="C45" s="610" t="s">
        <v>150</v>
      </c>
      <c r="D45" s="611">
        <v>11.940000000000001</v>
      </c>
      <c r="E45" s="611">
        <v>10.702857142857143</v>
      </c>
      <c r="F45" s="612">
        <v>94.714285714285708</v>
      </c>
      <c r="G45" s="611">
        <v>7.8428571428571425</v>
      </c>
      <c r="H45" s="611">
        <v>4.0857142857142863</v>
      </c>
      <c r="I45" s="611">
        <v>45.414285714285718</v>
      </c>
      <c r="J45" s="611">
        <v>1.6428571428571428</v>
      </c>
      <c r="K45" s="612">
        <v>24.428571428571427</v>
      </c>
      <c r="L45" s="612">
        <v>60.142857142857146</v>
      </c>
      <c r="M45" s="612">
        <v>1524.2857142857142</v>
      </c>
      <c r="N45" s="612">
        <v>86</v>
      </c>
      <c r="O45" s="612">
        <v>2128.5714285714284</v>
      </c>
      <c r="P45" s="611"/>
      <c r="Q45" s="715"/>
      <c r="R45" s="307"/>
      <c r="S45" s="420"/>
      <c r="T45" s="421"/>
      <c r="U45" s="422"/>
      <c r="V45" s="423"/>
      <c r="W45" s="421"/>
      <c r="X45" s="421"/>
      <c r="Y45" s="421"/>
      <c r="Z45" s="421"/>
      <c r="AA45" s="421"/>
      <c r="AB45" s="411"/>
      <c r="AC45" s="411"/>
      <c r="AD45" s="411"/>
      <c r="AE45" s="102">
        <v>11.940000000000001</v>
      </c>
      <c r="AF45" s="102">
        <v>10.702857142857143</v>
      </c>
      <c r="AG45" s="102">
        <v>94.714285714285708</v>
      </c>
      <c r="AH45" s="102">
        <v>7.8428571428571425</v>
      </c>
      <c r="AI45" s="102">
        <v>4.0857142857142863</v>
      </c>
      <c r="AJ45" s="102">
        <v>45.414285714285718</v>
      </c>
      <c r="AK45" s="102">
        <v>1.6428571428571428</v>
      </c>
      <c r="AL45" s="102">
        <v>24.428571428571427</v>
      </c>
      <c r="AM45" s="102">
        <v>60.142857142857146</v>
      </c>
      <c r="AN45" s="102">
        <v>1524.2857142857142</v>
      </c>
      <c r="AO45" s="102">
        <v>86</v>
      </c>
      <c r="AP45" s="102">
        <v>2128.5714285714284</v>
      </c>
      <c r="AQ45" s="102">
        <f t="shared" si="1"/>
        <v>0</v>
      </c>
    </row>
    <row r="46" spans="1:43" s="102" customFormat="1" ht="12">
      <c r="A46" s="117"/>
      <c r="C46" s="613" t="s">
        <v>151</v>
      </c>
      <c r="D46" s="614">
        <v>21.2</v>
      </c>
      <c r="E46" s="614">
        <v>13.91</v>
      </c>
      <c r="F46" s="615">
        <v>104</v>
      </c>
      <c r="G46" s="614">
        <v>8</v>
      </c>
      <c r="H46" s="614">
        <v>7.7</v>
      </c>
      <c r="I46" s="614">
        <v>49.7</v>
      </c>
      <c r="J46" s="614">
        <v>2.2999999999999998</v>
      </c>
      <c r="K46" s="615">
        <v>40</v>
      </c>
      <c r="L46" s="615">
        <v>89</v>
      </c>
      <c r="M46" s="615">
        <v>3000</v>
      </c>
      <c r="N46" s="615">
        <v>130</v>
      </c>
      <c r="O46" s="615">
        <v>3600</v>
      </c>
      <c r="P46" s="614"/>
      <c r="Q46" s="716"/>
      <c r="R46" s="307"/>
      <c r="S46" s="420"/>
      <c r="T46" s="421"/>
      <c r="U46" s="422"/>
      <c r="V46" s="423"/>
      <c r="W46" s="421"/>
      <c r="X46" s="421"/>
      <c r="Y46" s="421"/>
      <c r="Z46" s="421"/>
      <c r="AA46" s="421"/>
      <c r="AB46" s="411"/>
      <c r="AC46" s="411"/>
      <c r="AD46" s="411"/>
      <c r="AE46" s="102">
        <v>21.2</v>
      </c>
      <c r="AF46" s="102">
        <v>13.91</v>
      </c>
      <c r="AG46" s="102">
        <v>104</v>
      </c>
      <c r="AH46" s="102">
        <v>8</v>
      </c>
      <c r="AI46" s="102">
        <v>7.7</v>
      </c>
      <c r="AJ46" s="102">
        <v>49.7</v>
      </c>
      <c r="AK46" s="102">
        <v>2.2999999999999998</v>
      </c>
      <c r="AL46" s="102">
        <v>40</v>
      </c>
      <c r="AM46" s="102">
        <v>89</v>
      </c>
      <c r="AN46" s="102">
        <v>3000</v>
      </c>
      <c r="AO46" s="102">
        <v>130</v>
      </c>
      <c r="AP46" s="102">
        <v>3600</v>
      </c>
      <c r="AQ46" s="102">
        <f t="shared" si="1"/>
        <v>0</v>
      </c>
    </row>
    <row r="47" spans="1:43" s="102" customFormat="1" ht="12">
      <c r="A47" s="117"/>
      <c r="C47" s="616" t="s">
        <v>152</v>
      </c>
      <c r="D47" s="617">
        <v>1.7</v>
      </c>
      <c r="E47" s="617">
        <v>7.99</v>
      </c>
      <c r="F47" s="618">
        <v>79</v>
      </c>
      <c r="G47" s="617">
        <v>7.6</v>
      </c>
      <c r="H47" s="617">
        <v>1.2</v>
      </c>
      <c r="I47" s="617">
        <v>40.1</v>
      </c>
      <c r="J47" s="617">
        <v>1.2</v>
      </c>
      <c r="K47" s="618">
        <v>14</v>
      </c>
      <c r="L47" s="618">
        <v>37</v>
      </c>
      <c r="M47" s="618">
        <v>490</v>
      </c>
      <c r="N47" s="618">
        <v>36</v>
      </c>
      <c r="O47" s="618">
        <v>1200</v>
      </c>
      <c r="P47" s="617"/>
      <c r="Q47" s="717"/>
      <c r="R47" s="307"/>
      <c r="S47" s="420"/>
      <c r="T47" s="421"/>
      <c r="U47" s="422"/>
      <c r="V47" s="423"/>
      <c r="W47" s="421"/>
      <c r="X47" s="421"/>
      <c r="Y47" s="421"/>
      <c r="Z47" s="421"/>
      <c r="AA47" s="421"/>
      <c r="AB47" s="411"/>
      <c r="AC47" s="411"/>
      <c r="AD47" s="411"/>
      <c r="AE47" s="102">
        <v>1.7</v>
      </c>
      <c r="AF47" s="102">
        <v>7.99</v>
      </c>
      <c r="AG47" s="102">
        <v>79</v>
      </c>
      <c r="AH47" s="102">
        <v>7.6</v>
      </c>
      <c r="AI47" s="102">
        <v>1.2</v>
      </c>
      <c r="AJ47" s="102">
        <v>40.1</v>
      </c>
      <c r="AK47" s="102">
        <v>1.2</v>
      </c>
      <c r="AL47" s="102">
        <v>14</v>
      </c>
      <c r="AM47" s="102">
        <v>37</v>
      </c>
      <c r="AN47" s="102">
        <v>490</v>
      </c>
      <c r="AO47" s="102">
        <v>36</v>
      </c>
      <c r="AP47" s="102">
        <v>1200</v>
      </c>
      <c r="AQ47" s="102">
        <f t="shared" si="1"/>
        <v>0</v>
      </c>
    </row>
    <row r="48" spans="1:43" s="102" customFormat="1" ht="12">
      <c r="A48" s="117"/>
      <c r="B48" s="411"/>
      <c r="C48" s="619"/>
      <c r="D48" s="620"/>
      <c r="E48" s="620"/>
      <c r="F48" s="621"/>
      <c r="G48" s="620"/>
      <c r="H48" s="620"/>
      <c r="I48" s="620"/>
      <c r="J48" s="622"/>
      <c r="K48" s="622"/>
      <c r="L48" s="622"/>
      <c r="M48" s="622"/>
      <c r="N48" s="622"/>
      <c r="O48" s="622"/>
      <c r="P48" s="620"/>
      <c r="Q48" s="620"/>
      <c r="R48" s="387"/>
      <c r="S48" s="420"/>
      <c r="T48" s="421"/>
      <c r="U48" s="422"/>
      <c r="V48" s="423"/>
      <c r="W48" s="421"/>
      <c r="X48" s="421"/>
      <c r="Y48" s="421"/>
      <c r="Z48" s="421"/>
      <c r="AA48" s="421"/>
      <c r="AB48" s="411"/>
      <c r="AC48" s="411"/>
      <c r="AD48" s="411"/>
      <c r="AE48" s="102">
        <v>0</v>
      </c>
      <c r="AF48" s="102">
        <v>0</v>
      </c>
      <c r="AG48" s="102">
        <v>0</v>
      </c>
      <c r="AH48" s="102">
        <v>0</v>
      </c>
      <c r="AI48" s="102">
        <v>0</v>
      </c>
      <c r="AJ48" s="102">
        <v>0</v>
      </c>
      <c r="AK48" s="102">
        <v>0</v>
      </c>
      <c r="AL48" s="102">
        <v>0</v>
      </c>
      <c r="AM48" s="102">
        <v>0</v>
      </c>
      <c r="AN48" s="102">
        <v>0</v>
      </c>
      <c r="AO48" s="102">
        <v>0</v>
      </c>
      <c r="AP48" s="102">
        <v>0</v>
      </c>
      <c r="AQ48" s="102">
        <f t="shared" si="1"/>
        <v>0</v>
      </c>
    </row>
    <row r="49" spans="1:43" s="102" customFormat="1" ht="12" customHeight="1">
      <c r="A49" s="117">
        <v>7</v>
      </c>
      <c r="B49" s="102" t="s">
        <v>254</v>
      </c>
      <c r="C49" s="206">
        <v>45671</v>
      </c>
      <c r="D49" s="222">
        <v>2.4</v>
      </c>
      <c r="E49" s="222">
        <v>13.24</v>
      </c>
      <c r="F49" s="218">
        <v>97</v>
      </c>
      <c r="G49" s="222">
        <v>8.1999999999999993</v>
      </c>
      <c r="H49" s="222">
        <v>5.7</v>
      </c>
      <c r="I49" s="222">
        <v>40.4</v>
      </c>
      <c r="J49" s="102">
        <v>1.4</v>
      </c>
      <c r="K49" s="218">
        <v>47</v>
      </c>
      <c r="L49" s="218">
        <v>78</v>
      </c>
      <c r="M49" s="218">
        <v>3100</v>
      </c>
      <c r="N49" s="218">
        <v>24</v>
      </c>
      <c r="O49" s="218">
        <v>3700</v>
      </c>
      <c r="P49" s="222" t="s">
        <v>18</v>
      </c>
      <c r="Q49" s="222" t="s">
        <v>18</v>
      </c>
      <c r="R49" s="609" t="s">
        <v>18</v>
      </c>
      <c r="S49" s="420"/>
      <c r="T49" s="421"/>
      <c r="U49" s="422"/>
      <c r="V49" s="423"/>
      <c r="W49" s="421"/>
      <c r="X49" s="421"/>
      <c r="Y49" s="421"/>
      <c r="Z49" s="421"/>
      <c r="AA49" s="421"/>
      <c r="AB49" s="411"/>
      <c r="AC49" s="411"/>
      <c r="AD49" s="411"/>
      <c r="AE49" s="102">
        <v>2.4</v>
      </c>
      <c r="AF49" s="102">
        <v>13.24</v>
      </c>
      <c r="AG49" s="102">
        <v>97</v>
      </c>
      <c r="AH49" s="102">
        <v>8.1999999999999993</v>
      </c>
      <c r="AI49" s="102">
        <v>5.7</v>
      </c>
      <c r="AJ49" s="102">
        <v>40.4</v>
      </c>
      <c r="AK49" s="102">
        <v>1.4</v>
      </c>
      <c r="AL49" s="102">
        <v>47</v>
      </c>
      <c r="AM49" s="102">
        <v>78</v>
      </c>
      <c r="AN49" s="102">
        <v>3100</v>
      </c>
      <c r="AO49" s="102">
        <v>24</v>
      </c>
      <c r="AP49" s="102">
        <v>3700</v>
      </c>
      <c r="AQ49" s="102" t="str">
        <f t="shared" si="1"/>
        <v/>
      </c>
    </row>
    <row r="50" spans="1:43" s="102" customFormat="1" ht="12" customHeight="1">
      <c r="A50" s="117">
        <v>7</v>
      </c>
      <c r="B50" s="102" t="s">
        <v>254</v>
      </c>
      <c r="C50" s="206">
        <v>45706</v>
      </c>
      <c r="D50" s="222">
        <v>2.1</v>
      </c>
      <c r="E50" s="222">
        <v>14.37</v>
      </c>
      <c r="F50" s="218">
        <v>104</v>
      </c>
      <c r="G50" s="222">
        <v>8.1999999999999993</v>
      </c>
      <c r="H50" s="222">
        <v>2.8</v>
      </c>
      <c r="I50" s="222">
        <v>42.1</v>
      </c>
      <c r="J50" s="102">
        <v>0.9</v>
      </c>
      <c r="K50" s="218">
        <v>43</v>
      </c>
      <c r="L50" s="218">
        <v>61</v>
      </c>
      <c r="M50" s="218">
        <v>3400</v>
      </c>
      <c r="N50" s="218">
        <v>28</v>
      </c>
      <c r="O50" s="218">
        <v>3700</v>
      </c>
      <c r="P50" s="222" t="s">
        <v>18</v>
      </c>
      <c r="Q50" s="222" t="s">
        <v>18</v>
      </c>
      <c r="R50" s="609" t="s">
        <v>18</v>
      </c>
      <c r="S50" s="420"/>
      <c r="T50" s="421"/>
      <c r="U50" s="422"/>
      <c r="V50" s="423"/>
      <c r="W50" s="421"/>
      <c r="X50" s="421"/>
      <c r="Y50" s="421"/>
      <c r="Z50" s="421"/>
      <c r="AA50" s="421"/>
      <c r="AB50" s="411"/>
      <c r="AC50" s="411"/>
      <c r="AD50" s="411"/>
      <c r="AE50" s="102">
        <v>2.1</v>
      </c>
      <c r="AF50" s="102">
        <v>14.37</v>
      </c>
      <c r="AG50" s="102">
        <v>104</v>
      </c>
      <c r="AH50" s="102">
        <v>8.1999999999999993</v>
      </c>
      <c r="AI50" s="102">
        <v>2.8</v>
      </c>
      <c r="AJ50" s="102">
        <v>42.1</v>
      </c>
      <c r="AK50" s="102">
        <v>0.9</v>
      </c>
      <c r="AL50" s="102">
        <v>43</v>
      </c>
      <c r="AM50" s="102">
        <v>61</v>
      </c>
      <c r="AN50" s="102">
        <v>3400</v>
      </c>
      <c r="AO50" s="102">
        <v>28</v>
      </c>
      <c r="AP50" s="102">
        <v>3700</v>
      </c>
      <c r="AQ50" s="102" t="str">
        <f t="shared" si="1"/>
        <v/>
      </c>
    </row>
    <row r="51" spans="1:43" s="102" customFormat="1" ht="12" customHeight="1">
      <c r="A51" s="117">
        <v>7</v>
      </c>
      <c r="B51" s="102" t="s">
        <v>254</v>
      </c>
      <c r="C51" s="206">
        <v>45728</v>
      </c>
      <c r="D51" s="222">
        <v>4.5999999999999996</v>
      </c>
      <c r="E51" s="222">
        <v>15.03</v>
      </c>
      <c r="F51" s="218">
        <v>118</v>
      </c>
      <c r="G51" s="222">
        <v>8.5</v>
      </c>
      <c r="H51" s="222">
        <v>4.5999999999999996</v>
      </c>
      <c r="I51" s="222">
        <v>42</v>
      </c>
      <c r="J51" s="102">
        <v>2.8</v>
      </c>
      <c r="K51" s="218">
        <v>3.6</v>
      </c>
      <c r="L51" s="218">
        <v>49</v>
      </c>
      <c r="M51" s="218">
        <v>3000</v>
      </c>
      <c r="N51" s="218" t="s">
        <v>148</v>
      </c>
      <c r="O51" s="218">
        <v>3700</v>
      </c>
      <c r="P51" s="222" t="s">
        <v>18</v>
      </c>
      <c r="Q51" s="222" t="s">
        <v>18</v>
      </c>
      <c r="R51" s="609" t="s">
        <v>18</v>
      </c>
      <c r="S51" s="420"/>
      <c r="T51" s="421"/>
      <c r="U51" s="422"/>
      <c r="V51" s="423"/>
      <c r="W51" s="421"/>
      <c r="X51" s="421"/>
      <c r="Y51" s="421"/>
      <c r="Z51" s="421"/>
      <c r="AA51" s="421"/>
      <c r="AB51" s="411"/>
      <c r="AC51" s="411"/>
      <c r="AD51" s="411"/>
      <c r="AE51" s="102">
        <v>4.5999999999999996</v>
      </c>
      <c r="AF51" s="102">
        <v>15.03</v>
      </c>
      <c r="AG51" s="102">
        <v>118</v>
      </c>
      <c r="AH51" s="102">
        <v>8.5</v>
      </c>
      <c r="AI51" s="102">
        <v>4.5999999999999996</v>
      </c>
      <c r="AJ51" s="102">
        <v>42</v>
      </c>
      <c r="AK51" s="102">
        <v>2.8</v>
      </c>
      <c r="AL51" s="102">
        <v>3.6</v>
      </c>
      <c r="AM51" s="102">
        <v>49</v>
      </c>
      <c r="AN51" s="102">
        <v>3000</v>
      </c>
      <c r="AO51" s="102">
        <v>10</v>
      </c>
      <c r="AP51" s="102">
        <v>3700</v>
      </c>
      <c r="AQ51" s="102" t="str">
        <f t="shared" si="1"/>
        <v/>
      </c>
    </row>
    <row r="52" spans="1:43" s="102" customFormat="1" ht="12" customHeight="1">
      <c r="A52" s="117">
        <v>7</v>
      </c>
      <c r="B52" s="102" t="s">
        <v>254</v>
      </c>
      <c r="C52" s="206">
        <v>45761</v>
      </c>
      <c r="D52" s="222">
        <v>10.199999999999999</v>
      </c>
      <c r="E52" s="222">
        <v>11.89</v>
      </c>
      <c r="F52" s="218">
        <v>106</v>
      </c>
      <c r="G52" s="222">
        <v>8.6999999999999993</v>
      </c>
      <c r="H52" s="222">
        <v>1.1000000000000001</v>
      </c>
      <c r="I52" s="222">
        <v>41.5</v>
      </c>
      <c r="J52" s="102">
        <v>2</v>
      </c>
      <c r="K52" s="218" t="s">
        <v>149</v>
      </c>
      <c r="L52" s="218">
        <v>25</v>
      </c>
      <c r="M52" s="218">
        <v>2400</v>
      </c>
      <c r="N52" s="218">
        <v>33</v>
      </c>
      <c r="O52" s="218">
        <v>3000</v>
      </c>
      <c r="P52" s="222" t="s">
        <v>18</v>
      </c>
      <c r="Q52" s="222" t="s">
        <v>18</v>
      </c>
      <c r="R52" s="609" t="s">
        <v>18</v>
      </c>
      <c r="S52" s="420"/>
      <c r="T52" s="421"/>
      <c r="U52" s="422"/>
      <c r="V52" s="423"/>
      <c r="W52" s="421"/>
      <c r="X52" s="421"/>
      <c r="Y52" s="421"/>
      <c r="Z52" s="421"/>
      <c r="AA52" s="421"/>
      <c r="AB52" s="411"/>
      <c r="AC52" s="411"/>
      <c r="AD52" s="411"/>
      <c r="AE52" s="102">
        <v>10.199999999999999</v>
      </c>
      <c r="AF52" s="102">
        <v>11.89</v>
      </c>
      <c r="AG52" s="102">
        <v>106</v>
      </c>
      <c r="AH52" s="102">
        <v>8.6999999999999993</v>
      </c>
      <c r="AI52" s="102">
        <v>1.1000000000000001</v>
      </c>
      <c r="AJ52" s="102">
        <v>41.5</v>
      </c>
      <c r="AK52" s="102">
        <v>2</v>
      </c>
      <c r="AL52" s="102">
        <v>2</v>
      </c>
      <c r="AM52" s="102">
        <v>25</v>
      </c>
      <c r="AN52" s="102">
        <v>2400</v>
      </c>
      <c r="AO52" s="102">
        <v>33</v>
      </c>
      <c r="AP52" s="102">
        <v>3000</v>
      </c>
      <c r="AQ52" s="102" t="str">
        <f t="shared" si="1"/>
        <v/>
      </c>
    </row>
    <row r="53" spans="1:43" s="102" customFormat="1" ht="12" customHeight="1">
      <c r="A53" s="117">
        <v>7</v>
      </c>
      <c r="B53" s="102" t="s">
        <v>254</v>
      </c>
      <c r="C53" s="206">
        <v>45826</v>
      </c>
      <c r="D53" s="222">
        <v>17.8</v>
      </c>
      <c r="E53" s="222">
        <v>9.8699999999999992</v>
      </c>
      <c r="F53" s="218">
        <v>104</v>
      </c>
      <c r="G53" s="222">
        <v>8.3000000000000007</v>
      </c>
      <c r="H53" s="222">
        <v>4.4000000000000004</v>
      </c>
      <c r="I53" s="222">
        <v>39.799999999999997</v>
      </c>
      <c r="J53" s="102">
        <v>1.7</v>
      </c>
      <c r="K53" s="218" t="s">
        <v>149</v>
      </c>
      <c r="L53" s="218">
        <v>31</v>
      </c>
      <c r="M53" s="218">
        <v>890</v>
      </c>
      <c r="N53" s="218">
        <v>47</v>
      </c>
      <c r="O53" s="218">
        <v>1600</v>
      </c>
      <c r="P53" s="222" t="s">
        <v>18</v>
      </c>
      <c r="Q53" s="222" t="s">
        <v>18</v>
      </c>
      <c r="R53" s="609" t="s">
        <v>18</v>
      </c>
      <c r="S53" s="420"/>
      <c r="T53" s="421"/>
      <c r="U53" s="422"/>
      <c r="V53" s="423"/>
      <c r="W53" s="421"/>
      <c r="X53" s="421"/>
      <c r="Y53" s="421"/>
      <c r="Z53" s="421"/>
      <c r="AA53" s="421"/>
      <c r="AB53" s="411"/>
      <c r="AC53" s="411"/>
      <c r="AD53" s="411"/>
      <c r="AE53" s="102">
        <v>17.8</v>
      </c>
      <c r="AF53" s="102">
        <v>9.8699999999999992</v>
      </c>
      <c r="AG53" s="102">
        <v>104</v>
      </c>
      <c r="AH53" s="102">
        <v>8.3000000000000007</v>
      </c>
      <c r="AI53" s="102">
        <v>4.4000000000000004</v>
      </c>
      <c r="AJ53" s="102">
        <v>39.799999999999997</v>
      </c>
      <c r="AK53" s="102">
        <v>1.7</v>
      </c>
      <c r="AL53" s="102">
        <v>2</v>
      </c>
      <c r="AM53" s="102">
        <v>31</v>
      </c>
      <c r="AN53" s="102">
        <v>890</v>
      </c>
      <c r="AO53" s="102">
        <v>47</v>
      </c>
      <c r="AP53" s="102">
        <v>1600</v>
      </c>
      <c r="AQ53" s="102" t="str">
        <f t="shared" si="1"/>
        <v/>
      </c>
    </row>
    <row r="54" spans="1:43" s="102" customFormat="1" ht="12">
      <c r="A54" s="117">
        <v>7</v>
      </c>
      <c r="B54" s="102" t="s">
        <v>254</v>
      </c>
      <c r="C54" s="206">
        <v>45848</v>
      </c>
      <c r="D54" s="222">
        <v>20.2</v>
      </c>
      <c r="E54" s="222">
        <v>9.5399999999999991</v>
      </c>
      <c r="F54" s="218">
        <v>105</v>
      </c>
      <c r="G54" s="222">
        <v>8.3000000000000007</v>
      </c>
      <c r="H54" s="222">
        <v>6.3</v>
      </c>
      <c r="I54" s="222">
        <v>36.200000000000003</v>
      </c>
      <c r="J54" s="102">
        <v>2.6</v>
      </c>
      <c r="K54" s="218" t="s">
        <v>149</v>
      </c>
      <c r="L54" s="218">
        <v>36</v>
      </c>
      <c r="M54" s="218">
        <v>110</v>
      </c>
      <c r="N54" s="218">
        <v>15</v>
      </c>
      <c r="O54" s="218">
        <v>710</v>
      </c>
      <c r="P54" s="222" t="s">
        <v>18</v>
      </c>
      <c r="Q54" s="222" t="s">
        <v>18</v>
      </c>
      <c r="R54" s="609" t="s">
        <v>18</v>
      </c>
      <c r="S54" s="420"/>
      <c r="T54" s="421"/>
      <c r="U54" s="422"/>
      <c r="V54" s="423"/>
      <c r="W54" s="421"/>
      <c r="X54" s="421"/>
      <c r="Y54" s="421"/>
      <c r="Z54" s="421"/>
      <c r="AA54" s="421"/>
      <c r="AB54" s="411"/>
      <c r="AC54" s="411"/>
      <c r="AD54" s="411"/>
      <c r="AE54" s="102">
        <v>20.2</v>
      </c>
      <c r="AF54" s="102">
        <v>9.5399999999999991</v>
      </c>
      <c r="AG54" s="102">
        <v>105</v>
      </c>
      <c r="AH54" s="102">
        <v>8.3000000000000007</v>
      </c>
      <c r="AI54" s="102">
        <v>6.3</v>
      </c>
      <c r="AJ54" s="102">
        <v>36.200000000000003</v>
      </c>
      <c r="AK54" s="102">
        <v>2.6</v>
      </c>
      <c r="AL54" s="102">
        <v>2</v>
      </c>
      <c r="AM54" s="102">
        <v>36</v>
      </c>
      <c r="AN54" s="102">
        <v>110</v>
      </c>
      <c r="AO54" s="102">
        <v>15</v>
      </c>
      <c r="AP54" s="102">
        <v>710</v>
      </c>
      <c r="AQ54" s="102" t="str">
        <f t="shared" si="1"/>
        <v/>
      </c>
    </row>
    <row r="55" spans="1:43" s="102" customFormat="1" ht="12" customHeight="1">
      <c r="A55" s="117">
        <v>7</v>
      </c>
      <c r="B55" s="623" t="s">
        <v>254</v>
      </c>
      <c r="C55" s="206" t="s">
        <v>18</v>
      </c>
      <c r="D55" s="222" t="s">
        <v>18</v>
      </c>
      <c r="E55" s="222" t="s">
        <v>18</v>
      </c>
      <c r="F55" s="218" t="s">
        <v>18</v>
      </c>
      <c r="G55" s="222" t="s">
        <v>18</v>
      </c>
      <c r="H55" s="222" t="s">
        <v>18</v>
      </c>
      <c r="I55" s="222" t="s">
        <v>18</v>
      </c>
      <c r="J55" s="102" t="s">
        <v>18</v>
      </c>
      <c r="K55" s="218" t="s">
        <v>18</v>
      </c>
      <c r="L55" s="218" t="s">
        <v>18</v>
      </c>
      <c r="M55" s="218" t="s">
        <v>18</v>
      </c>
      <c r="N55" s="218" t="s">
        <v>18</v>
      </c>
      <c r="O55" s="218" t="s">
        <v>18</v>
      </c>
      <c r="P55" s="222" t="s">
        <v>18</v>
      </c>
      <c r="Q55" s="222" t="s">
        <v>18</v>
      </c>
      <c r="R55" s="609" t="s">
        <v>18</v>
      </c>
      <c r="S55" s="426"/>
      <c r="T55" s="427"/>
      <c r="U55" s="422"/>
      <c r="V55" s="423"/>
      <c r="W55" s="424"/>
      <c r="X55" s="425"/>
      <c r="Y55" s="425"/>
      <c r="Z55" s="424"/>
      <c r="AA55" s="425"/>
      <c r="AB55" s="425"/>
      <c r="AC55" s="425"/>
      <c r="AD55" s="411"/>
      <c r="AE55" s="102" t="s">
        <v>18</v>
      </c>
      <c r="AF55" s="102" t="s">
        <v>18</v>
      </c>
      <c r="AG55" s="102" t="s">
        <v>18</v>
      </c>
      <c r="AH55" s="102" t="s">
        <v>18</v>
      </c>
      <c r="AI55" s="102" t="s">
        <v>18</v>
      </c>
      <c r="AJ55" s="102" t="s">
        <v>18</v>
      </c>
      <c r="AK55" s="102" t="s">
        <v>18</v>
      </c>
      <c r="AL55" s="102" t="s">
        <v>18</v>
      </c>
      <c r="AM55" s="102" t="s">
        <v>18</v>
      </c>
      <c r="AN55" s="102" t="s">
        <v>18</v>
      </c>
      <c r="AO55" s="102" t="s">
        <v>18</v>
      </c>
      <c r="AP55" s="102" t="s">
        <v>18</v>
      </c>
      <c r="AQ55" s="102" t="str">
        <f t="shared" si="1"/>
        <v/>
      </c>
    </row>
    <row r="56" spans="1:43" s="102" customFormat="1" ht="12" customHeight="1">
      <c r="A56" s="117">
        <v>7</v>
      </c>
      <c r="B56" s="623" t="s">
        <v>254</v>
      </c>
      <c r="C56" s="206" t="s">
        <v>18</v>
      </c>
      <c r="D56" s="222" t="s">
        <v>18</v>
      </c>
      <c r="E56" s="222" t="s">
        <v>18</v>
      </c>
      <c r="F56" s="218" t="s">
        <v>18</v>
      </c>
      <c r="G56" s="222" t="s">
        <v>18</v>
      </c>
      <c r="H56" s="222" t="s">
        <v>18</v>
      </c>
      <c r="I56" s="222" t="s">
        <v>18</v>
      </c>
      <c r="J56" s="102" t="s">
        <v>18</v>
      </c>
      <c r="K56" s="218" t="s">
        <v>18</v>
      </c>
      <c r="L56" s="218" t="s">
        <v>18</v>
      </c>
      <c r="M56" s="218" t="s">
        <v>18</v>
      </c>
      <c r="N56" s="218" t="s">
        <v>18</v>
      </c>
      <c r="O56" s="218" t="s">
        <v>18</v>
      </c>
      <c r="P56" s="222" t="s">
        <v>18</v>
      </c>
      <c r="Q56" s="222" t="s">
        <v>18</v>
      </c>
      <c r="R56" s="609" t="s">
        <v>18</v>
      </c>
      <c r="S56" s="429"/>
      <c r="T56" s="430"/>
      <c r="U56" s="422"/>
      <c r="V56" s="423"/>
      <c r="W56" s="431"/>
      <c r="X56" s="432"/>
      <c r="Y56" s="421"/>
      <c r="Z56" s="421"/>
      <c r="AA56" s="421"/>
      <c r="AB56" s="411"/>
      <c r="AC56" s="411"/>
      <c r="AD56" s="411"/>
      <c r="AE56" s="102" t="s">
        <v>18</v>
      </c>
      <c r="AF56" s="102" t="s">
        <v>18</v>
      </c>
      <c r="AG56" s="102" t="s">
        <v>18</v>
      </c>
      <c r="AH56" s="102" t="s">
        <v>18</v>
      </c>
      <c r="AI56" s="102" t="s">
        <v>18</v>
      </c>
      <c r="AJ56" s="102" t="s">
        <v>18</v>
      </c>
      <c r="AK56" s="102" t="s">
        <v>18</v>
      </c>
      <c r="AL56" s="102" t="s">
        <v>18</v>
      </c>
      <c r="AM56" s="102" t="s">
        <v>18</v>
      </c>
      <c r="AN56" s="102" t="s">
        <v>18</v>
      </c>
      <c r="AO56" s="102" t="s">
        <v>18</v>
      </c>
      <c r="AP56" s="102" t="s">
        <v>18</v>
      </c>
      <c r="AQ56" s="102" t="str">
        <f t="shared" si="1"/>
        <v/>
      </c>
    </row>
    <row r="57" spans="1:43" s="102" customFormat="1" ht="12" customHeight="1">
      <c r="A57" s="117">
        <v>7</v>
      </c>
      <c r="B57" s="623" t="s">
        <v>254</v>
      </c>
      <c r="C57" s="206" t="s">
        <v>18</v>
      </c>
      <c r="D57" s="222" t="s">
        <v>18</v>
      </c>
      <c r="E57" s="222" t="s">
        <v>18</v>
      </c>
      <c r="F57" s="218" t="s">
        <v>18</v>
      </c>
      <c r="G57" s="222" t="s">
        <v>18</v>
      </c>
      <c r="H57" s="222" t="s">
        <v>18</v>
      </c>
      <c r="I57" s="222" t="s">
        <v>18</v>
      </c>
      <c r="J57" s="102" t="s">
        <v>18</v>
      </c>
      <c r="K57" s="218" t="s">
        <v>18</v>
      </c>
      <c r="L57" s="218" t="s">
        <v>18</v>
      </c>
      <c r="M57" s="218" t="s">
        <v>18</v>
      </c>
      <c r="N57" s="218" t="s">
        <v>18</v>
      </c>
      <c r="O57" s="218" t="s">
        <v>18</v>
      </c>
      <c r="P57" s="222" t="s">
        <v>18</v>
      </c>
      <c r="Q57" s="222" t="s">
        <v>18</v>
      </c>
      <c r="R57" s="609" t="s">
        <v>18</v>
      </c>
      <c r="S57" s="420"/>
      <c r="T57" s="421"/>
      <c r="U57" s="422"/>
      <c r="V57" s="423"/>
      <c r="W57" s="421"/>
      <c r="X57" s="421"/>
      <c r="Y57" s="421"/>
      <c r="Z57" s="421"/>
      <c r="AA57" s="421"/>
      <c r="AB57" s="411"/>
      <c r="AC57" s="411"/>
      <c r="AD57" s="411"/>
      <c r="AE57" s="102" t="s">
        <v>18</v>
      </c>
      <c r="AF57" s="102" t="s">
        <v>18</v>
      </c>
      <c r="AG57" s="102" t="s">
        <v>18</v>
      </c>
      <c r="AH57" s="102" t="s">
        <v>18</v>
      </c>
      <c r="AI57" s="102" t="s">
        <v>18</v>
      </c>
      <c r="AJ57" s="102" t="s">
        <v>18</v>
      </c>
      <c r="AK57" s="102" t="s">
        <v>18</v>
      </c>
      <c r="AL57" s="102" t="s">
        <v>18</v>
      </c>
      <c r="AM57" s="102" t="s">
        <v>18</v>
      </c>
      <c r="AN57" s="102" t="s">
        <v>18</v>
      </c>
      <c r="AO57" s="102" t="s">
        <v>18</v>
      </c>
      <c r="AP57" s="102" t="s">
        <v>18</v>
      </c>
      <c r="AQ57" s="102" t="str">
        <f t="shared" si="1"/>
        <v/>
      </c>
    </row>
    <row r="58" spans="1:43" s="102" customFormat="1" ht="12" customHeight="1">
      <c r="A58" s="117">
        <v>7</v>
      </c>
      <c r="B58" s="623" t="s">
        <v>254</v>
      </c>
      <c r="C58" s="206" t="s">
        <v>18</v>
      </c>
      <c r="D58" s="222" t="s">
        <v>18</v>
      </c>
      <c r="E58" s="222" t="s">
        <v>18</v>
      </c>
      <c r="F58" s="218" t="s">
        <v>18</v>
      </c>
      <c r="G58" s="222" t="s">
        <v>18</v>
      </c>
      <c r="H58" s="222" t="s">
        <v>18</v>
      </c>
      <c r="I58" s="222" t="s">
        <v>18</v>
      </c>
      <c r="J58" s="102" t="s">
        <v>18</v>
      </c>
      <c r="K58" s="218" t="s">
        <v>18</v>
      </c>
      <c r="L58" s="218" t="s">
        <v>18</v>
      </c>
      <c r="M58" s="218" t="s">
        <v>18</v>
      </c>
      <c r="N58" s="218" t="s">
        <v>18</v>
      </c>
      <c r="O58" s="218" t="s">
        <v>18</v>
      </c>
      <c r="P58" s="222" t="s">
        <v>18</v>
      </c>
      <c r="Q58" s="222" t="s">
        <v>18</v>
      </c>
      <c r="R58" s="609" t="s">
        <v>18</v>
      </c>
      <c r="S58" s="420"/>
      <c r="T58" s="421"/>
      <c r="U58" s="422"/>
      <c r="V58" s="423"/>
      <c r="W58" s="421"/>
      <c r="X58" s="421"/>
      <c r="Y58" s="421"/>
      <c r="Z58" s="421"/>
      <c r="AA58" s="421"/>
      <c r="AB58" s="411"/>
      <c r="AC58" s="411"/>
      <c r="AD58" s="411"/>
      <c r="AE58" s="102" t="s">
        <v>18</v>
      </c>
      <c r="AF58" s="102" t="s">
        <v>18</v>
      </c>
      <c r="AG58" s="102" t="s">
        <v>18</v>
      </c>
      <c r="AH58" s="102" t="s">
        <v>18</v>
      </c>
      <c r="AI58" s="102" t="s">
        <v>18</v>
      </c>
      <c r="AJ58" s="102" t="s">
        <v>18</v>
      </c>
      <c r="AK58" s="102" t="s">
        <v>18</v>
      </c>
      <c r="AL58" s="102" t="s">
        <v>18</v>
      </c>
      <c r="AM58" s="102" t="s">
        <v>18</v>
      </c>
      <c r="AN58" s="102" t="s">
        <v>18</v>
      </c>
      <c r="AO58" s="102" t="s">
        <v>18</v>
      </c>
      <c r="AP58" s="102" t="s">
        <v>18</v>
      </c>
      <c r="AQ58" s="102" t="str">
        <f t="shared" si="1"/>
        <v/>
      </c>
    </row>
    <row r="59" spans="1:43" s="102" customFormat="1" ht="12" customHeight="1">
      <c r="A59" s="117">
        <v>7</v>
      </c>
      <c r="B59" s="623" t="s">
        <v>254</v>
      </c>
      <c r="C59" s="206" t="s">
        <v>18</v>
      </c>
      <c r="D59" s="222" t="s">
        <v>18</v>
      </c>
      <c r="E59" s="222" t="s">
        <v>18</v>
      </c>
      <c r="F59" s="218" t="s">
        <v>18</v>
      </c>
      <c r="G59" s="222" t="s">
        <v>18</v>
      </c>
      <c r="H59" s="222" t="s">
        <v>18</v>
      </c>
      <c r="I59" s="222" t="s">
        <v>18</v>
      </c>
      <c r="J59" s="102" t="s">
        <v>18</v>
      </c>
      <c r="K59" s="218" t="s">
        <v>18</v>
      </c>
      <c r="L59" s="218" t="s">
        <v>18</v>
      </c>
      <c r="M59" s="218" t="s">
        <v>18</v>
      </c>
      <c r="N59" s="218" t="s">
        <v>18</v>
      </c>
      <c r="O59" s="218" t="s">
        <v>18</v>
      </c>
      <c r="P59" s="222" t="s">
        <v>18</v>
      </c>
      <c r="Q59" s="222" t="s">
        <v>18</v>
      </c>
      <c r="R59" s="609" t="s">
        <v>18</v>
      </c>
      <c r="S59" s="420"/>
      <c r="T59" s="421"/>
      <c r="U59" s="422"/>
      <c r="V59" s="423"/>
      <c r="W59" s="421"/>
      <c r="X59" s="421"/>
      <c r="Y59" s="421"/>
      <c r="Z59" s="421"/>
      <c r="AA59" s="421"/>
      <c r="AB59" s="411"/>
      <c r="AC59" s="411"/>
      <c r="AD59" s="411"/>
      <c r="AE59" s="102" t="s">
        <v>18</v>
      </c>
      <c r="AF59" s="102" t="s">
        <v>18</v>
      </c>
      <c r="AG59" s="102" t="s">
        <v>18</v>
      </c>
      <c r="AH59" s="102" t="s">
        <v>18</v>
      </c>
      <c r="AI59" s="102" t="s">
        <v>18</v>
      </c>
      <c r="AJ59" s="102" t="s">
        <v>18</v>
      </c>
      <c r="AK59" s="102" t="s">
        <v>18</v>
      </c>
      <c r="AL59" s="102" t="s">
        <v>18</v>
      </c>
      <c r="AM59" s="102" t="s">
        <v>18</v>
      </c>
      <c r="AN59" s="102" t="s">
        <v>18</v>
      </c>
      <c r="AO59" s="102" t="s">
        <v>18</v>
      </c>
      <c r="AP59" s="102" t="s">
        <v>18</v>
      </c>
      <c r="AQ59" s="102" t="str">
        <f t="shared" si="1"/>
        <v/>
      </c>
    </row>
    <row r="60" spans="1:43" s="102" customFormat="1" ht="12" customHeight="1">
      <c r="A60" s="117">
        <v>7</v>
      </c>
      <c r="B60" s="623" t="s">
        <v>254</v>
      </c>
      <c r="C60" s="206" t="s">
        <v>435</v>
      </c>
      <c r="D60" s="222">
        <v>14</v>
      </c>
      <c r="E60" s="222">
        <v>13.05</v>
      </c>
      <c r="F60" s="218">
        <v>127</v>
      </c>
      <c r="G60" s="222">
        <v>8.6</v>
      </c>
      <c r="H60" s="222">
        <v>2</v>
      </c>
      <c r="I60" s="222">
        <v>41.2</v>
      </c>
      <c r="J60" s="102">
        <v>2.8</v>
      </c>
      <c r="K60" s="218" t="s">
        <v>149</v>
      </c>
      <c r="L60" s="218">
        <v>32</v>
      </c>
      <c r="M60" s="218">
        <v>1800</v>
      </c>
      <c r="N60" s="218">
        <v>46</v>
      </c>
      <c r="O60" s="218">
        <v>2600</v>
      </c>
      <c r="P60" s="222" t="s">
        <v>18</v>
      </c>
      <c r="Q60" s="222" t="s">
        <v>18</v>
      </c>
      <c r="R60" s="609" t="s">
        <v>18</v>
      </c>
      <c r="S60" s="420"/>
      <c r="T60" s="421"/>
      <c r="U60" s="422"/>
      <c r="V60" s="423"/>
      <c r="W60" s="421"/>
      <c r="X60" s="421"/>
      <c r="Y60" s="421"/>
      <c r="Z60" s="421"/>
      <c r="AA60" s="421"/>
      <c r="AB60" s="411"/>
      <c r="AC60" s="411"/>
      <c r="AD60" s="411"/>
      <c r="AE60" s="102">
        <v>14</v>
      </c>
      <c r="AF60" s="102">
        <v>13.05</v>
      </c>
      <c r="AG60" s="102">
        <v>127</v>
      </c>
      <c r="AH60" s="102">
        <v>8.6</v>
      </c>
      <c r="AI60" s="102">
        <v>2</v>
      </c>
      <c r="AJ60" s="102">
        <v>41.2</v>
      </c>
      <c r="AK60" s="102">
        <v>2.8</v>
      </c>
      <c r="AL60" s="102">
        <v>2</v>
      </c>
      <c r="AM60" s="102">
        <v>32</v>
      </c>
      <c r="AN60" s="102">
        <v>1800</v>
      </c>
      <c r="AO60" s="102">
        <v>46</v>
      </c>
      <c r="AP60" s="102">
        <v>2600</v>
      </c>
      <c r="AQ60" s="102" t="str">
        <f t="shared" si="1"/>
        <v/>
      </c>
    </row>
    <row r="61" spans="1:43" s="102" customFormat="1" ht="12">
      <c r="A61" s="117"/>
      <c r="C61" s="610" t="s">
        <v>150</v>
      </c>
      <c r="D61" s="611">
        <v>10.185714285714285</v>
      </c>
      <c r="E61" s="611">
        <v>12.427142857142856</v>
      </c>
      <c r="F61" s="612">
        <v>108.71428571428571</v>
      </c>
      <c r="G61" s="611">
        <v>8.3999999999999986</v>
      </c>
      <c r="H61" s="611">
        <v>3.842857142857143</v>
      </c>
      <c r="I61" s="611">
        <v>40.457142857142856</v>
      </c>
      <c r="J61" s="611">
        <v>2.0285714285714285</v>
      </c>
      <c r="K61" s="612">
        <v>14.514285714285714</v>
      </c>
      <c r="L61" s="612">
        <v>44.571428571428569</v>
      </c>
      <c r="M61" s="612">
        <v>2100</v>
      </c>
      <c r="N61" s="612">
        <v>29</v>
      </c>
      <c r="O61" s="612">
        <v>2715.7142857142858</v>
      </c>
      <c r="P61" s="611"/>
      <c r="Q61" s="715"/>
      <c r="R61" s="307"/>
      <c r="S61" s="420"/>
      <c r="T61" s="421"/>
      <c r="U61" s="422"/>
      <c r="V61" s="423"/>
      <c r="W61" s="421"/>
      <c r="X61" s="421"/>
      <c r="Y61" s="421"/>
      <c r="Z61" s="421"/>
      <c r="AA61" s="421"/>
      <c r="AB61" s="411"/>
      <c r="AC61" s="411"/>
      <c r="AD61" s="411"/>
      <c r="AE61" s="102">
        <v>10.185714285714285</v>
      </c>
      <c r="AF61" s="102">
        <v>12.427142857142856</v>
      </c>
      <c r="AG61" s="102">
        <v>108.71428571428571</v>
      </c>
      <c r="AH61" s="102">
        <v>8.3999999999999986</v>
      </c>
      <c r="AI61" s="102">
        <v>3.842857142857143</v>
      </c>
      <c r="AJ61" s="102">
        <v>40.457142857142856</v>
      </c>
      <c r="AK61" s="102">
        <v>2.0285714285714285</v>
      </c>
      <c r="AL61" s="102">
        <v>14.514285714285714</v>
      </c>
      <c r="AM61" s="102">
        <v>44.571428571428569</v>
      </c>
      <c r="AN61" s="102">
        <v>2100</v>
      </c>
      <c r="AO61" s="102">
        <v>29</v>
      </c>
      <c r="AP61" s="102">
        <v>2715.7142857142858</v>
      </c>
      <c r="AQ61" s="102">
        <f t="shared" si="1"/>
        <v>0</v>
      </c>
    </row>
    <row r="62" spans="1:43" s="102" customFormat="1" ht="12">
      <c r="A62" s="117"/>
      <c r="C62" s="613" t="s">
        <v>151</v>
      </c>
      <c r="D62" s="614">
        <v>20.2</v>
      </c>
      <c r="E62" s="614">
        <v>15.03</v>
      </c>
      <c r="F62" s="615">
        <v>127</v>
      </c>
      <c r="G62" s="614">
        <v>8.6999999999999993</v>
      </c>
      <c r="H62" s="614">
        <v>6.3</v>
      </c>
      <c r="I62" s="614">
        <v>42.1</v>
      </c>
      <c r="J62" s="614">
        <v>2.8</v>
      </c>
      <c r="K62" s="615">
        <v>47</v>
      </c>
      <c r="L62" s="615">
        <v>78</v>
      </c>
      <c r="M62" s="615">
        <v>3400</v>
      </c>
      <c r="N62" s="615">
        <v>47</v>
      </c>
      <c r="O62" s="615">
        <v>3700</v>
      </c>
      <c r="P62" s="614"/>
      <c r="Q62" s="716"/>
      <c r="R62" s="307"/>
      <c r="S62" s="420"/>
      <c r="T62" s="421"/>
      <c r="U62" s="422"/>
      <c r="V62" s="423"/>
      <c r="W62" s="421"/>
      <c r="X62" s="421"/>
      <c r="Y62" s="421"/>
      <c r="Z62" s="421"/>
      <c r="AA62" s="421"/>
      <c r="AB62" s="411"/>
      <c r="AC62" s="411"/>
      <c r="AD62" s="411"/>
      <c r="AE62" s="102">
        <v>20.2</v>
      </c>
      <c r="AF62" s="102">
        <v>15.03</v>
      </c>
      <c r="AG62" s="102">
        <v>127</v>
      </c>
      <c r="AH62" s="102">
        <v>8.6999999999999993</v>
      </c>
      <c r="AI62" s="102">
        <v>6.3</v>
      </c>
      <c r="AJ62" s="102">
        <v>42.1</v>
      </c>
      <c r="AK62" s="102">
        <v>2.8</v>
      </c>
      <c r="AL62" s="102">
        <v>47</v>
      </c>
      <c r="AM62" s="102">
        <v>78</v>
      </c>
      <c r="AN62" s="102">
        <v>3400</v>
      </c>
      <c r="AO62" s="102">
        <v>47</v>
      </c>
      <c r="AP62" s="102">
        <v>3700</v>
      </c>
      <c r="AQ62" s="102">
        <f t="shared" si="1"/>
        <v>0</v>
      </c>
    </row>
    <row r="63" spans="1:43" s="102" customFormat="1" ht="12">
      <c r="A63" s="117"/>
      <c r="C63" s="616" t="s">
        <v>152</v>
      </c>
      <c r="D63" s="617">
        <v>2.1</v>
      </c>
      <c r="E63" s="617">
        <v>9.5399999999999991</v>
      </c>
      <c r="F63" s="618">
        <v>97</v>
      </c>
      <c r="G63" s="617">
        <v>8.1999999999999993</v>
      </c>
      <c r="H63" s="617">
        <v>1.1000000000000001</v>
      </c>
      <c r="I63" s="617">
        <v>36.200000000000003</v>
      </c>
      <c r="J63" s="617">
        <v>0.9</v>
      </c>
      <c r="K63" s="618">
        <v>2</v>
      </c>
      <c r="L63" s="618">
        <v>25</v>
      </c>
      <c r="M63" s="618">
        <v>110</v>
      </c>
      <c r="N63" s="618">
        <v>10</v>
      </c>
      <c r="O63" s="618">
        <v>710</v>
      </c>
      <c r="P63" s="617"/>
      <c r="Q63" s="717"/>
      <c r="R63" s="307"/>
      <c r="S63" s="420"/>
      <c r="T63" s="421"/>
      <c r="U63" s="422"/>
      <c r="V63" s="423"/>
      <c r="W63" s="421"/>
      <c r="X63" s="421"/>
      <c r="Y63" s="421"/>
      <c r="Z63" s="421"/>
      <c r="AA63" s="421"/>
      <c r="AB63" s="411"/>
      <c r="AC63" s="411"/>
      <c r="AD63" s="411"/>
      <c r="AE63" s="102">
        <v>2.1</v>
      </c>
      <c r="AF63" s="102">
        <v>9.5399999999999991</v>
      </c>
      <c r="AG63" s="102">
        <v>97</v>
      </c>
      <c r="AH63" s="102">
        <v>8.1999999999999993</v>
      </c>
      <c r="AI63" s="102">
        <v>1.1000000000000001</v>
      </c>
      <c r="AJ63" s="102">
        <v>36.200000000000003</v>
      </c>
      <c r="AK63" s="102">
        <v>0.9</v>
      </c>
      <c r="AL63" s="102">
        <v>2</v>
      </c>
      <c r="AM63" s="102">
        <v>25</v>
      </c>
      <c r="AN63" s="102">
        <v>110</v>
      </c>
      <c r="AO63" s="102">
        <v>10</v>
      </c>
      <c r="AP63" s="102">
        <v>710</v>
      </c>
      <c r="AQ63" s="102">
        <f t="shared" si="1"/>
        <v>0</v>
      </c>
    </row>
    <row r="64" spans="1:43" s="102" customFormat="1" ht="12">
      <c r="A64" s="117"/>
      <c r="B64" s="411"/>
      <c r="C64" s="619"/>
      <c r="D64" s="620"/>
      <c r="E64" s="620"/>
      <c r="F64" s="621"/>
      <c r="G64" s="620"/>
      <c r="H64" s="620"/>
      <c r="I64" s="620"/>
      <c r="J64" s="622"/>
      <c r="K64" s="622"/>
      <c r="L64" s="622"/>
      <c r="M64" s="622"/>
      <c r="N64" s="622"/>
      <c r="O64" s="622"/>
      <c r="P64" s="620"/>
      <c r="Q64" s="620"/>
      <c r="R64" s="387"/>
      <c r="S64" s="420"/>
      <c r="T64" s="421"/>
      <c r="U64" s="422"/>
      <c r="V64" s="423"/>
      <c r="W64" s="421"/>
      <c r="X64" s="421"/>
      <c r="Y64" s="421"/>
      <c r="Z64" s="421"/>
      <c r="AA64" s="421"/>
      <c r="AB64" s="411"/>
      <c r="AC64" s="411"/>
      <c r="AD64" s="411"/>
      <c r="AE64" s="102">
        <v>0</v>
      </c>
      <c r="AF64" s="102">
        <v>0</v>
      </c>
      <c r="AG64" s="102">
        <v>0</v>
      </c>
      <c r="AH64" s="102">
        <v>0</v>
      </c>
      <c r="AI64" s="102">
        <v>0</v>
      </c>
      <c r="AJ64" s="102">
        <v>0</v>
      </c>
      <c r="AK64" s="102">
        <v>0</v>
      </c>
      <c r="AL64" s="102">
        <v>0</v>
      </c>
      <c r="AM64" s="102">
        <v>0</v>
      </c>
      <c r="AN64" s="102">
        <v>0</v>
      </c>
      <c r="AO64" s="102">
        <v>0</v>
      </c>
      <c r="AP64" s="102">
        <v>0</v>
      </c>
      <c r="AQ64" s="102">
        <f t="shared" si="1"/>
        <v>0</v>
      </c>
    </row>
    <row r="65" spans="1:43" s="102" customFormat="1" ht="12" customHeight="1">
      <c r="A65" s="117">
        <v>9</v>
      </c>
      <c r="B65" s="623" t="s">
        <v>255</v>
      </c>
      <c r="C65" s="206">
        <v>45670</v>
      </c>
      <c r="D65" s="222">
        <v>1.2</v>
      </c>
      <c r="E65" s="222">
        <v>14.28</v>
      </c>
      <c r="F65" s="218">
        <v>101</v>
      </c>
      <c r="G65" s="222">
        <v>8.1</v>
      </c>
      <c r="H65" s="222">
        <v>5.5</v>
      </c>
      <c r="I65" s="222">
        <v>46.4</v>
      </c>
      <c r="J65" s="102">
        <v>1.2</v>
      </c>
      <c r="K65" s="218">
        <v>37</v>
      </c>
      <c r="L65" s="218">
        <v>58</v>
      </c>
      <c r="M65" s="218">
        <v>8100</v>
      </c>
      <c r="N65" s="218">
        <v>19</v>
      </c>
      <c r="O65" s="218">
        <v>8200</v>
      </c>
      <c r="P65" s="222" t="s">
        <v>18</v>
      </c>
      <c r="Q65" s="222" t="s">
        <v>18</v>
      </c>
      <c r="R65" s="609" t="s">
        <v>18</v>
      </c>
      <c r="S65" s="420"/>
      <c r="T65" s="421"/>
      <c r="U65" s="422"/>
      <c r="V65" s="423"/>
      <c r="W65" s="421"/>
      <c r="X65" s="421"/>
      <c r="Y65" s="421"/>
      <c r="Z65" s="421"/>
      <c r="AA65" s="421"/>
      <c r="AB65" s="411"/>
      <c r="AC65" s="411"/>
      <c r="AD65" s="411"/>
      <c r="AE65" s="102">
        <v>1.2</v>
      </c>
      <c r="AF65" s="102">
        <v>14.28</v>
      </c>
      <c r="AG65" s="102">
        <v>101</v>
      </c>
      <c r="AH65" s="102">
        <v>8.1</v>
      </c>
      <c r="AI65" s="102">
        <v>5.5</v>
      </c>
      <c r="AJ65" s="102">
        <v>46.4</v>
      </c>
      <c r="AK65" s="102">
        <v>1.2</v>
      </c>
      <c r="AL65" s="102">
        <v>37</v>
      </c>
      <c r="AM65" s="102">
        <v>58</v>
      </c>
      <c r="AN65" s="102">
        <v>8100</v>
      </c>
      <c r="AO65" s="102">
        <v>19</v>
      </c>
      <c r="AP65" s="102">
        <v>8200</v>
      </c>
      <c r="AQ65" s="102" t="str">
        <f t="shared" si="1"/>
        <v/>
      </c>
    </row>
    <row r="66" spans="1:43" s="102" customFormat="1" ht="12" customHeight="1">
      <c r="A66" s="117">
        <v>9</v>
      </c>
      <c r="B66" s="623" t="s">
        <v>255</v>
      </c>
      <c r="C66" s="206">
        <v>45728</v>
      </c>
      <c r="D66" s="222">
        <v>5.4</v>
      </c>
      <c r="E66" s="222">
        <v>12.93</v>
      </c>
      <c r="F66" s="218">
        <v>100</v>
      </c>
      <c r="G66" s="222">
        <v>8.4</v>
      </c>
      <c r="H66" s="222">
        <v>4.5999999999999996</v>
      </c>
      <c r="I66" s="222">
        <v>53.4</v>
      </c>
      <c r="J66" s="102">
        <v>3.9</v>
      </c>
      <c r="K66" s="218">
        <v>2.8</v>
      </c>
      <c r="L66" s="218">
        <v>37</v>
      </c>
      <c r="M66" s="218">
        <v>4300</v>
      </c>
      <c r="N66" s="218" t="s">
        <v>148</v>
      </c>
      <c r="O66" s="218">
        <v>5200</v>
      </c>
      <c r="P66" s="222" t="s">
        <v>18</v>
      </c>
      <c r="Q66" s="222" t="s">
        <v>18</v>
      </c>
      <c r="R66" s="609" t="s">
        <v>18</v>
      </c>
      <c r="S66" s="420"/>
      <c r="T66" s="421"/>
      <c r="U66" s="422"/>
      <c r="V66" s="423"/>
      <c r="W66" s="421"/>
      <c r="X66" s="421"/>
      <c r="Y66" s="421"/>
      <c r="Z66" s="421"/>
      <c r="AA66" s="421"/>
      <c r="AB66" s="411"/>
      <c r="AC66" s="411"/>
      <c r="AD66" s="411"/>
      <c r="AE66" s="102">
        <v>5.4</v>
      </c>
      <c r="AF66" s="102">
        <v>12.93</v>
      </c>
      <c r="AG66" s="102">
        <v>100</v>
      </c>
      <c r="AH66" s="102">
        <v>8.4</v>
      </c>
      <c r="AI66" s="102">
        <v>4.5999999999999996</v>
      </c>
      <c r="AJ66" s="102">
        <v>53.4</v>
      </c>
      <c r="AK66" s="102">
        <v>3.9</v>
      </c>
      <c r="AL66" s="102">
        <v>2.8</v>
      </c>
      <c r="AM66" s="102">
        <v>37</v>
      </c>
      <c r="AN66" s="102">
        <v>4300</v>
      </c>
      <c r="AO66" s="102">
        <v>10</v>
      </c>
      <c r="AP66" s="102">
        <v>5200</v>
      </c>
      <c r="AQ66" s="102" t="str">
        <f t="shared" si="1"/>
        <v/>
      </c>
    </row>
    <row r="67" spans="1:43" s="102" customFormat="1" ht="12" customHeight="1">
      <c r="A67" s="117">
        <v>9</v>
      </c>
      <c r="B67" s="623" t="s">
        <v>255</v>
      </c>
      <c r="C67" s="206">
        <v>45848</v>
      </c>
      <c r="D67" s="222">
        <v>16.399999999999999</v>
      </c>
      <c r="E67" s="222">
        <v>6.95</v>
      </c>
      <c r="F67" s="218">
        <v>71</v>
      </c>
      <c r="G67" s="222">
        <v>7.6</v>
      </c>
      <c r="H67" s="222">
        <v>2.5</v>
      </c>
      <c r="I67" s="222">
        <v>41.1</v>
      </c>
      <c r="J67" s="102">
        <v>2.5</v>
      </c>
      <c r="K67" s="218">
        <v>310</v>
      </c>
      <c r="L67" s="218">
        <v>370</v>
      </c>
      <c r="M67" s="218">
        <v>560</v>
      </c>
      <c r="N67" s="218">
        <v>150</v>
      </c>
      <c r="O67" s="218">
        <v>1300</v>
      </c>
      <c r="P67" s="222" t="s">
        <v>18</v>
      </c>
      <c r="Q67" s="222" t="s">
        <v>18</v>
      </c>
      <c r="R67" s="609" t="s">
        <v>18</v>
      </c>
      <c r="S67" s="420"/>
      <c r="T67" s="421"/>
      <c r="U67" s="422"/>
      <c r="V67" s="423"/>
      <c r="W67" s="421"/>
      <c r="X67" s="421"/>
      <c r="Y67" s="421"/>
      <c r="Z67" s="421"/>
      <c r="AA67" s="421"/>
      <c r="AB67" s="411"/>
      <c r="AC67" s="411"/>
      <c r="AD67" s="411"/>
      <c r="AE67" s="102">
        <v>16.399999999999999</v>
      </c>
      <c r="AF67" s="102">
        <v>6.95</v>
      </c>
      <c r="AG67" s="102">
        <v>71</v>
      </c>
      <c r="AH67" s="102">
        <v>7.6</v>
      </c>
      <c r="AI67" s="102">
        <v>2.5</v>
      </c>
      <c r="AJ67" s="102">
        <v>41.1</v>
      </c>
      <c r="AK67" s="102">
        <v>2.5</v>
      </c>
      <c r="AL67" s="102">
        <v>310</v>
      </c>
      <c r="AM67" s="102">
        <v>370</v>
      </c>
      <c r="AN67" s="102">
        <v>560</v>
      </c>
      <c r="AO67" s="102">
        <v>150</v>
      </c>
      <c r="AP67" s="102">
        <v>1300</v>
      </c>
      <c r="AQ67" s="102" t="str">
        <f t="shared" si="1"/>
        <v/>
      </c>
    </row>
    <row r="68" spans="1:43" s="102" customFormat="1" ht="12" customHeight="1">
      <c r="A68" s="117">
        <v>9</v>
      </c>
      <c r="B68" s="623" t="s">
        <v>255</v>
      </c>
      <c r="C68" s="206" t="s">
        <v>18</v>
      </c>
      <c r="D68" s="222" t="s">
        <v>18</v>
      </c>
      <c r="E68" s="222" t="s">
        <v>18</v>
      </c>
      <c r="F68" s="218" t="s">
        <v>18</v>
      </c>
      <c r="G68" s="222" t="s">
        <v>18</v>
      </c>
      <c r="H68" s="222" t="s">
        <v>18</v>
      </c>
      <c r="I68" s="222" t="s">
        <v>18</v>
      </c>
      <c r="J68" s="102" t="s">
        <v>18</v>
      </c>
      <c r="K68" s="218" t="s">
        <v>18</v>
      </c>
      <c r="L68" s="218" t="s">
        <v>18</v>
      </c>
      <c r="M68" s="218" t="s">
        <v>18</v>
      </c>
      <c r="N68" s="218" t="s">
        <v>18</v>
      </c>
      <c r="O68" s="218" t="s">
        <v>18</v>
      </c>
      <c r="P68" s="222" t="s">
        <v>18</v>
      </c>
      <c r="Q68" s="222" t="s">
        <v>18</v>
      </c>
      <c r="R68" s="609" t="s">
        <v>18</v>
      </c>
      <c r="S68" s="420"/>
      <c r="T68" s="421"/>
      <c r="U68" s="422"/>
      <c r="V68" s="423"/>
      <c r="W68" s="421"/>
      <c r="X68" s="421"/>
      <c r="Y68" s="421"/>
      <c r="Z68" s="421"/>
      <c r="AA68" s="421"/>
      <c r="AB68" s="411"/>
      <c r="AC68" s="411"/>
      <c r="AD68" s="411"/>
      <c r="AE68" s="102" t="s">
        <v>18</v>
      </c>
      <c r="AF68" s="102" t="s">
        <v>18</v>
      </c>
      <c r="AG68" s="102" t="s">
        <v>18</v>
      </c>
      <c r="AH68" s="102" t="s">
        <v>18</v>
      </c>
      <c r="AI68" s="102" t="s">
        <v>18</v>
      </c>
      <c r="AJ68" s="102" t="s">
        <v>18</v>
      </c>
      <c r="AK68" s="102" t="s">
        <v>18</v>
      </c>
      <c r="AL68" s="102" t="s">
        <v>18</v>
      </c>
      <c r="AM68" s="102" t="s">
        <v>18</v>
      </c>
      <c r="AN68" s="102" t="s">
        <v>18</v>
      </c>
      <c r="AO68" s="102" t="s">
        <v>18</v>
      </c>
      <c r="AP68" s="102" t="s">
        <v>18</v>
      </c>
      <c r="AQ68" s="102" t="str">
        <f t="shared" si="1"/>
        <v/>
      </c>
    </row>
    <row r="69" spans="1:43" s="102" customFormat="1" ht="12" customHeight="1">
      <c r="A69" s="117">
        <v>9</v>
      </c>
      <c r="B69" s="623" t="s">
        <v>255</v>
      </c>
      <c r="C69" s="206" t="s">
        <v>18</v>
      </c>
      <c r="D69" s="222" t="s">
        <v>18</v>
      </c>
      <c r="E69" s="222" t="s">
        <v>18</v>
      </c>
      <c r="F69" s="218" t="s">
        <v>18</v>
      </c>
      <c r="G69" s="222" t="s">
        <v>18</v>
      </c>
      <c r="H69" s="222" t="s">
        <v>18</v>
      </c>
      <c r="I69" s="222" t="s">
        <v>18</v>
      </c>
      <c r="J69" s="102" t="s">
        <v>18</v>
      </c>
      <c r="K69" s="218" t="s">
        <v>18</v>
      </c>
      <c r="L69" s="218" t="s">
        <v>18</v>
      </c>
      <c r="M69" s="218" t="s">
        <v>18</v>
      </c>
      <c r="N69" s="218" t="s">
        <v>18</v>
      </c>
      <c r="O69" s="218" t="s">
        <v>18</v>
      </c>
      <c r="P69" s="222" t="s">
        <v>18</v>
      </c>
      <c r="Q69" s="222" t="s">
        <v>18</v>
      </c>
      <c r="R69" s="609" t="s">
        <v>18</v>
      </c>
      <c r="S69" s="420"/>
      <c r="T69" s="421"/>
      <c r="U69" s="422"/>
      <c r="V69" s="423"/>
      <c r="W69" s="421"/>
      <c r="X69" s="421"/>
      <c r="Y69" s="421"/>
      <c r="Z69" s="421"/>
      <c r="AA69" s="421"/>
      <c r="AB69" s="411"/>
      <c r="AC69" s="411"/>
      <c r="AD69" s="411"/>
      <c r="AE69" s="102" t="s">
        <v>18</v>
      </c>
      <c r="AF69" s="102" t="s">
        <v>18</v>
      </c>
      <c r="AG69" s="102" t="s">
        <v>18</v>
      </c>
      <c r="AH69" s="102" t="s">
        <v>18</v>
      </c>
      <c r="AI69" s="102" t="s">
        <v>18</v>
      </c>
      <c r="AJ69" s="102" t="s">
        <v>18</v>
      </c>
      <c r="AK69" s="102" t="s">
        <v>18</v>
      </c>
      <c r="AL69" s="102" t="s">
        <v>18</v>
      </c>
      <c r="AM69" s="102" t="s">
        <v>18</v>
      </c>
      <c r="AN69" s="102" t="s">
        <v>18</v>
      </c>
      <c r="AO69" s="102" t="s">
        <v>18</v>
      </c>
      <c r="AP69" s="102" t="s">
        <v>18</v>
      </c>
      <c r="AQ69" s="102" t="str">
        <f t="shared" si="1"/>
        <v/>
      </c>
    </row>
    <row r="70" spans="1:43" s="102" customFormat="1" ht="12">
      <c r="A70" s="117">
        <v>9</v>
      </c>
      <c r="B70" s="623" t="s">
        <v>255</v>
      </c>
      <c r="C70" s="206" t="s">
        <v>436</v>
      </c>
      <c r="D70" s="222">
        <v>11.4</v>
      </c>
      <c r="E70" s="222">
        <v>8.43</v>
      </c>
      <c r="F70" s="218">
        <v>77</v>
      </c>
      <c r="G70" s="222">
        <v>7.7</v>
      </c>
      <c r="H70" s="222">
        <v>3.1</v>
      </c>
      <c r="I70" s="222">
        <v>46.9</v>
      </c>
      <c r="J70" s="102">
        <v>4.4000000000000004</v>
      </c>
      <c r="K70" s="218">
        <v>25</v>
      </c>
      <c r="L70" s="218">
        <v>100</v>
      </c>
      <c r="M70" s="218">
        <v>590</v>
      </c>
      <c r="N70" s="218">
        <v>130</v>
      </c>
      <c r="O70" s="218">
        <v>1500</v>
      </c>
      <c r="P70" s="222" t="s">
        <v>18</v>
      </c>
      <c r="Q70" s="222" t="s">
        <v>18</v>
      </c>
      <c r="R70" s="609" t="s">
        <v>18</v>
      </c>
      <c r="S70" s="420"/>
      <c r="T70" s="421"/>
      <c r="U70" s="422"/>
      <c r="V70" s="423"/>
      <c r="W70" s="421"/>
      <c r="X70" s="421"/>
      <c r="Y70" s="421"/>
      <c r="Z70" s="421"/>
      <c r="AA70" s="421"/>
      <c r="AB70" s="411"/>
      <c r="AC70" s="411"/>
      <c r="AD70" s="411"/>
      <c r="AE70" s="102">
        <v>11.4</v>
      </c>
      <c r="AF70" s="102">
        <v>8.43</v>
      </c>
      <c r="AG70" s="102">
        <v>77</v>
      </c>
      <c r="AH70" s="102">
        <v>7.7</v>
      </c>
      <c r="AI70" s="102">
        <v>3.1</v>
      </c>
      <c r="AJ70" s="102">
        <v>46.9</v>
      </c>
      <c r="AK70" s="102">
        <v>4.4000000000000004</v>
      </c>
      <c r="AL70" s="102">
        <v>25</v>
      </c>
      <c r="AM70" s="102">
        <v>100</v>
      </c>
      <c r="AN70" s="102">
        <v>590</v>
      </c>
      <c r="AO70" s="102">
        <v>130</v>
      </c>
      <c r="AP70" s="102">
        <v>1500</v>
      </c>
      <c r="AQ70" s="102" t="str">
        <f t="shared" si="1"/>
        <v/>
      </c>
    </row>
    <row r="71" spans="1:43" s="102" customFormat="1" ht="12">
      <c r="A71" s="117"/>
      <c r="C71" s="610" t="s">
        <v>150</v>
      </c>
      <c r="D71" s="611">
        <v>8.6</v>
      </c>
      <c r="E71" s="611">
        <v>10.647500000000001</v>
      </c>
      <c r="F71" s="612">
        <v>87.25</v>
      </c>
      <c r="G71" s="611">
        <v>7.95</v>
      </c>
      <c r="H71" s="611">
        <v>3.9249999999999998</v>
      </c>
      <c r="I71" s="611">
        <v>46.95</v>
      </c>
      <c r="J71" s="611">
        <v>3</v>
      </c>
      <c r="K71" s="612">
        <v>93.7</v>
      </c>
      <c r="L71" s="612">
        <v>141.25</v>
      </c>
      <c r="M71" s="612">
        <v>3387.5</v>
      </c>
      <c r="N71" s="612">
        <v>77.25</v>
      </c>
      <c r="O71" s="612">
        <v>4050</v>
      </c>
      <c r="P71" s="611"/>
      <c r="Q71" s="715"/>
      <c r="R71" s="307"/>
      <c r="S71" s="420"/>
      <c r="T71" s="421"/>
      <c r="U71" s="422"/>
      <c r="V71" s="423"/>
      <c r="W71" s="421"/>
      <c r="X71" s="421"/>
      <c r="Y71" s="421"/>
      <c r="Z71" s="421"/>
      <c r="AA71" s="421"/>
      <c r="AB71" s="411"/>
      <c r="AC71" s="411"/>
      <c r="AD71" s="411"/>
      <c r="AE71" s="102">
        <v>8.6</v>
      </c>
      <c r="AF71" s="102">
        <v>10.647500000000001</v>
      </c>
      <c r="AG71" s="102">
        <v>87.25</v>
      </c>
      <c r="AH71" s="102">
        <v>7.95</v>
      </c>
      <c r="AI71" s="102">
        <v>3.9249999999999998</v>
      </c>
      <c r="AJ71" s="102">
        <v>46.95</v>
      </c>
      <c r="AK71" s="102">
        <v>3</v>
      </c>
      <c r="AL71" s="102">
        <v>93.7</v>
      </c>
      <c r="AM71" s="102">
        <v>141.25</v>
      </c>
      <c r="AN71" s="102">
        <v>3387.5</v>
      </c>
      <c r="AO71" s="102">
        <v>77.25</v>
      </c>
      <c r="AP71" s="102">
        <v>4050</v>
      </c>
      <c r="AQ71" s="102">
        <f t="shared" ref="AQ71:AQ102" si="2">IF(OR(LEFT(Q71,1)="&lt;",LEFT(Q71,1)="&gt;"),VALUE(MID(Q71,2,5)),Q71)</f>
        <v>0</v>
      </c>
    </row>
    <row r="72" spans="1:43" s="102" customFormat="1" ht="12">
      <c r="A72" s="117"/>
      <c r="C72" s="613" t="s">
        <v>151</v>
      </c>
      <c r="D72" s="614">
        <v>16.399999999999999</v>
      </c>
      <c r="E72" s="614">
        <v>14.28</v>
      </c>
      <c r="F72" s="615">
        <v>101</v>
      </c>
      <c r="G72" s="614">
        <v>8.4</v>
      </c>
      <c r="H72" s="614">
        <v>5.5</v>
      </c>
      <c r="I72" s="614">
        <v>53.4</v>
      </c>
      <c r="J72" s="614">
        <v>4.4000000000000004</v>
      </c>
      <c r="K72" s="615">
        <v>310</v>
      </c>
      <c r="L72" s="615">
        <v>370</v>
      </c>
      <c r="M72" s="615">
        <v>8100</v>
      </c>
      <c r="N72" s="615">
        <v>150</v>
      </c>
      <c r="O72" s="615">
        <v>8200</v>
      </c>
      <c r="P72" s="614"/>
      <c r="Q72" s="716"/>
      <c r="R72" s="307"/>
      <c r="S72" s="420"/>
      <c r="T72" s="421"/>
      <c r="U72" s="422"/>
      <c r="V72" s="423"/>
      <c r="W72" s="421"/>
      <c r="X72" s="421"/>
      <c r="Y72" s="421"/>
      <c r="Z72" s="421"/>
      <c r="AA72" s="421"/>
      <c r="AB72" s="411"/>
      <c r="AC72" s="411"/>
      <c r="AD72" s="411"/>
      <c r="AE72" s="102">
        <v>16.399999999999999</v>
      </c>
      <c r="AF72" s="102">
        <v>14.28</v>
      </c>
      <c r="AG72" s="102">
        <v>101</v>
      </c>
      <c r="AH72" s="102">
        <v>8.4</v>
      </c>
      <c r="AI72" s="102">
        <v>5.5</v>
      </c>
      <c r="AJ72" s="102">
        <v>53.4</v>
      </c>
      <c r="AK72" s="102">
        <v>4.4000000000000004</v>
      </c>
      <c r="AL72" s="102">
        <v>310</v>
      </c>
      <c r="AM72" s="102">
        <v>370</v>
      </c>
      <c r="AN72" s="102">
        <v>8100</v>
      </c>
      <c r="AO72" s="102">
        <v>150</v>
      </c>
      <c r="AP72" s="102">
        <v>8200</v>
      </c>
      <c r="AQ72" s="102">
        <f t="shared" si="2"/>
        <v>0</v>
      </c>
    </row>
    <row r="73" spans="1:43" s="102" customFormat="1" ht="12">
      <c r="A73" s="117"/>
      <c r="C73" s="616" t="s">
        <v>152</v>
      </c>
      <c r="D73" s="617">
        <v>1.2</v>
      </c>
      <c r="E73" s="617">
        <v>6.95</v>
      </c>
      <c r="F73" s="618">
        <v>71</v>
      </c>
      <c r="G73" s="617">
        <v>7.6</v>
      </c>
      <c r="H73" s="617">
        <v>2.5</v>
      </c>
      <c r="I73" s="617">
        <v>41.1</v>
      </c>
      <c r="J73" s="617">
        <v>1.2</v>
      </c>
      <c r="K73" s="618">
        <v>2.8</v>
      </c>
      <c r="L73" s="618">
        <v>37</v>
      </c>
      <c r="M73" s="618">
        <v>560</v>
      </c>
      <c r="N73" s="618">
        <v>10</v>
      </c>
      <c r="O73" s="618">
        <v>1300</v>
      </c>
      <c r="P73" s="617"/>
      <c r="Q73" s="717"/>
      <c r="R73" s="307"/>
      <c r="S73" s="420"/>
      <c r="T73" s="421"/>
      <c r="U73" s="422"/>
      <c r="V73" s="423"/>
      <c r="W73" s="421"/>
      <c r="X73" s="421"/>
      <c r="Y73" s="421"/>
      <c r="Z73" s="421"/>
      <c r="AA73" s="421"/>
      <c r="AB73" s="411"/>
      <c r="AC73" s="411"/>
      <c r="AD73" s="411"/>
      <c r="AE73" s="102">
        <v>1.2</v>
      </c>
      <c r="AF73" s="102">
        <v>6.95</v>
      </c>
      <c r="AG73" s="102">
        <v>71</v>
      </c>
      <c r="AH73" s="102">
        <v>7.6</v>
      </c>
      <c r="AI73" s="102">
        <v>2.5</v>
      </c>
      <c r="AJ73" s="102">
        <v>41.1</v>
      </c>
      <c r="AK73" s="102">
        <v>1.2</v>
      </c>
      <c r="AL73" s="102">
        <v>2.8</v>
      </c>
      <c r="AM73" s="102">
        <v>37</v>
      </c>
      <c r="AN73" s="102">
        <v>560</v>
      </c>
      <c r="AO73" s="102">
        <v>10</v>
      </c>
      <c r="AP73" s="102">
        <v>1300</v>
      </c>
      <c r="AQ73" s="102">
        <f t="shared" si="2"/>
        <v>0</v>
      </c>
    </row>
    <row r="74" spans="1:43" s="102" customFormat="1" ht="12">
      <c r="A74" s="117"/>
      <c r="B74" s="411"/>
      <c r="C74" s="619"/>
      <c r="D74" s="620"/>
      <c r="E74" s="620"/>
      <c r="F74" s="621"/>
      <c r="G74" s="620"/>
      <c r="H74" s="620"/>
      <c r="I74" s="620"/>
      <c r="J74" s="622"/>
      <c r="K74" s="622"/>
      <c r="L74" s="622"/>
      <c r="M74" s="622"/>
      <c r="N74" s="622"/>
      <c r="O74" s="622"/>
      <c r="P74" s="620"/>
      <c r="Q74" s="620"/>
      <c r="R74" s="387"/>
      <c r="S74" s="420"/>
      <c r="T74" s="421"/>
      <c r="U74" s="422"/>
      <c r="V74" s="423"/>
      <c r="W74" s="421"/>
      <c r="X74" s="421"/>
      <c r="Y74" s="421"/>
      <c r="Z74" s="421"/>
      <c r="AA74" s="421"/>
      <c r="AB74" s="411"/>
      <c r="AC74" s="411"/>
      <c r="AD74" s="411"/>
      <c r="AE74" s="102">
        <v>0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0</v>
      </c>
      <c r="AN74" s="102">
        <v>0</v>
      </c>
      <c r="AO74" s="102">
        <v>0</v>
      </c>
      <c r="AP74" s="102">
        <v>0</v>
      </c>
      <c r="AQ74" s="102">
        <f t="shared" si="2"/>
        <v>0</v>
      </c>
    </row>
    <row r="75" spans="1:43" s="102" customFormat="1" ht="12" customHeight="1">
      <c r="A75" s="118">
        <v>11</v>
      </c>
      <c r="B75" s="102" t="s">
        <v>256</v>
      </c>
      <c r="C75" s="206">
        <v>45670</v>
      </c>
      <c r="D75" s="222">
        <v>0.2</v>
      </c>
      <c r="E75" s="222">
        <v>14.46</v>
      </c>
      <c r="F75" s="218">
        <v>99</v>
      </c>
      <c r="G75" s="222">
        <v>8</v>
      </c>
      <c r="H75" s="222">
        <v>8.9</v>
      </c>
      <c r="I75" s="222">
        <v>49.1</v>
      </c>
      <c r="J75" s="102">
        <v>1.6</v>
      </c>
      <c r="K75" s="218">
        <v>38</v>
      </c>
      <c r="L75" s="218">
        <v>71</v>
      </c>
      <c r="M75" s="218">
        <v>6700</v>
      </c>
      <c r="N75" s="218">
        <v>67</v>
      </c>
      <c r="O75" s="218">
        <v>6600</v>
      </c>
      <c r="P75" s="222" t="s">
        <v>18</v>
      </c>
      <c r="Q75" s="222" t="s">
        <v>18</v>
      </c>
      <c r="R75" s="609" t="s">
        <v>18</v>
      </c>
      <c r="S75" s="436"/>
      <c r="T75" s="421"/>
      <c r="U75" s="423"/>
      <c r="V75" s="423"/>
      <c r="W75" s="424"/>
      <c r="X75" s="425"/>
      <c r="Y75" s="425"/>
      <c r="Z75" s="411"/>
      <c r="AA75" s="411"/>
      <c r="AB75" s="411"/>
      <c r="AC75" s="411"/>
      <c r="AD75" s="411"/>
      <c r="AE75" s="102">
        <v>0.2</v>
      </c>
      <c r="AF75" s="102">
        <v>14.46</v>
      </c>
      <c r="AG75" s="102">
        <v>99</v>
      </c>
      <c r="AH75" s="102">
        <v>8</v>
      </c>
      <c r="AI75" s="102">
        <v>8.9</v>
      </c>
      <c r="AJ75" s="102">
        <v>49.1</v>
      </c>
      <c r="AK75" s="102">
        <v>1.6</v>
      </c>
      <c r="AL75" s="102">
        <v>38</v>
      </c>
      <c r="AM75" s="102">
        <v>71</v>
      </c>
      <c r="AN75" s="102">
        <v>6700</v>
      </c>
      <c r="AO75" s="102">
        <v>67</v>
      </c>
      <c r="AP75" s="102">
        <v>6600</v>
      </c>
      <c r="AQ75" s="102" t="str">
        <f t="shared" si="2"/>
        <v/>
      </c>
    </row>
    <row r="76" spans="1:43" s="102" customFormat="1" ht="12" customHeight="1">
      <c r="A76" s="118">
        <v>11</v>
      </c>
      <c r="B76" s="102" t="s">
        <v>256</v>
      </c>
      <c r="C76" s="206">
        <v>45706</v>
      </c>
      <c r="D76" s="222">
        <v>1.4</v>
      </c>
      <c r="E76" s="222">
        <v>14.3</v>
      </c>
      <c r="F76" s="218">
        <v>102</v>
      </c>
      <c r="G76" s="222">
        <v>8</v>
      </c>
      <c r="H76" s="222">
        <v>3.5</v>
      </c>
      <c r="I76" s="222">
        <v>56.9</v>
      </c>
      <c r="J76" s="102">
        <v>1.5</v>
      </c>
      <c r="K76" s="218">
        <v>28</v>
      </c>
      <c r="L76" s="218">
        <v>41</v>
      </c>
      <c r="M76" s="218">
        <v>5000</v>
      </c>
      <c r="N76" s="218">
        <v>80</v>
      </c>
      <c r="O76" s="218">
        <v>5500</v>
      </c>
      <c r="P76" s="222" t="s">
        <v>18</v>
      </c>
      <c r="Q76" s="222" t="s">
        <v>18</v>
      </c>
      <c r="R76" s="609" t="s">
        <v>18</v>
      </c>
      <c r="S76" s="426"/>
      <c r="T76" s="427"/>
      <c r="U76" s="422"/>
      <c r="V76" s="423"/>
      <c r="W76" s="424"/>
      <c r="X76" s="425"/>
      <c r="Y76" s="425"/>
      <c r="Z76" s="424"/>
      <c r="AA76" s="425"/>
      <c r="AB76" s="425"/>
      <c r="AC76" s="425"/>
      <c r="AD76" s="411"/>
      <c r="AE76" s="102">
        <v>1.4</v>
      </c>
      <c r="AF76" s="102">
        <v>14.3</v>
      </c>
      <c r="AG76" s="102">
        <v>102</v>
      </c>
      <c r="AH76" s="102">
        <v>8</v>
      </c>
      <c r="AI76" s="102">
        <v>3.5</v>
      </c>
      <c r="AJ76" s="102">
        <v>56.9</v>
      </c>
      <c r="AK76" s="102">
        <v>1.5</v>
      </c>
      <c r="AL76" s="102">
        <v>28</v>
      </c>
      <c r="AM76" s="102">
        <v>41</v>
      </c>
      <c r="AN76" s="102">
        <v>5000</v>
      </c>
      <c r="AO76" s="102">
        <v>80</v>
      </c>
      <c r="AP76" s="102">
        <v>5500</v>
      </c>
      <c r="AQ76" s="102" t="str">
        <f t="shared" si="2"/>
        <v/>
      </c>
    </row>
    <row r="77" spans="1:43" s="102" customFormat="1" ht="12" customHeight="1">
      <c r="A77" s="118">
        <v>11</v>
      </c>
      <c r="B77" s="102" t="s">
        <v>256</v>
      </c>
      <c r="C77" s="206">
        <v>45728</v>
      </c>
      <c r="D77" s="222">
        <v>5.4</v>
      </c>
      <c r="E77" s="222">
        <v>12.25</v>
      </c>
      <c r="F77" s="218">
        <v>97</v>
      </c>
      <c r="G77" s="222">
        <v>8.1</v>
      </c>
      <c r="H77" s="222">
        <v>2.4</v>
      </c>
      <c r="I77" s="222">
        <v>54.1</v>
      </c>
      <c r="J77" s="102">
        <v>1.6</v>
      </c>
      <c r="K77" s="218">
        <v>11</v>
      </c>
      <c r="L77" s="218">
        <v>26</v>
      </c>
      <c r="M77" s="218">
        <v>3600</v>
      </c>
      <c r="N77" s="218">
        <v>24</v>
      </c>
      <c r="O77" s="218">
        <v>4200</v>
      </c>
      <c r="P77" s="222" t="s">
        <v>18</v>
      </c>
      <c r="Q77" s="222" t="s">
        <v>18</v>
      </c>
      <c r="R77" s="609" t="s">
        <v>18</v>
      </c>
      <c r="S77" s="428"/>
      <c r="T77" s="411"/>
      <c r="U77" s="422"/>
      <c r="V77" s="423"/>
      <c r="W77" s="411"/>
      <c r="X77" s="411"/>
      <c r="Y77" s="411"/>
      <c r="Z77" s="411"/>
      <c r="AA77" s="411"/>
      <c r="AB77" s="411"/>
      <c r="AC77" s="411"/>
      <c r="AD77" s="411"/>
      <c r="AE77" s="102">
        <v>5.4</v>
      </c>
      <c r="AF77" s="102">
        <v>12.25</v>
      </c>
      <c r="AG77" s="102">
        <v>97</v>
      </c>
      <c r="AH77" s="102">
        <v>8.1</v>
      </c>
      <c r="AI77" s="102">
        <v>2.4</v>
      </c>
      <c r="AJ77" s="102">
        <v>54.1</v>
      </c>
      <c r="AK77" s="102">
        <v>1.6</v>
      </c>
      <c r="AL77" s="102">
        <v>11</v>
      </c>
      <c r="AM77" s="102">
        <v>26</v>
      </c>
      <c r="AN77" s="102">
        <v>3600</v>
      </c>
      <c r="AO77" s="102">
        <v>24</v>
      </c>
      <c r="AP77" s="102">
        <v>4200</v>
      </c>
      <c r="AQ77" s="102" t="str">
        <f t="shared" si="2"/>
        <v/>
      </c>
    </row>
    <row r="78" spans="1:43" s="102" customFormat="1" ht="12" customHeight="1">
      <c r="A78" s="118">
        <v>11</v>
      </c>
      <c r="B78" s="102" t="s">
        <v>256</v>
      </c>
      <c r="C78" s="206">
        <v>45761</v>
      </c>
      <c r="D78" s="222">
        <v>10.7</v>
      </c>
      <c r="E78" s="222">
        <v>10.88</v>
      </c>
      <c r="F78" s="218">
        <v>98</v>
      </c>
      <c r="G78" s="222">
        <v>8.1</v>
      </c>
      <c r="H78" s="222">
        <v>1.5</v>
      </c>
      <c r="I78" s="222">
        <v>53.4</v>
      </c>
      <c r="J78" s="102">
        <v>2</v>
      </c>
      <c r="K78" s="218">
        <v>2.5</v>
      </c>
      <c r="L78" s="218">
        <v>25</v>
      </c>
      <c r="M78" s="218">
        <v>2200</v>
      </c>
      <c r="N78" s="218">
        <v>28</v>
      </c>
      <c r="O78" s="218">
        <v>2700</v>
      </c>
      <c r="P78" s="222" t="s">
        <v>18</v>
      </c>
      <c r="Q78" s="222" t="s">
        <v>18</v>
      </c>
      <c r="R78" s="609" t="s">
        <v>18</v>
      </c>
      <c r="S78" s="429"/>
      <c r="T78" s="430"/>
      <c r="U78" s="422"/>
      <c r="V78" s="423"/>
      <c r="W78" s="431"/>
      <c r="X78" s="432"/>
      <c r="Y78" s="421"/>
      <c r="Z78" s="421"/>
      <c r="AA78" s="421"/>
      <c r="AB78" s="411"/>
      <c r="AC78" s="411"/>
      <c r="AD78" s="411"/>
      <c r="AE78" s="102">
        <v>10.7</v>
      </c>
      <c r="AF78" s="102">
        <v>10.88</v>
      </c>
      <c r="AG78" s="102">
        <v>98</v>
      </c>
      <c r="AH78" s="102">
        <v>8.1</v>
      </c>
      <c r="AI78" s="102">
        <v>1.5</v>
      </c>
      <c r="AJ78" s="102">
        <v>53.4</v>
      </c>
      <c r="AK78" s="102">
        <v>2</v>
      </c>
      <c r="AL78" s="102">
        <v>2.5</v>
      </c>
      <c r="AM78" s="102">
        <v>25</v>
      </c>
      <c r="AN78" s="102">
        <v>2200</v>
      </c>
      <c r="AO78" s="102">
        <v>28</v>
      </c>
      <c r="AP78" s="102">
        <v>2700</v>
      </c>
      <c r="AQ78" s="102" t="str">
        <f t="shared" si="2"/>
        <v/>
      </c>
    </row>
    <row r="79" spans="1:43" s="102" customFormat="1" ht="12" customHeight="1">
      <c r="A79" s="118">
        <v>11</v>
      </c>
      <c r="B79" s="102" t="s">
        <v>256</v>
      </c>
      <c r="C79" s="206">
        <v>45826</v>
      </c>
      <c r="D79" s="222">
        <v>17.2</v>
      </c>
      <c r="E79" s="222">
        <v>9.0299999999999994</v>
      </c>
      <c r="F79" s="218">
        <v>94</v>
      </c>
      <c r="G79" s="222">
        <v>8</v>
      </c>
      <c r="H79" s="222">
        <v>1.9</v>
      </c>
      <c r="I79" s="222">
        <v>55.6</v>
      </c>
      <c r="J79" s="102">
        <v>1</v>
      </c>
      <c r="K79" s="218">
        <v>35</v>
      </c>
      <c r="L79" s="218">
        <v>58</v>
      </c>
      <c r="M79" s="218">
        <v>1500</v>
      </c>
      <c r="N79" s="218">
        <v>37</v>
      </c>
      <c r="O79" s="218">
        <v>2300</v>
      </c>
      <c r="P79" s="222" t="s">
        <v>18</v>
      </c>
      <c r="Q79" s="222" t="s">
        <v>18</v>
      </c>
      <c r="R79" s="609" t="s">
        <v>18</v>
      </c>
      <c r="S79" s="434"/>
      <c r="T79" s="421"/>
      <c r="U79" s="422"/>
      <c r="V79" s="423"/>
      <c r="W79" s="421"/>
      <c r="X79" s="421"/>
      <c r="Y79" s="421"/>
      <c r="Z79" s="421"/>
      <c r="AA79" s="421"/>
      <c r="AB79" s="411"/>
      <c r="AC79" s="411"/>
      <c r="AD79" s="411"/>
      <c r="AE79" s="102">
        <v>17.2</v>
      </c>
      <c r="AF79" s="102">
        <v>9.0299999999999994</v>
      </c>
      <c r="AG79" s="102">
        <v>94</v>
      </c>
      <c r="AH79" s="102">
        <v>8</v>
      </c>
      <c r="AI79" s="102">
        <v>1.9</v>
      </c>
      <c r="AJ79" s="102">
        <v>55.6</v>
      </c>
      <c r="AK79" s="102">
        <v>1</v>
      </c>
      <c r="AL79" s="102">
        <v>35</v>
      </c>
      <c r="AM79" s="102">
        <v>58</v>
      </c>
      <c r="AN79" s="102">
        <v>1500</v>
      </c>
      <c r="AO79" s="102">
        <v>37</v>
      </c>
      <c r="AP79" s="102">
        <v>2300</v>
      </c>
      <c r="AQ79" s="102" t="str">
        <f t="shared" si="2"/>
        <v/>
      </c>
    </row>
    <row r="80" spans="1:43" s="102" customFormat="1" ht="12" customHeight="1">
      <c r="A80" s="118">
        <v>11</v>
      </c>
      <c r="B80" s="102" t="s">
        <v>256</v>
      </c>
      <c r="C80" s="206">
        <v>45848</v>
      </c>
      <c r="D80" s="222">
        <v>17.2</v>
      </c>
      <c r="E80" s="222">
        <v>8.89</v>
      </c>
      <c r="F80" s="218">
        <v>93</v>
      </c>
      <c r="G80" s="222">
        <v>8</v>
      </c>
      <c r="H80" s="222">
        <v>2.4</v>
      </c>
      <c r="I80" s="222">
        <v>55</v>
      </c>
      <c r="J80" s="102">
        <v>1.2</v>
      </c>
      <c r="K80" s="218">
        <v>37</v>
      </c>
      <c r="L80" s="218">
        <v>57</v>
      </c>
      <c r="M80" s="218">
        <v>1900</v>
      </c>
      <c r="N80" s="218">
        <v>28</v>
      </c>
      <c r="O80" s="218">
        <v>2100</v>
      </c>
      <c r="P80" s="222" t="s">
        <v>18</v>
      </c>
      <c r="Q80" s="222" t="s">
        <v>18</v>
      </c>
      <c r="R80" s="609" t="s">
        <v>18</v>
      </c>
      <c r="S80" s="420"/>
      <c r="T80" s="421"/>
      <c r="U80" s="422"/>
      <c r="V80" s="423"/>
      <c r="W80" s="421"/>
      <c r="X80" s="421"/>
      <c r="Y80" s="421"/>
      <c r="Z80" s="421"/>
      <c r="AA80" s="421"/>
      <c r="AB80" s="411"/>
      <c r="AC80" s="411"/>
      <c r="AD80" s="411"/>
      <c r="AE80" s="102">
        <v>17.2</v>
      </c>
      <c r="AF80" s="102">
        <v>8.89</v>
      </c>
      <c r="AG80" s="102">
        <v>93</v>
      </c>
      <c r="AH80" s="102">
        <v>8</v>
      </c>
      <c r="AI80" s="102">
        <v>2.4</v>
      </c>
      <c r="AJ80" s="102">
        <v>55</v>
      </c>
      <c r="AK80" s="102">
        <v>1.2</v>
      </c>
      <c r="AL80" s="102">
        <v>37</v>
      </c>
      <c r="AM80" s="102">
        <v>57</v>
      </c>
      <c r="AN80" s="102">
        <v>1900</v>
      </c>
      <c r="AO80" s="102">
        <v>28</v>
      </c>
      <c r="AP80" s="102">
        <v>2100</v>
      </c>
      <c r="AQ80" s="102" t="str">
        <f t="shared" si="2"/>
        <v/>
      </c>
    </row>
    <row r="81" spans="1:43" s="102" customFormat="1" ht="12" customHeight="1">
      <c r="A81" s="118">
        <v>11</v>
      </c>
      <c r="B81" s="102" t="s">
        <v>256</v>
      </c>
      <c r="C81" s="206" t="s">
        <v>18</v>
      </c>
      <c r="D81" s="222" t="s">
        <v>18</v>
      </c>
      <c r="E81" s="222" t="s">
        <v>18</v>
      </c>
      <c r="F81" s="218" t="s">
        <v>18</v>
      </c>
      <c r="G81" s="222" t="s">
        <v>18</v>
      </c>
      <c r="H81" s="222" t="s">
        <v>18</v>
      </c>
      <c r="I81" s="222" t="s">
        <v>18</v>
      </c>
      <c r="J81" s="102" t="s">
        <v>18</v>
      </c>
      <c r="K81" s="218" t="s">
        <v>18</v>
      </c>
      <c r="L81" s="218" t="s">
        <v>18</v>
      </c>
      <c r="M81" s="218" t="s">
        <v>18</v>
      </c>
      <c r="N81" s="218" t="s">
        <v>18</v>
      </c>
      <c r="O81" s="218" t="s">
        <v>18</v>
      </c>
      <c r="P81" s="222" t="s">
        <v>18</v>
      </c>
      <c r="Q81" s="222" t="s">
        <v>18</v>
      </c>
      <c r="R81" s="609" t="s">
        <v>18</v>
      </c>
      <c r="S81" s="426"/>
      <c r="T81" s="427"/>
      <c r="U81" s="422"/>
      <c r="V81" s="423"/>
      <c r="W81" s="424"/>
      <c r="X81" s="425"/>
      <c r="Y81" s="425"/>
      <c r="Z81" s="424"/>
      <c r="AA81" s="425"/>
      <c r="AB81" s="425"/>
      <c r="AC81" s="425"/>
      <c r="AD81" s="411"/>
      <c r="AE81" s="102" t="s">
        <v>18</v>
      </c>
      <c r="AF81" s="102" t="s">
        <v>18</v>
      </c>
      <c r="AG81" s="102" t="s">
        <v>18</v>
      </c>
      <c r="AH81" s="102" t="s">
        <v>18</v>
      </c>
      <c r="AI81" s="102" t="s">
        <v>18</v>
      </c>
      <c r="AJ81" s="102" t="s">
        <v>18</v>
      </c>
      <c r="AK81" s="102" t="s">
        <v>18</v>
      </c>
      <c r="AL81" s="102" t="s">
        <v>18</v>
      </c>
      <c r="AM81" s="102" t="s">
        <v>18</v>
      </c>
      <c r="AN81" s="102" t="s">
        <v>18</v>
      </c>
      <c r="AO81" s="102" t="s">
        <v>18</v>
      </c>
      <c r="AP81" s="102" t="s">
        <v>18</v>
      </c>
      <c r="AQ81" s="102" t="str">
        <f t="shared" si="2"/>
        <v/>
      </c>
    </row>
    <row r="82" spans="1:43" s="102" customFormat="1" ht="12" customHeight="1">
      <c r="A82" s="118">
        <v>11</v>
      </c>
      <c r="B82" s="102" t="s">
        <v>256</v>
      </c>
      <c r="C82" s="206" t="s">
        <v>18</v>
      </c>
      <c r="D82" s="222" t="s">
        <v>18</v>
      </c>
      <c r="E82" s="222" t="s">
        <v>18</v>
      </c>
      <c r="F82" s="218" t="s">
        <v>18</v>
      </c>
      <c r="G82" s="222" t="s">
        <v>18</v>
      </c>
      <c r="H82" s="222" t="s">
        <v>18</v>
      </c>
      <c r="I82" s="222" t="s">
        <v>18</v>
      </c>
      <c r="J82" s="102" t="s">
        <v>18</v>
      </c>
      <c r="K82" s="218" t="s">
        <v>18</v>
      </c>
      <c r="L82" s="218" t="s">
        <v>18</v>
      </c>
      <c r="M82" s="218" t="s">
        <v>18</v>
      </c>
      <c r="N82" s="218" t="s">
        <v>18</v>
      </c>
      <c r="O82" s="218" t="s">
        <v>18</v>
      </c>
      <c r="P82" s="222" t="s">
        <v>18</v>
      </c>
      <c r="Q82" s="222" t="s">
        <v>18</v>
      </c>
      <c r="R82" s="609" t="s">
        <v>18</v>
      </c>
      <c r="S82" s="429"/>
      <c r="T82" s="430"/>
      <c r="U82" s="422"/>
      <c r="V82" s="423"/>
      <c r="W82" s="431"/>
      <c r="X82" s="432"/>
      <c r="Y82" s="421"/>
      <c r="Z82" s="421"/>
      <c r="AA82" s="421"/>
      <c r="AB82" s="411"/>
      <c r="AC82" s="411"/>
      <c r="AD82" s="411"/>
      <c r="AE82" s="102" t="s">
        <v>18</v>
      </c>
      <c r="AF82" s="102" t="s">
        <v>18</v>
      </c>
      <c r="AG82" s="102" t="s">
        <v>18</v>
      </c>
      <c r="AH82" s="102" t="s">
        <v>18</v>
      </c>
      <c r="AI82" s="102" t="s">
        <v>18</v>
      </c>
      <c r="AJ82" s="102" t="s">
        <v>18</v>
      </c>
      <c r="AK82" s="102" t="s">
        <v>18</v>
      </c>
      <c r="AL82" s="102" t="s">
        <v>18</v>
      </c>
      <c r="AM82" s="102" t="s">
        <v>18</v>
      </c>
      <c r="AN82" s="102" t="s">
        <v>18</v>
      </c>
      <c r="AO82" s="102" t="s">
        <v>18</v>
      </c>
      <c r="AP82" s="102" t="s">
        <v>18</v>
      </c>
      <c r="AQ82" s="102" t="str">
        <f t="shared" si="2"/>
        <v/>
      </c>
    </row>
    <row r="83" spans="1:43" s="102" customFormat="1" ht="12" customHeight="1">
      <c r="A83" s="118">
        <v>11</v>
      </c>
      <c r="B83" s="102" t="s">
        <v>256</v>
      </c>
      <c r="C83" s="206" t="s">
        <v>18</v>
      </c>
      <c r="D83" s="222" t="s">
        <v>18</v>
      </c>
      <c r="E83" s="222" t="s">
        <v>18</v>
      </c>
      <c r="F83" s="218" t="s">
        <v>18</v>
      </c>
      <c r="G83" s="222" t="s">
        <v>18</v>
      </c>
      <c r="H83" s="222" t="s">
        <v>18</v>
      </c>
      <c r="I83" s="222" t="s">
        <v>18</v>
      </c>
      <c r="J83" s="102" t="s">
        <v>18</v>
      </c>
      <c r="K83" s="218" t="s">
        <v>18</v>
      </c>
      <c r="L83" s="218" t="s">
        <v>18</v>
      </c>
      <c r="M83" s="218" t="s">
        <v>18</v>
      </c>
      <c r="N83" s="218" t="s">
        <v>18</v>
      </c>
      <c r="O83" s="218" t="s">
        <v>18</v>
      </c>
      <c r="P83" s="222" t="s">
        <v>18</v>
      </c>
      <c r="Q83" s="222" t="s">
        <v>18</v>
      </c>
      <c r="R83" s="609" t="s">
        <v>18</v>
      </c>
      <c r="S83" s="420"/>
      <c r="T83" s="421"/>
      <c r="U83" s="422"/>
      <c r="V83" s="423"/>
      <c r="W83" s="421"/>
      <c r="X83" s="421"/>
      <c r="Y83" s="421"/>
      <c r="Z83" s="421"/>
      <c r="AA83" s="421"/>
      <c r="AB83" s="411"/>
      <c r="AC83" s="411"/>
      <c r="AD83" s="411"/>
      <c r="AE83" s="102" t="s">
        <v>18</v>
      </c>
      <c r="AF83" s="102" t="s">
        <v>18</v>
      </c>
      <c r="AG83" s="102" t="s">
        <v>18</v>
      </c>
      <c r="AH83" s="102" t="s">
        <v>18</v>
      </c>
      <c r="AI83" s="102" t="s">
        <v>18</v>
      </c>
      <c r="AJ83" s="102" t="s">
        <v>18</v>
      </c>
      <c r="AK83" s="102" t="s">
        <v>18</v>
      </c>
      <c r="AL83" s="102" t="s">
        <v>18</v>
      </c>
      <c r="AM83" s="102" t="s">
        <v>18</v>
      </c>
      <c r="AN83" s="102" t="s">
        <v>18</v>
      </c>
      <c r="AO83" s="102" t="s">
        <v>18</v>
      </c>
      <c r="AP83" s="102" t="s">
        <v>18</v>
      </c>
      <c r="AQ83" s="102" t="str">
        <f t="shared" si="2"/>
        <v/>
      </c>
    </row>
    <row r="84" spans="1:43" s="102" customFormat="1" ht="12" customHeight="1">
      <c r="A84" s="118">
        <v>11</v>
      </c>
      <c r="B84" s="102" t="s">
        <v>256</v>
      </c>
      <c r="C84" s="206" t="s">
        <v>18</v>
      </c>
      <c r="D84" s="222" t="s">
        <v>18</v>
      </c>
      <c r="E84" s="222" t="s">
        <v>18</v>
      </c>
      <c r="F84" s="218" t="s">
        <v>18</v>
      </c>
      <c r="G84" s="222" t="s">
        <v>18</v>
      </c>
      <c r="H84" s="222" t="s">
        <v>18</v>
      </c>
      <c r="I84" s="222" t="s">
        <v>18</v>
      </c>
      <c r="J84" s="102" t="s">
        <v>18</v>
      </c>
      <c r="K84" s="218" t="s">
        <v>18</v>
      </c>
      <c r="L84" s="218" t="s">
        <v>18</v>
      </c>
      <c r="M84" s="218" t="s">
        <v>18</v>
      </c>
      <c r="N84" s="218" t="s">
        <v>18</v>
      </c>
      <c r="O84" s="218" t="s">
        <v>18</v>
      </c>
      <c r="P84" s="222" t="s">
        <v>18</v>
      </c>
      <c r="Q84" s="222" t="s">
        <v>18</v>
      </c>
      <c r="R84" s="609" t="s">
        <v>18</v>
      </c>
      <c r="S84" s="420"/>
      <c r="T84" s="421"/>
      <c r="U84" s="422"/>
      <c r="V84" s="423"/>
      <c r="W84" s="421"/>
      <c r="X84" s="421"/>
      <c r="Y84" s="421"/>
      <c r="Z84" s="421"/>
      <c r="AA84" s="421"/>
      <c r="AB84" s="411"/>
      <c r="AC84" s="411"/>
      <c r="AD84" s="411"/>
      <c r="AE84" s="102" t="s">
        <v>18</v>
      </c>
      <c r="AF84" s="102" t="s">
        <v>18</v>
      </c>
      <c r="AG84" s="102" t="s">
        <v>18</v>
      </c>
      <c r="AH84" s="102" t="s">
        <v>18</v>
      </c>
      <c r="AI84" s="102" t="s">
        <v>18</v>
      </c>
      <c r="AJ84" s="102" t="s">
        <v>18</v>
      </c>
      <c r="AK84" s="102" t="s">
        <v>18</v>
      </c>
      <c r="AL84" s="102" t="s">
        <v>18</v>
      </c>
      <c r="AM84" s="102" t="s">
        <v>18</v>
      </c>
      <c r="AN84" s="102" t="s">
        <v>18</v>
      </c>
      <c r="AO84" s="102" t="s">
        <v>18</v>
      </c>
      <c r="AP84" s="102" t="s">
        <v>18</v>
      </c>
      <c r="AQ84" s="102" t="str">
        <f t="shared" si="2"/>
        <v/>
      </c>
    </row>
    <row r="85" spans="1:43" s="102" customFormat="1" ht="12" customHeight="1">
      <c r="A85" s="118">
        <v>11</v>
      </c>
      <c r="B85" s="102" t="s">
        <v>256</v>
      </c>
      <c r="C85" s="206" t="s">
        <v>18</v>
      </c>
      <c r="D85" s="222" t="s">
        <v>18</v>
      </c>
      <c r="E85" s="222" t="s">
        <v>18</v>
      </c>
      <c r="F85" s="218" t="s">
        <v>18</v>
      </c>
      <c r="G85" s="222" t="s">
        <v>18</v>
      </c>
      <c r="H85" s="222" t="s">
        <v>18</v>
      </c>
      <c r="I85" s="222" t="s">
        <v>18</v>
      </c>
      <c r="J85" s="102" t="s">
        <v>18</v>
      </c>
      <c r="K85" s="218" t="s">
        <v>18</v>
      </c>
      <c r="L85" s="218" t="s">
        <v>18</v>
      </c>
      <c r="M85" s="218" t="s">
        <v>18</v>
      </c>
      <c r="N85" s="218" t="s">
        <v>18</v>
      </c>
      <c r="O85" s="218" t="s">
        <v>18</v>
      </c>
      <c r="P85" s="222" t="s">
        <v>18</v>
      </c>
      <c r="Q85" s="222" t="s">
        <v>18</v>
      </c>
      <c r="R85" s="609" t="s">
        <v>18</v>
      </c>
      <c r="S85" s="420"/>
      <c r="T85" s="421"/>
      <c r="U85" s="422"/>
      <c r="V85" s="423"/>
      <c r="W85" s="421"/>
      <c r="X85" s="421"/>
      <c r="Y85" s="421"/>
      <c r="Z85" s="421"/>
      <c r="AA85" s="421"/>
      <c r="AB85" s="411"/>
      <c r="AC85" s="411"/>
      <c r="AD85" s="411"/>
      <c r="AE85" s="102" t="s">
        <v>18</v>
      </c>
      <c r="AF85" s="102" t="s">
        <v>18</v>
      </c>
      <c r="AG85" s="102" t="s">
        <v>18</v>
      </c>
      <c r="AH85" s="102" t="s">
        <v>18</v>
      </c>
      <c r="AI85" s="102" t="s">
        <v>18</v>
      </c>
      <c r="AJ85" s="102" t="s">
        <v>18</v>
      </c>
      <c r="AK85" s="102" t="s">
        <v>18</v>
      </c>
      <c r="AL85" s="102" t="s">
        <v>18</v>
      </c>
      <c r="AM85" s="102" t="s">
        <v>18</v>
      </c>
      <c r="AN85" s="102" t="s">
        <v>18</v>
      </c>
      <c r="AO85" s="102" t="s">
        <v>18</v>
      </c>
      <c r="AP85" s="102" t="s">
        <v>18</v>
      </c>
      <c r="AQ85" s="102" t="str">
        <f t="shared" si="2"/>
        <v/>
      </c>
    </row>
    <row r="86" spans="1:43" s="102" customFormat="1" ht="12" customHeight="1">
      <c r="A86" s="118">
        <v>11</v>
      </c>
      <c r="B86" s="102" t="s">
        <v>256</v>
      </c>
      <c r="C86" s="206" t="s">
        <v>435</v>
      </c>
      <c r="D86" s="222">
        <v>13</v>
      </c>
      <c r="E86" s="222">
        <v>10.52</v>
      </c>
      <c r="F86" s="218">
        <v>100</v>
      </c>
      <c r="G86" s="222">
        <v>8.1</v>
      </c>
      <c r="H86" s="222">
        <v>1.2</v>
      </c>
      <c r="I86" s="222">
        <v>53.3</v>
      </c>
      <c r="J86" s="102">
        <v>1.2</v>
      </c>
      <c r="K86" s="218">
        <v>9.1999999999999993</v>
      </c>
      <c r="L86" s="218">
        <v>26</v>
      </c>
      <c r="M86" s="218">
        <v>1600</v>
      </c>
      <c r="N86" s="218">
        <v>22</v>
      </c>
      <c r="O86" s="218">
        <v>2200</v>
      </c>
      <c r="P86" s="222" t="s">
        <v>18</v>
      </c>
      <c r="Q86" s="222" t="s">
        <v>18</v>
      </c>
      <c r="R86" s="609" t="s">
        <v>18</v>
      </c>
      <c r="S86" s="420"/>
      <c r="T86" s="421"/>
      <c r="U86" s="422"/>
      <c r="V86" s="423"/>
      <c r="W86" s="421"/>
      <c r="X86" s="421"/>
      <c r="Y86" s="421"/>
      <c r="Z86" s="421"/>
      <c r="AA86" s="421"/>
      <c r="AB86" s="411"/>
      <c r="AC86" s="411"/>
      <c r="AD86" s="411"/>
      <c r="AE86" s="102">
        <v>13</v>
      </c>
      <c r="AF86" s="102">
        <v>10.52</v>
      </c>
      <c r="AG86" s="102">
        <v>100</v>
      </c>
      <c r="AH86" s="102">
        <v>8.1</v>
      </c>
      <c r="AI86" s="102">
        <v>1.2</v>
      </c>
      <c r="AJ86" s="102">
        <v>53.3</v>
      </c>
      <c r="AK86" s="102">
        <v>1.2</v>
      </c>
      <c r="AL86" s="102">
        <v>9.1999999999999993</v>
      </c>
      <c r="AM86" s="102">
        <v>26</v>
      </c>
      <c r="AN86" s="102">
        <v>1600</v>
      </c>
      <c r="AO86" s="102">
        <v>22</v>
      </c>
      <c r="AP86" s="102">
        <v>2200</v>
      </c>
      <c r="AQ86" s="102" t="str">
        <f t="shared" si="2"/>
        <v/>
      </c>
    </row>
    <row r="87" spans="1:43" s="102" customFormat="1" ht="12">
      <c r="A87" s="117"/>
      <c r="C87" s="610" t="s">
        <v>150</v>
      </c>
      <c r="D87" s="611">
        <v>9.2999999999999989</v>
      </c>
      <c r="E87" s="611">
        <v>11.475714285714286</v>
      </c>
      <c r="F87" s="612">
        <v>97.571428571428569</v>
      </c>
      <c r="G87" s="611">
        <v>8.0428571428571427</v>
      </c>
      <c r="H87" s="611">
        <v>3.1142857142857139</v>
      </c>
      <c r="I87" s="611">
        <v>53.914285714285718</v>
      </c>
      <c r="J87" s="611">
        <v>1.4428571428571428</v>
      </c>
      <c r="K87" s="612">
        <v>22.957142857142856</v>
      </c>
      <c r="L87" s="612">
        <v>43.428571428571431</v>
      </c>
      <c r="M87" s="612">
        <v>3214.2857142857142</v>
      </c>
      <c r="N87" s="612">
        <v>40.857142857142854</v>
      </c>
      <c r="O87" s="612">
        <v>3657.1428571428573</v>
      </c>
      <c r="P87" s="611"/>
      <c r="Q87" s="715"/>
      <c r="R87" s="307"/>
      <c r="S87" s="420"/>
      <c r="T87" s="421"/>
      <c r="U87" s="422"/>
      <c r="V87" s="423"/>
      <c r="W87" s="421"/>
      <c r="X87" s="421"/>
      <c r="Y87" s="421"/>
      <c r="Z87" s="421"/>
      <c r="AA87" s="421"/>
      <c r="AB87" s="411"/>
      <c r="AC87" s="411"/>
      <c r="AD87" s="411"/>
      <c r="AE87" s="102">
        <v>9.2999999999999989</v>
      </c>
      <c r="AF87" s="102">
        <v>11.475714285714286</v>
      </c>
      <c r="AG87" s="102">
        <v>97.571428571428569</v>
      </c>
      <c r="AH87" s="102">
        <v>8.0428571428571427</v>
      </c>
      <c r="AI87" s="102">
        <v>3.1142857142857139</v>
      </c>
      <c r="AJ87" s="102">
        <v>53.914285714285718</v>
      </c>
      <c r="AK87" s="102">
        <v>1.4428571428571428</v>
      </c>
      <c r="AL87" s="102">
        <v>22.957142857142856</v>
      </c>
      <c r="AM87" s="102">
        <v>43.428571428571431</v>
      </c>
      <c r="AN87" s="102">
        <v>3214.2857142857142</v>
      </c>
      <c r="AO87" s="102">
        <v>40.857142857142854</v>
      </c>
      <c r="AP87" s="102">
        <v>3657.1428571428573</v>
      </c>
      <c r="AQ87" s="102">
        <f t="shared" si="2"/>
        <v>0</v>
      </c>
    </row>
    <row r="88" spans="1:43" s="102" customFormat="1" ht="12">
      <c r="A88" s="117"/>
      <c r="C88" s="613" t="s">
        <v>151</v>
      </c>
      <c r="D88" s="614">
        <v>17.2</v>
      </c>
      <c r="E88" s="614">
        <v>14.46</v>
      </c>
      <c r="F88" s="615">
        <v>102</v>
      </c>
      <c r="G88" s="614">
        <v>8.1</v>
      </c>
      <c r="H88" s="614">
        <v>8.9</v>
      </c>
      <c r="I88" s="614">
        <v>56.9</v>
      </c>
      <c r="J88" s="614">
        <v>2</v>
      </c>
      <c r="K88" s="615">
        <v>38</v>
      </c>
      <c r="L88" s="615">
        <v>71</v>
      </c>
      <c r="M88" s="615">
        <v>6700</v>
      </c>
      <c r="N88" s="615">
        <v>80</v>
      </c>
      <c r="O88" s="615">
        <v>6600</v>
      </c>
      <c r="P88" s="614"/>
      <c r="Q88" s="716"/>
      <c r="R88" s="307"/>
      <c r="S88" s="420"/>
      <c r="T88" s="421"/>
      <c r="U88" s="422"/>
      <c r="V88" s="423"/>
      <c r="W88" s="421"/>
      <c r="X88" s="421"/>
      <c r="Y88" s="421"/>
      <c r="Z88" s="421"/>
      <c r="AA88" s="421"/>
      <c r="AB88" s="411"/>
      <c r="AC88" s="411"/>
      <c r="AD88" s="411"/>
      <c r="AE88" s="102">
        <v>17.2</v>
      </c>
      <c r="AF88" s="102">
        <v>14.46</v>
      </c>
      <c r="AG88" s="102">
        <v>102</v>
      </c>
      <c r="AH88" s="102">
        <v>8.1</v>
      </c>
      <c r="AI88" s="102">
        <v>8.9</v>
      </c>
      <c r="AJ88" s="102">
        <v>56.9</v>
      </c>
      <c r="AK88" s="102">
        <v>2</v>
      </c>
      <c r="AL88" s="102">
        <v>38</v>
      </c>
      <c r="AM88" s="102">
        <v>71</v>
      </c>
      <c r="AN88" s="102">
        <v>6700</v>
      </c>
      <c r="AO88" s="102">
        <v>80</v>
      </c>
      <c r="AP88" s="102">
        <v>6600</v>
      </c>
      <c r="AQ88" s="102">
        <f t="shared" si="2"/>
        <v>0</v>
      </c>
    </row>
    <row r="89" spans="1:43" s="102" customFormat="1" ht="12">
      <c r="A89" s="117"/>
      <c r="C89" s="616" t="s">
        <v>152</v>
      </c>
      <c r="D89" s="617">
        <v>0.2</v>
      </c>
      <c r="E89" s="617">
        <v>8.89</v>
      </c>
      <c r="F89" s="618">
        <v>93</v>
      </c>
      <c r="G89" s="617">
        <v>8</v>
      </c>
      <c r="H89" s="617">
        <v>1.2</v>
      </c>
      <c r="I89" s="617">
        <v>49.1</v>
      </c>
      <c r="J89" s="617">
        <v>1</v>
      </c>
      <c r="K89" s="618">
        <v>2.5</v>
      </c>
      <c r="L89" s="618">
        <v>25</v>
      </c>
      <c r="M89" s="618">
        <v>1500</v>
      </c>
      <c r="N89" s="618">
        <v>22</v>
      </c>
      <c r="O89" s="618">
        <v>2100</v>
      </c>
      <c r="P89" s="617"/>
      <c r="Q89" s="717"/>
      <c r="R89" s="307"/>
      <c r="S89" s="420"/>
      <c r="T89" s="421"/>
      <c r="U89" s="422"/>
      <c r="V89" s="423"/>
      <c r="W89" s="421"/>
      <c r="X89" s="421"/>
      <c r="Y89" s="421"/>
      <c r="Z89" s="421"/>
      <c r="AA89" s="421"/>
      <c r="AB89" s="411"/>
      <c r="AC89" s="411"/>
      <c r="AD89" s="411"/>
      <c r="AE89" s="102">
        <v>0.2</v>
      </c>
      <c r="AF89" s="102">
        <v>8.89</v>
      </c>
      <c r="AG89" s="102">
        <v>93</v>
      </c>
      <c r="AH89" s="102">
        <v>8</v>
      </c>
      <c r="AI89" s="102">
        <v>1.2</v>
      </c>
      <c r="AJ89" s="102">
        <v>49.1</v>
      </c>
      <c r="AK89" s="102">
        <v>1</v>
      </c>
      <c r="AL89" s="102">
        <v>2.5</v>
      </c>
      <c r="AM89" s="102">
        <v>25</v>
      </c>
      <c r="AN89" s="102">
        <v>1500</v>
      </c>
      <c r="AO89" s="102">
        <v>22</v>
      </c>
      <c r="AP89" s="102">
        <v>2100</v>
      </c>
      <c r="AQ89" s="102">
        <f t="shared" si="2"/>
        <v>0</v>
      </c>
    </row>
    <row r="90" spans="1:43" s="102" customFormat="1" ht="12">
      <c r="A90" s="117"/>
      <c r="B90" s="411"/>
      <c r="C90" s="619"/>
      <c r="D90" s="620"/>
      <c r="E90" s="620"/>
      <c r="F90" s="621"/>
      <c r="G90" s="620"/>
      <c r="H90" s="620"/>
      <c r="I90" s="620"/>
      <c r="J90" s="622"/>
      <c r="K90" s="622"/>
      <c r="L90" s="622"/>
      <c r="M90" s="622"/>
      <c r="N90" s="622"/>
      <c r="O90" s="622"/>
      <c r="P90" s="620"/>
      <c r="Q90" s="620"/>
      <c r="R90" s="387"/>
      <c r="S90" s="420"/>
      <c r="T90" s="421"/>
      <c r="U90" s="422"/>
      <c r="V90" s="423"/>
      <c r="W90" s="421"/>
      <c r="X90" s="421"/>
      <c r="Y90" s="421"/>
      <c r="Z90" s="421"/>
      <c r="AA90" s="421"/>
      <c r="AB90" s="411"/>
      <c r="AC90" s="411"/>
      <c r="AD90" s="411"/>
      <c r="AE90" s="102">
        <v>0</v>
      </c>
      <c r="AF90" s="102">
        <v>0</v>
      </c>
      <c r="AG90" s="102">
        <v>0</v>
      </c>
      <c r="AH90" s="102">
        <v>0</v>
      </c>
      <c r="AI90" s="102">
        <v>0</v>
      </c>
      <c r="AJ90" s="102">
        <v>0</v>
      </c>
      <c r="AK90" s="102">
        <v>0</v>
      </c>
      <c r="AL90" s="102">
        <v>0</v>
      </c>
      <c r="AM90" s="102">
        <v>0</v>
      </c>
      <c r="AN90" s="102">
        <v>0</v>
      </c>
      <c r="AO90" s="102">
        <v>0</v>
      </c>
      <c r="AP90" s="102">
        <v>0</v>
      </c>
      <c r="AQ90" s="102">
        <f t="shared" si="2"/>
        <v>0</v>
      </c>
    </row>
    <row r="91" spans="1:43" s="102" customFormat="1" ht="12" customHeight="1">
      <c r="A91" s="117">
        <v>13</v>
      </c>
      <c r="B91" s="102" t="s">
        <v>257</v>
      </c>
      <c r="C91" s="206">
        <v>45671</v>
      </c>
      <c r="D91" s="222">
        <v>2.6</v>
      </c>
      <c r="E91" s="222">
        <v>13.47</v>
      </c>
      <c r="F91" s="218">
        <v>99</v>
      </c>
      <c r="G91" s="222">
        <v>8.1</v>
      </c>
      <c r="H91" s="222">
        <v>3.2</v>
      </c>
      <c r="I91" s="222">
        <v>47.2</v>
      </c>
      <c r="J91" s="102">
        <v>1.2</v>
      </c>
      <c r="K91" s="218">
        <v>32</v>
      </c>
      <c r="L91" s="218">
        <v>62</v>
      </c>
      <c r="M91" s="218">
        <v>6300</v>
      </c>
      <c r="N91" s="218">
        <v>67</v>
      </c>
      <c r="O91" s="218">
        <v>6600</v>
      </c>
      <c r="P91" s="222" t="s">
        <v>18</v>
      </c>
      <c r="Q91" s="222" t="s">
        <v>18</v>
      </c>
      <c r="R91" s="609" t="s">
        <v>18</v>
      </c>
      <c r="S91" s="420"/>
      <c r="T91" s="421"/>
      <c r="U91" s="422"/>
      <c r="V91" s="423"/>
      <c r="W91" s="421"/>
      <c r="X91" s="421"/>
      <c r="Y91" s="421"/>
      <c r="Z91" s="421"/>
      <c r="AA91" s="421"/>
      <c r="AB91" s="411"/>
      <c r="AC91" s="411"/>
      <c r="AD91" s="411"/>
      <c r="AE91" s="102">
        <v>2.6</v>
      </c>
      <c r="AF91" s="102">
        <v>13.47</v>
      </c>
      <c r="AG91" s="102">
        <v>99</v>
      </c>
      <c r="AH91" s="102">
        <v>8.1</v>
      </c>
      <c r="AI91" s="102">
        <v>3.2</v>
      </c>
      <c r="AJ91" s="102">
        <v>47.2</v>
      </c>
      <c r="AK91" s="102">
        <v>1.2</v>
      </c>
      <c r="AL91" s="102">
        <v>32</v>
      </c>
      <c r="AM91" s="102">
        <v>62</v>
      </c>
      <c r="AN91" s="102">
        <v>6300</v>
      </c>
      <c r="AO91" s="102">
        <v>67</v>
      </c>
      <c r="AP91" s="102">
        <v>6600</v>
      </c>
      <c r="AQ91" s="102" t="str">
        <f t="shared" si="2"/>
        <v/>
      </c>
    </row>
    <row r="92" spans="1:43" s="102" customFormat="1" ht="12" customHeight="1">
      <c r="A92" s="117">
        <v>13</v>
      </c>
      <c r="B92" s="102" t="s">
        <v>257</v>
      </c>
      <c r="C92" s="206">
        <v>45734</v>
      </c>
      <c r="D92" s="222">
        <v>2.9</v>
      </c>
      <c r="E92" s="222">
        <v>16.53</v>
      </c>
      <c r="F92" s="218">
        <v>123</v>
      </c>
      <c r="G92" s="222">
        <v>8.4</v>
      </c>
      <c r="H92" s="222">
        <v>1.6</v>
      </c>
      <c r="I92" s="222">
        <v>44.6</v>
      </c>
      <c r="J92" s="102">
        <v>2.2000000000000002</v>
      </c>
      <c r="K92" s="218">
        <v>3.4</v>
      </c>
      <c r="L92" s="218">
        <v>32</v>
      </c>
      <c r="M92" s="218">
        <v>3500</v>
      </c>
      <c r="N92" s="218" t="s">
        <v>148</v>
      </c>
      <c r="O92" s="218">
        <v>3800</v>
      </c>
      <c r="P92" s="222" t="s">
        <v>18</v>
      </c>
      <c r="Q92" s="222" t="s">
        <v>18</v>
      </c>
      <c r="R92" s="609" t="s">
        <v>18</v>
      </c>
      <c r="S92" s="420"/>
      <c r="T92" s="421"/>
      <c r="U92" s="422"/>
      <c r="V92" s="423"/>
      <c r="W92" s="421"/>
      <c r="X92" s="421"/>
      <c r="Y92" s="421"/>
      <c r="Z92" s="421"/>
      <c r="AA92" s="421"/>
      <c r="AB92" s="411"/>
      <c r="AC92" s="411"/>
      <c r="AD92" s="411"/>
      <c r="AE92" s="102">
        <v>2.9</v>
      </c>
      <c r="AF92" s="102">
        <v>16.53</v>
      </c>
      <c r="AG92" s="102">
        <v>123</v>
      </c>
      <c r="AH92" s="102">
        <v>8.4</v>
      </c>
      <c r="AI92" s="102">
        <v>1.6</v>
      </c>
      <c r="AJ92" s="102">
        <v>44.6</v>
      </c>
      <c r="AK92" s="102">
        <v>2.2000000000000002</v>
      </c>
      <c r="AL92" s="102">
        <v>3.4</v>
      </c>
      <c r="AM92" s="102">
        <v>32</v>
      </c>
      <c r="AN92" s="102">
        <v>3500</v>
      </c>
      <c r="AO92" s="102">
        <v>10</v>
      </c>
      <c r="AP92" s="102">
        <v>3800</v>
      </c>
      <c r="AQ92" s="102" t="str">
        <f t="shared" si="2"/>
        <v/>
      </c>
    </row>
    <row r="93" spans="1:43" s="102" customFormat="1" ht="12" customHeight="1">
      <c r="A93" s="117">
        <v>13</v>
      </c>
      <c r="B93" s="102" t="s">
        <v>257</v>
      </c>
      <c r="C93" s="206">
        <v>45848</v>
      </c>
      <c r="D93" s="222">
        <v>19</v>
      </c>
      <c r="E93" s="222">
        <v>9.58</v>
      </c>
      <c r="F93" s="218">
        <v>103</v>
      </c>
      <c r="G93" s="222">
        <v>8.1</v>
      </c>
      <c r="H93" s="222">
        <v>1.8</v>
      </c>
      <c r="I93" s="222">
        <v>45.6</v>
      </c>
      <c r="J93" s="102">
        <v>1.3</v>
      </c>
      <c r="K93" s="218">
        <v>110</v>
      </c>
      <c r="L93" s="218">
        <v>140</v>
      </c>
      <c r="M93" s="218">
        <v>900</v>
      </c>
      <c r="N93" s="218" t="s">
        <v>290</v>
      </c>
      <c r="O93" s="218">
        <v>1400</v>
      </c>
      <c r="P93" s="222" t="s">
        <v>18</v>
      </c>
      <c r="Q93" s="222" t="s">
        <v>18</v>
      </c>
      <c r="R93" s="609" t="s">
        <v>440</v>
      </c>
      <c r="S93" s="420"/>
      <c r="T93" s="421"/>
      <c r="U93" s="422"/>
      <c r="V93" s="423"/>
      <c r="W93" s="421"/>
      <c r="X93" s="421"/>
      <c r="Y93" s="421"/>
      <c r="Z93" s="421"/>
      <c r="AA93" s="421"/>
      <c r="AB93" s="411"/>
      <c r="AC93" s="411"/>
      <c r="AD93" s="411"/>
      <c r="AE93" s="102">
        <v>19</v>
      </c>
      <c r="AF93" s="102">
        <v>9.58</v>
      </c>
      <c r="AG93" s="102">
        <v>103</v>
      </c>
      <c r="AH93" s="102">
        <v>8.1</v>
      </c>
      <c r="AI93" s="102">
        <v>1.8</v>
      </c>
      <c r="AJ93" s="102">
        <v>45.6</v>
      </c>
      <c r="AK93" s="102">
        <v>1.3</v>
      </c>
      <c r="AL93" s="102">
        <v>110</v>
      </c>
      <c r="AM93" s="102">
        <v>140</v>
      </c>
      <c r="AN93" s="102">
        <v>900</v>
      </c>
      <c r="AO93" s="102">
        <v>50</v>
      </c>
      <c r="AP93" s="102">
        <v>1400</v>
      </c>
      <c r="AQ93" s="102" t="str">
        <f t="shared" si="2"/>
        <v/>
      </c>
    </row>
    <row r="94" spans="1:43" s="102" customFormat="1" ht="12" customHeight="1">
      <c r="A94" s="117">
        <v>13</v>
      </c>
      <c r="B94" s="102" t="s">
        <v>257</v>
      </c>
      <c r="C94" s="206" t="s">
        <v>18</v>
      </c>
      <c r="D94" s="222" t="s">
        <v>18</v>
      </c>
      <c r="E94" s="222" t="s">
        <v>18</v>
      </c>
      <c r="F94" s="218" t="s">
        <v>18</v>
      </c>
      <c r="G94" s="222" t="s">
        <v>18</v>
      </c>
      <c r="H94" s="222" t="s">
        <v>18</v>
      </c>
      <c r="I94" s="222" t="s">
        <v>18</v>
      </c>
      <c r="J94" s="102" t="s">
        <v>18</v>
      </c>
      <c r="K94" s="218" t="s">
        <v>18</v>
      </c>
      <c r="L94" s="218" t="s">
        <v>18</v>
      </c>
      <c r="M94" s="218" t="s">
        <v>18</v>
      </c>
      <c r="N94" s="218" t="s">
        <v>18</v>
      </c>
      <c r="O94" s="218" t="s">
        <v>18</v>
      </c>
      <c r="P94" s="222" t="s">
        <v>18</v>
      </c>
      <c r="Q94" s="222" t="s">
        <v>18</v>
      </c>
      <c r="R94" s="609" t="s">
        <v>18</v>
      </c>
      <c r="S94" s="420"/>
      <c r="T94" s="421"/>
      <c r="U94" s="422"/>
      <c r="V94" s="423"/>
      <c r="W94" s="421"/>
      <c r="X94" s="421"/>
      <c r="Y94" s="421"/>
      <c r="Z94" s="421"/>
      <c r="AA94" s="421"/>
      <c r="AB94" s="411"/>
      <c r="AC94" s="411"/>
      <c r="AD94" s="411"/>
      <c r="AE94" s="102" t="s">
        <v>18</v>
      </c>
      <c r="AF94" s="102" t="s">
        <v>18</v>
      </c>
      <c r="AG94" s="102" t="s">
        <v>18</v>
      </c>
      <c r="AH94" s="102" t="s">
        <v>18</v>
      </c>
      <c r="AI94" s="102" t="s">
        <v>18</v>
      </c>
      <c r="AJ94" s="102" t="s">
        <v>18</v>
      </c>
      <c r="AK94" s="102" t="s">
        <v>18</v>
      </c>
      <c r="AL94" s="102" t="s">
        <v>18</v>
      </c>
      <c r="AM94" s="102" t="s">
        <v>18</v>
      </c>
      <c r="AN94" s="102" t="s">
        <v>18</v>
      </c>
      <c r="AO94" s="102" t="s">
        <v>18</v>
      </c>
      <c r="AP94" s="102" t="s">
        <v>18</v>
      </c>
      <c r="AQ94" s="102" t="str">
        <f t="shared" si="2"/>
        <v/>
      </c>
    </row>
    <row r="95" spans="1:43" s="102" customFormat="1" ht="12" customHeight="1">
      <c r="A95" s="117">
        <v>13</v>
      </c>
      <c r="B95" s="102" t="s">
        <v>257</v>
      </c>
      <c r="C95" s="206" t="s">
        <v>18</v>
      </c>
      <c r="D95" s="222" t="s">
        <v>18</v>
      </c>
      <c r="E95" s="222" t="s">
        <v>18</v>
      </c>
      <c r="F95" s="218" t="s">
        <v>18</v>
      </c>
      <c r="G95" s="222" t="s">
        <v>18</v>
      </c>
      <c r="H95" s="222" t="s">
        <v>18</v>
      </c>
      <c r="I95" s="222" t="s">
        <v>18</v>
      </c>
      <c r="J95" s="102" t="s">
        <v>18</v>
      </c>
      <c r="K95" s="218" t="s">
        <v>18</v>
      </c>
      <c r="L95" s="218" t="s">
        <v>18</v>
      </c>
      <c r="M95" s="218" t="s">
        <v>18</v>
      </c>
      <c r="N95" s="218" t="s">
        <v>18</v>
      </c>
      <c r="O95" s="218" t="s">
        <v>18</v>
      </c>
      <c r="P95" s="222" t="s">
        <v>18</v>
      </c>
      <c r="Q95" s="222" t="s">
        <v>18</v>
      </c>
      <c r="R95" s="609" t="s">
        <v>18</v>
      </c>
      <c r="S95" s="420"/>
      <c r="T95" s="421"/>
      <c r="U95" s="422"/>
      <c r="V95" s="423"/>
      <c r="W95" s="421"/>
      <c r="X95" s="421"/>
      <c r="Y95" s="421"/>
      <c r="Z95" s="421"/>
      <c r="AA95" s="421"/>
      <c r="AB95" s="411"/>
      <c r="AC95" s="411"/>
      <c r="AD95" s="411"/>
      <c r="AE95" s="102" t="s">
        <v>18</v>
      </c>
      <c r="AF95" s="102" t="s">
        <v>18</v>
      </c>
      <c r="AG95" s="102" t="s">
        <v>18</v>
      </c>
      <c r="AH95" s="102" t="s">
        <v>18</v>
      </c>
      <c r="AI95" s="102" t="s">
        <v>18</v>
      </c>
      <c r="AJ95" s="102" t="s">
        <v>18</v>
      </c>
      <c r="AK95" s="102" t="s">
        <v>18</v>
      </c>
      <c r="AL95" s="102" t="s">
        <v>18</v>
      </c>
      <c r="AM95" s="102" t="s">
        <v>18</v>
      </c>
      <c r="AN95" s="102" t="s">
        <v>18</v>
      </c>
      <c r="AO95" s="102" t="s">
        <v>18</v>
      </c>
      <c r="AP95" s="102" t="s">
        <v>18</v>
      </c>
      <c r="AQ95" s="102" t="str">
        <f t="shared" si="2"/>
        <v/>
      </c>
    </row>
    <row r="96" spans="1:43" s="102" customFormat="1" ht="12">
      <c r="A96" s="117">
        <v>13</v>
      </c>
      <c r="B96" s="102" t="s">
        <v>257</v>
      </c>
      <c r="C96" s="206" t="s">
        <v>435</v>
      </c>
      <c r="D96" s="222">
        <v>13.4</v>
      </c>
      <c r="E96" s="222">
        <v>10.88</v>
      </c>
      <c r="F96" s="218">
        <v>105</v>
      </c>
      <c r="G96" s="222">
        <v>8.1</v>
      </c>
      <c r="H96" s="222">
        <v>1.8</v>
      </c>
      <c r="I96" s="222">
        <v>47.8</v>
      </c>
      <c r="J96" s="102">
        <v>1.8</v>
      </c>
      <c r="K96" s="218">
        <v>14</v>
      </c>
      <c r="L96" s="218">
        <v>39</v>
      </c>
      <c r="M96" s="218">
        <v>1500</v>
      </c>
      <c r="N96" s="218">
        <v>20</v>
      </c>
      <c r="O96" s="218">
        <v>2200</v>
      </c>
      <c r="P96" s="222" t="s">
        <v>18</v>
      </c>
      <c r="Q96" s="222" t="s">
        <v>18</v>
      </c>
      <c r="R96" s="609" t="s">
        <v>18</v>
      </c>
      <c r="S96" s="420"/>
      <c r="T96" s="421"/>
      <c r="U96" s="422"/>
      <c r="V96" s="423"/>
      <c r="W96" s="421"/>
      <c r="X96" s="421"/>
      <c r="Y96" s="421"/>
      <c r="Z96" s="421"/>
      <c r="AA96" s="421"/>
      <c r="AB96" s="411"/>
      <c r="AC96" s="411"/>
      <c r="AD96" s="411"/>
      <c r="AE96" s="102">
        <v>13.4</v>
      </c>
      <c r="AF96" s="102">
        <v>10.88</v>
      </c>
      <c r="AG96" s="102">
        <v>105</v>
      </c>
      <c r="AH96" s="102">
        <v>8.1</v>
      </c>
      <c r="AI96" s="102">
        <v>1.8</v>
      </c>
      <c r="AJ96" s="102">
        <v>47.8</v>
      </c>
      <c r="AK96" s="102">
        <v>1.8</v>
      </c>
      <c r="AL96" s="102">
        <v>14</v>
      </c>
      <c r="AM96" s="102">
        <v>39</v>
      </c>
      <c r="AN96" s="102">
        <v>1500</v>
      </c>
      <c r="AO96" s="102">
        <v>20</v>
      </c>
      <c r="AP96" s="102">
        <v>2200</v>
      </c>
      <c r="AQ96" s="102" t="str">
        <f t="shared" si="2"/>
        <v/>
      </c>
    </row>
    <row r="97" spans="1:43" s="102" customFormat="1" ht="12">
      <c r="A97" s="117"/>
      <c r="C97" s="610" t="s">
        <v>150</v>
      </c>
      <c r="D97" s="611">
        <v>9.4749999999999996</v>
      </c>
      <c r="E97" s="611">
        <v>12.615</v>
      </c>
      <c r="F97" s="612">
        <v>107.5</v>
      </c>
      <c r="G97" s="611">
        <v>8.1750000000000007</v>
      </c>
      <c r="H97" s="611">
        <v>2.1</v>
      </c>
      <c r="I97" s="611">
        <v>46.3</v>
      </c>
      <c r="J97" s="611">
        <v>1.625</v>
      </c>
      <c r="K97" s="612">
        <v>39.85</v>
      </c>
      <c r="L97" s="612">
        <v>68.25</v>
      </c>
      <c r="M97" s="612">
        <v>3050</v>
      </c>
      <c r="N97" s="612">
        <v>36.75</v>
      </c>
      <c r="O97" s="612">
        <v>3500</v>
      </c>
      <c r="P97" s="611"/>
      <c r="Q97" s="715"/>
      <c r="R97" s="307"/>
      <c r="S97" s="420"/>
      <c r="T97" s="421"/>
      <c r="U97" s="422"/>
      <c r="V97" s="423"/>
      <c r="W97" s="421"/>
      <c r="X97" s="421"/>
      <c r="Y97" s="421"/>
      <c r="Z97" s="421"/>
      <c r="AA97" s="421"/>
      <c r="AB97" s="411"/>
      <c r="AC97" s="411"/>
      <c r="AD97" s="411"/>
      <c r="AE97" s="102">
        <v>9.4749999999999996</v>
      </c>
      <c r="AF97" s="102">
        <v>12.615</v>
      </c>
      <c r="AG97" s="102">
        <v>107.5</v>
      </c>
      <c r="AH97" s="102">
        <v>8.1750000000000007</v>
      </c>
      <c r="AI97" s="102">
        <v>2.1</v>
      </c>
      <c r="AJ97" s="102">
        <v>46.3</v>
      </c>
      <c r="AK97" s="102">
        <v>1.625</v>
      </c>
      <c r="AL97" s="102">
        <v>39.85</v>
      </c>
      <c r="AM97" s="102">
        <v>68.25</v>
      </c>
      <c r="AN97" s="102">
        <v>3050</v>
      </c>
      <c r="AO97" s="102">
        <v>36.75</v>
      </c>
      <c r="AP97" s="102">
        <v>3500</v>
      </c>
      <c r="AQ97" s="102">
        <f t="shared" si="2"/>
        <v>0</v>
      </c>
    </row>
    <row r="98" spans="1:43" s="102" customFormat="1" ht="12">
      <c r="A98" s="117"/>
      <c r="C98" s="613" t="s">
        <v>151</v>
      </c>
      <c r="D98" s="614">
        <v>19</v>
      </c>
      <c r="E98" s="614">
        <v>16.53</v>
      </c>
      <c r="F98" s="615">
        <v>123</v>
      </c>
      <c r="G98" s="614">
        <v>8.4</v>
      </c>
      <c r="H98" s="614">
        <v>3.2</v>
      </c>
      <c r="I98" s="614">
        <v>47.8</v>
      </c>
      <c r="J98" s="614">
        <v>2.2000000000000002</v>
      </c>
      <c r="K98" s="615">
        <v>110</v>
      </c>
      <c r="L98" s="615">
        <v>140</v>
      </c>
      <c r="M98" s="615">
        <v>6300</v>
      </c>
      <c r="N98" s="615">
        <v>67</v>
      </c>
      <c r="O98" s="615">
        <v>6600</v>
      </c>
      <c r="P98" s="614"/>
      <c r="Q98" s="716"/>
      <c r="R98" s="307"/>
      <c r="S98" s="420"/>
      <c r="T98" s="421"/>
      <c r="U98" s="422"/>
      <c r="V98" s="423"/>
      <c r="W98" s="421"/>
      <c r="X98" s="421"/>
      <c r="Y98" s="421"/>
      <c r="Z98" s="421"/>
      <c r="AA98" s="421"/>
      <c r="AB98" s="411"/>
      <c r="AC98" s="411"/>
      <c r="AD98" s="411"/>
      <c r="AE98" s="102">
        <v>19</v>
      </c>
      <c r="AF98" s="102">
        <v>16.53</v>
      </c>
      <c r="AG98" s="102">
        <v>123</v>
      </c>
      <c r="AH98" s="102">
        <v>8.4</v>
      </c>
      <c r="AI98" s="102">
        <v>3.2</v>
      </c>
      <c r="AJ98" s="102">
        <v>47.8</v>
      </c>
      <c r="AK98" s="102">
        <v>2.2000000000000002</v>
      </c>
      <c r="AL98" s="102">
        <v>110</v>
      </c>
      <c r="AM98" s="102">
        <v>140</v>
      </c>
      <c r="AN98" s="102">
        <v>6300</v>
      </c>
      <c r="AO98" s="102">
        <v>67</v>
      </c>
      <c r="AP98" s="102">
        <v>6600</v>
      </c>
      <c r="AQ98" s="102">
        <f t="shared" si="2"/>
        <v>0</v>
      </c>
    </row>
    <row r="99" spans="1:43" s="102" customFormat="1" ht="12">
      <c r="A99" s="117"/>
      <c r="C99" s="616" t="s">
        <v>152</v>
      </c>
      <c r="D99" s="617">
        <v>2.6</v>
      </c>
      <c r="E99" s="617">
        <v>9.58</v>
      </c>
      <c r="F99" s="618">
        <v>99</v>
      </c>
      <c r="G99" s="617">
        <v>8.1</v>
      </c>
      <c r="H99" s="617">
        <v>1.6</v>
      </c>
      <c r="I99" s="617">
        <v>44.6</v>
      </c>
      <c r="J99" s="617">
        <v>1.2</v>
      </c>
      <c r="K99" s="618">
        <v>3.4</v>
      </c>
      <c r="L99" s="618">
        <v>32</v>
      </c>
      <c r="M99" s="618">
        <v>900</v>
      </c>
      <c r="N99" s="618">
        <v>10</v>
      </c>
      <c r="O99" s="618">
        <v>1400</v>
      </c>
      <c r="P99" s="617"/>
      <c r="Q99" s="717"/>
      <c r="R99" s="307"/>
      <c r="S99" s="420"/>
      <c r="T99" s="421"/>
      <c r="U99" s="422"/>
      <c r="V99" s="423"/>
      <c r="W99" s="421"/>
      <c r="X99" s="421"/>
      <c r="Y99" s="421"/>
      <c r="Z99" s="421"/>
      <c r="AA99" s="421"/>
      <c r="AB99" s="411"/>
      <c r="AC99" s="411"/>
      <c r="AD99" s="411"/>
      <c r="AE99" s="102">
        <v>2.6</v>
      </c>
      <c r="AF99" s="102">
        <v>9.58</v>
      </c>
      <c r="AG99" s="102">
        <v>99</v>
      </c>
      <c r="AH99" s="102">
        <v>8.1</v>
      </c>
      <c r="AI99" s="102">
        <v>1.6</v>
      </c>
      <c r="AJ99" s="102">
        <v>44.6</v>
      </c>
      <c r="AK99" s="102">
        <v>1.2</v>
      </c>
      <c r="AL99" s="102">
        <v>3.4</v>
      </c>
      <c r="AM99" s="102">
        <v>32</v>
      </c>
      <c r="AN99" s="102">
        <v>900</v>
      </c>
      <c r="AO99" s="102">
        <v>10</v>
      </c>
      <c r="AP99" s="102">
        <v>1400</v>
      </c>
      <c r="AQ99" s="102">
        <f t="shared" si="2"/>
        <v>0</v>
      </c>
    </row>
    <row r="100" spans="1:43" s="102" customFormat="1" ht="12">
      <c r="A100" s="117"/>
      <c r="B100" s="411"/>
      <c r="C100" s="619"/>
      <c r="D100" s="620"/>
      <c r="E100" s="620"/>
      <c r="F100" s="621"/>
      <c r="G100" s="620"/>
      <c r="H100" s="620"/>
      <c r="I100" s="620"/>
      <c r="J100" s="622"/>
      <c r="K100" s="622"/>
      <c r="L100" s="622"/>
      <c r="M100" s="622"/>
      <c r="N100" s="622"/>
      <c r="O100" s="622"/>
      <c r="P100" s="620"/>
      <c r="Q100" s="620"/>
      <c r="R100" s="387"/>
      <c r="S100" s="420"/>
      <c r="T100" s="421"/>
      <c r="U100" s="422"/>
      <c r="V100" s="423"/>
      <c r="W100" s="421"/>
      <c r="X100" s="421"/>
      <c r="Y100" s="421"/>
      <c r="Z100" s="421"/>
      <c r="AA100" s="421"/>
      <c r="AB100" s="411"/>
      <c r="AC100" s="411"/>
      <c r="AD100" s="411"/>
      <c r="AE100" s="102">
        <v>0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0</v>
      </c>
      <c r="AN100" s="102">
        <v>0</v>
      </c>
      <c r="AO100" s="102">
        <v>0</v>
      </c>
      <c r="AP100" s="102">
        <v>0</v>
      </c>
      <c r="AQ100" s="102">
        <f t="shared" si="2"/>
        <v>0</v>
      </c>
    </row>
    <row r="101" spans="1:43" s="102" customFormat="1" ht="12" customHeight="1">
      <c r="A101" s="117">
        <v>15</v>
      </c>
      <c r="B101" s="102" t="s">
        <v>258</v>
      </c>
      <c r="C101" s="206">
        <v>45671</v>
      </c>
      <c r="D101" s="222">
        <v>3.2</v>
      </c>
      <c r="E101" s="222">
        <v>12.46</v>
      </c>
      <c r="F101" s="218">
        <v>93</v>
      </c>
      <c r="G101" s="222">
        <v>8</v>
      </c>
      <c r="H101" s="222">
        <v>5.2</v>
      </c>
      <c r="I101" s="222">
        <v>56.8</v>
      </c>
      <c r="J101" s="102">
        <v>1.2</v>
      </c>
      <c r="K101" s="218">
        <v>22</v>
      </c>
      <c r="L101" s="218">
        <v>49</v>
      </c>
      <c r="M101" s="218">
        <v>6900</v>
      </c>
      <c r="N101" s="218">
        <v>140</v>
      </c>
      <c r="O101" s="218">
        <v>7200</v>
      </c>
      <c r="P101" s="222" t="s">
        <v>18</v>
      </c>
      <c r="Q101" s="222" t="s">
        <v>18</v>
      </c>
      <c r="R101" s="609" t="s">
        <v>18</v>
      </c>
      <c r="S101" s="426"/>
      <c r="T101" s="427"/>
      <c r="U101" s="422"/>
      <c r="V101" s="423"/>
      <c r="W101" s="424"/>
      <c r="X101" s="425"/>
      <c r="Y101" s="425"/>
      <c r="Z101" s="424"/>
      <c r="AA101" s="425"/>
      <c r="AB101" s="425"/>
      <c r="AC101" s="425"/>
      <c r="AD101" s="411"/>
      <c r="AE101" s="102">
        <v>3.2</v>
      </c>
      <c r="AF101" s="102">
        <v>12.46</v>
      </c>
      <c r="AG101" s="102">
        <v>93</v>
      </c>
      <c r="AH101" s="102">
        <v>8</v>
      </c>
      <c r="AI101" s="102">
        <v>5.2</v>
      </c>
      <c r="AJ101" s="102">
        <v>56.8</v>
      </c>
      <c r="AK101" s="102">
        <v>1.2</v>
      </c>
      <c r="AL101" s="102">
        <v>22</v>
      </c>
      <c r="AM101" s="102">
        <v>49</v>
      </c>
      <c r="AN101" s="102">
        <v>6900</v>
      </c>
      <c r="AO101" s="102">
        <v>140</v>
      </c>
      <c r="AP101" s="102">
        <v>7200</v>
      </c>
      <c r="AQ101" s="102" t="str">
        <f t="shared" si="2"/>
        <v/>
      </c>
    </row>
    <row r="102" spans="1:43" s="102" customFormat="1" ht="12" customHeight="1">
      <c r="A102" s="117">
        <v>15</v>
      </c>
      <c r="B102" s="102" t="s">
        <v>258</v>
      </c>
      <c r="C102" s="206">
        <v>45734</v>
      </c>
      <c r="D102" s="222">
        <v>3.2</v>
      </c>
      <c r="E102" s="222">
        <v>14.25</v>
      </c>
      <c r="F102" s="218">
        <v>106</v>
      </c>
      <c r="G102" s="222">
        <v>8.1</v>
      </c>
      <c r="H102" s="222">
        <v>3</v>
      </c>
      <c r="I102" s="222">
        <v>56</v>
      </c>
      <c r="J102" s="102">
        <v>2.2000000000000002</v>
      </c>
      <c r="K102" s="218">
        <v>10</v>
      </c>
      <c r="L102" s="218">
        <v>27</v>
      </c>
      <c r="M102" s="218">
        <v>3400</v>
      </c>
      <c r="N102" s="218">
        <v>120</v>
      </c>
      <c r="O102" s="218">
        <v>3400</v>
      </c>
      <c r="P102" s="222" t="s">
        <v>18</v>
      </c>
      <c r="Q102" s="222" t="s">
        <v>18</v>
      </c>
      <c r="R102" s="609" t="s">
        <v>18</v>
      </c>
      <c r="S102" s="429"/>
      <c r="T102" s="430"/>
      <c r="U102" s="422"/>
      <c r="V102" s="423"/>
      <c r="W102" s="431"/>
      <c r="X102" s="432"/>
      <c r="Y102" s="421"/>
      <c r="Z102" s="421"/>
      <c r="AA102" s="421"/>
      <c r="AB102" s="411"/>
      <c r="AC102" s="411"/>
      <c r="AD102" s="411"/>
      <c r="AE102" s="102">
        <v>3.2</v>
      </c>
      <c r="AF102" s="102">
        <v>14.25</v>
      </c>
      <c r="AG102" s="102">
        <v>106</v>
      </c>
      <c r="AH102" s="102">
        <v>8.1</v>
      </c>
      <c r="AI102" s="102">
        <v>3</v>
      </c>
      <c r="AJ102" s="102">
        <v>56</v>
      </c>
      <c r="AK102" s="102">
        <v>2.2000000000000002</v>
      </c>
      <c r="AL102" s="102">
        <v>10</v>
      </c>
      <c r="AM102" s="102">
        <v>27</v>
      </c>
      <c r="AN102" s="102">
        <v>3400</v>
      </c>
      <c r="AO102" s="102">
        <v>120</v>
      </c>
      <c r="AP102" s="102">
        <v>3400</v>
      </c>
      <c r="AQ102" s="102" t="str">
        <f t="shared" si="2"/>
        <v/>
      </c>
    </row>
    <row r="103" spans="1:43" s="102" customFormat="1" ht="12" customHeight="1">
      <c r="A103" s="117">
        <v>15</v>
      </c>
      <c r="B103" s="102" t="s">
        <v>258</v>
      </c>
      <c r="C103" s="206">
        <v>45848</v>
      </c>
      <c r="D103" s="222">
        <v>16.8</v>
      </c>
      <c r="E103" s="222">
        <v>9.5399999999999991</v>
      </c>
      <c r="F103" s="218">
        <v>99</v>
      </c>
      <c r="G103" s="222">
        <v>7.8</v>
      </c>
      <c r="H103" s="222">
        <v>2.8</v>
      </c>
      <c r="I103" s="222">
        <v>58.4</v>
      </c>
      <c r="J103" s="102">
        <v>0.89</v>
      </c>
      <c r="K103" s="218">
        <v>31</v>
      </c>
      <c r="L103" s="218">
        <v>52</v>
      </c>
      <c r="M103" s="218">
        <v>790</v>
      </c>
      <c r="N103" s="218">
        <v>23</v>
      </c>
      <c r="O103" s="218">
        <v>940</v>
      </c>
      <c r="P103" s="222" t="s">
        <v>18</v>
      </c>
      <c r="Q103" s="222" t="s">
        <v>18</v>
      </c>
      <c r="R103" s="609" t="s">
        <v>18</v>
      </c>
      <c r="S103" s="420"/>
      <c r="T103" s="421"/>
      <c r="U103" s="422"/>
      <c r="V103" s="423"/>
      <c r="W103" s="421"/>
      <c r="X103" s="421"/>
      <c r="Y103" s="421"/>
      <c r="Z103" s="421"/>
      <c r="AA103" s="421"/>
      <c r="AB103" s="411"/>
      <c r="AC103" s="411"/>
      <c r="AD103" s="411"/>
      <c r="AE103" s="102">
        <v>16.8</v>
      </c>
      <c r="AF103" s="102">
        <v>9.5399999999999991</v>
      </c>
      <c r="AG103" s="102">
        <v>99</v>
      </c>
      <c r="AH103" s="102">
        <v>7.8</v>
      </c>
      <c r="AI103" s="102">
        <v>2.8</v>
      </c>
      <c r="AJ103" s="102">
        <v>58.4</v>
      </c>
      <c r="AK103" s="102">
        <v>0.89</v>
      </c>
      <c r="AL103" s="102">
        <v>31</v>
      </c>
      <c r="AM103" s="102">
        <v>52</v>
      </c>
      <c r="AN103" s="102">
        <v>790</v>
      </c>
      <c r="AO103" s="102">
        <v>23</v>
      </c>
      <c r="AP103" s="102">
        <v>940</v>
      </c>
      <c r="AQ103" s="102" t="str">
        <f t="shared" ref="AQ103:AQ134" si="3">IF(OR(LEFT(Q103,1)="&lt;",LEFT(Q103,1)="&gt;"),VALUE(MID(Q103,2,5)),Q103)</f>
        <v/>
      </c>
    </row>
    <row r="104" spans="1:43" s="102" customFormat="1" ht="12" customHeight="1">
      <c r="A104" s="117">
        <v>15</v>
      </c>
      <c r="B104" s="102" t="s">
        <v>258</v>
      </c>
      <c r="C104" s="206" t="s">
        <v>18</v>
      </c>
      <c r="D104" s="222" t="s">
        <v>18</v>
      </c>
      <c r="E104" s="222" t="s">
        <v>18</v>
      </c>
      <c r="F104" s="218" t="s">
        <v>18</v>
      </c>
      <c r="G104" s="222" t="s">
        <v>18</v>
      </c>
      <c r="H104" s="222" t="s">
        <v>18</v>
      </c>
      <c r="I104" s="222" t="s">
        <v>18</v>
      </c>
      <c r="J104" s="102" t="s">
        <v>18</v>
      </c>
      <c r="K104" s="218" t="s">
        <v>18</v>
      </c>
      <c r="L104" s="218" t="s">
        <v>18</v>
      </c>
      <c r="M104" s="218" t="s">
        <v>18</v>
      </c>
      <c r="N104" s="218" t="s">
        <v>18</v>
      </c>
      <c r="O104" s="218" t="s">
        <v>18</v>
      </c>
      <c r="P104" s="222" t="s">
        <v>18</v>
      </c>
      <c r="Q104" s="222" t="s">
        <v>18</v>
      </c>
      <c r="R104" s="609" t="s">
        <v>18</v>
      </c>
      <c r="S104" s="420"/>
      <c r="T104" s="421"/>
      <c r="U104" s="422"/>
      <c r="V104" s="423"/>
      <c r="W104" s="421"/>
      <c r="X104" s="421"/>
      <c r="Y104" s="421"/>
      <c r="Z104" s="421"/>
      <c r="AA104" s="421"/>
      <c r="AB104" s="411"/>
      <c r="AC104" s="411"/>
      <c r="AD104" s="411"/>
      <c r="AE104" s="102" t="s">
        <v>18</v>
      </c>
      <c r="AF104" s="102" t="s">
        <v>18</v>
      </c>
      <c r="AG104" s="102" t="s">
        <v>18</v>
      </c>
      <c r="AH104" s="102" t="s">
        <v>18</v>
      </c>
      <c r="AI104" s="102" t="s">
        <v>18</v>
      </c>
      <c r="AJ104" s="102" t="s">
        <v>18</v>
      </c>
      <c r="AK104" s="102" t="s">
        <v>18</v>
      </c>
      <c r="AL104" s="102" t="s">
        <v>18</v>
      </c>
      <c r="AM104" s="102" t="s">
        <v>18</v>
      </c>
      <c r="AN104" s="102" t="s">
        <v>18</v>
      </c>
      <c r="AO104" s="102" t="s">
        <v>18</v>
      </c>
      <c r="AP104" s="102" t="s">
        <v>18</v>
      </c>
      <c r="AQ104" s="102" t="str">
        <f t="shared" si="3"/>
        <v/>
      </c>
    </row>
    <row r="105" spans="1:43" s="102" customFormat="1" ht="12" customHeight="1">
      <c r="A105" s="117">
        <v>15</v>
      </c>
      <c r="B105" s="102" t="s">
        <v>258</v>
      </c>
      <c r="C105" s="206" t="s">
        <v>18</v>
      </c>
      <c r="D105" s="222" t="s">
        <v>18</v>
      </c>
      <c r="E105" s="222" t="s">
        <v>18</v>
      </c>
      <c r="F105" s="218" t="s">
        <v>18</v>
      </c>
      <c r="G105" s="222" t="s">
        <v>18</v>
      </c>
      <c r="H105" s="222" t="s">
        <v>18</v>
      </c>
      <c r="I105" s="222" t="s">
        <v>18</v>
      </c>
      <c r="J105" s="102" t="s">
        <v>18</v>
      </c>
      <c r="K105" s="218" t="s">
        <v>18</v>
      </c>
      <c r="L105" s="218" t="s">
        <v>18</v>
      </c>
      <c r="M105" s="218" t="s">
        <v>18</v>
      </c>
      <c r="N105" s="218" t="s">
        <v>18</v>
      </c>
      <c r="O105" s="218" t="s">
        <v>18</v>
      </c>
      <c r="P105" s="222" t="s">
        <v>18</v>
      </c>
      <c r="Q105" s="222" t="s">
        <v>18</v>
      </c>
      <c r="R105" s="609" t="s">
        <v>18</v>
      </c>
      <c r="S105" s="420"/>
      <c r="T105" s="421"/>
      <c r="U105" s="422"/>
      <c r="V105" s="423"/>
      <c r="W105" s="421"/>
      <c r="X105" s="421"/>
      <c r="Y105" s="421"/>
      <c r="Z105" s="421"/>
      <c r="AA105" s="421"/>
      <c r="AB105" s="411"/>
      <c r="AC105" s="411"/>
      <c r="AD105" s="411"/>
      <c r="AE105" s="102" t="s">
        <v>18</v>
      </c>
      <c r="AF105" s="102" t="s">
        <v>18</v>
      </c>
      <c r="AG105" s="102" t="s">
        <v>18</v>
      </c>
      <c r="AH105" s="102" t="s">
        <v>18</v>
      </c>
      <c r="AI105" s="102" t="s">
        <v>18</v>
      </c>
      <c r="AJ105" s="102" t="s">
        <v>18</v>
      </c>
      <c r="AK105" s="102" t="s">
        <v>18</v>
      </c>
      <c r="AL105" s="102" t="s">
        <v>18</v>
      </c>
      <c r="AM105" s="102" t="s">
        <v>18</v>
      </c>
      <c r="AN105" s="102" t="s">
        <v>18</v>
      </c>
      <c r="AO105" s="102" t="s">
        <v>18</v>
      </c>
      <c r="AP105" s="102" t="s">
        <v>18</v>
      </c>
      <c r="AQ105" s="102" t="str">
        <f t="shared" si="3"/>
        <v/>
      </c>
    </row>
    <row r="106" spans="1:43" s="102" customFormat="1" ht="12" customHeight="1">
      <c r="A106" s="117">
        <v>15</v>
      </c>
      <c r="B106" s="102" t="s">
        <v>258</v>
      </c>
      <c r="C106" s="206" t="s">
        <v>435</v>
      </c>
      <c r="D106" s="222">
        <v>13.8</v>
      </c>
      <c r="E106" s="222">
        <v>10.98</v>
      </c>
      <c r="F106" s="218">
        <v>106</v>
      </c>
      <c r="G106" s="222">
        <v>8.1999999999999993</v>
      </c>
      <c r="H106" s="222">
        <v>3.5</v>
      </c>
      <c r="I106" s="222">
        <v>57.9</v>
      </c>
      <c r="J106" s="102">
        <v>1.7</v>
      </c>
      <c r="K106" s="218">
        <v>17</v>
      </c>
      <c r="L106" s="218">
        <v>47</v>
      </c>
      <c r="M106" s="218">
        <v>2000</v>
      </c>
      <c r="N106" s="218">
        <v>28</v>
      </c>
      <c r="O106" s="218">
        <v>2600</v>
      </c>
      <c r="P106" s="222" t="s">
        <v>18</v>
      </c>
      <c r="Q106" s="222" t="s">
        <v>18</v>
      </c>
      <c r="R106" s="609" t="s">
        <v>18</v>
      </c>
      <c r="S106" s="420"/>
      <c r="T106" s="421"/>
      <c r="U106" s="422"/>
      <c r="V106" s="423"/>
      <c r="W106" s="421"/>
      <c r="X106" s="421"/>
      <c r="Y106" s="421"/>
      <c r="Z106" s="421"/>
      <c r="AA106" s="421"/>
      <c r="AB106" s="411"/>
      <c r="AC106" s="411"/>
      <c r="AD106" s="411"/>
      <c r="AE106" s="102">
        <v>13.8</v>
      </c>
      <c r="AF106" s="102">
        <v>10.98</v>
      </c>
      <c r="AG106" s="102">
        <v>106</v>
      </c>
      <c r="AH106" s="102">
        <v>8.1999999999999993</v>
      </c>
      <c r="AI106" s="102">
        <v>3.5</v>
      </c>
      <c r="AJ106" s="102">
        <v>57.9</v>
      </c>
      <c r="AK106" s="102">
        <v>1.7</v>
      </c>
      <c r="AL106" s="102">
        <v>17</v>
      </c>
      <c r="AM106" s="102">
        <v>47</v>
      </c>
      <c r="AN106" s="102">
        <v>2000</v>
      </c>
      <c r="AO106" s="102">
        <v>28</v>
      </c>
      <c r="AP106" s="102">
        <v>2600</v>
      </c>
      <c r="AQ106" s="102" t="str">
        <f t="shared" si="3"/>
        <v/>
      </c>
    </row>
    <row r="107" spans="1:43" s="102" customFormat="1" ht="12">
      <c r="A107" s="117"/>
      <c r="C107" s="610" t="s">
        <v>150</v>
      </c>
      <c r="D107" s="611">
        <v>9.25</v>
      </c>
      <c r="E107" s="611">
        <v>11.807500000000001</v>
      </c>
      <c r="F107" s="612">
        <v>101</v>
      </c>
      <c r="G107" s="611">
        <v>8.0250000000000004</v>
      </c>
      <c r="H107" s="611">
        <v>3.625</v>
      </c>
      <c r="I107" s="611">
        <v>57.274999999999999</v>
      </c>
      <c r="J107" s="611">
        <v>1.4975000000000001</v>
      </c>
      <c r="K107" s="612">
        <v>20</v>
      </c>
      <c r="L107" s="612">
        <v>43.75</v>
      </c>
      <c r="M107" s="612">
        <v>3272.5</v>
      </c>
      <c r="N107" s="612">
        <v>77.75</v>
      </c>
      <c r="O107" s="612">
        <v>3535</v>
      </c>
      <c r="P107" s="611"/>
      <c r="Q107" s="715"/>
      <c r="R107" s="307"/>
      <c r="S107" s="420"/>
      <c r="T107" s="421"/>
      <c r="U107" s="422"/>
      <c r="V107" s="423"/>
      <c r="W107" s="421"/>
      <c r="X107" s="421"/>
      <c r="Y107" s="421"/>
      <c r="Z107" s="421"/>
      <c r="AA107" s="421"/>
      <c r="AB107" s="411"/>
      <c r="AC107" s="411"/>
      <c r="AD107" s="411"/>
      <c r="AE107" s="102">
        <v>9.25</v>
      </c>
      <c r="AF107" s="102">
        <v>11.807500000000001</v>
      </c>
      <c r="AG107" s="102">
        <v>101</v>
      </c>
      <c r="AH107" s="102">
        <v>8.0250000000000004</v>
      </c>
      <c r="AI107" s="102">
        <v>3.625</v>
      </c>
      <c r="AJ107" s="102">
        <v>57.274999999999999</v>
      </c>
      <c r="AK107" s="102">
        <v>1.4975000000000001</v>
      </c>
      <c r="AL107" s="102">
        <v>20</v>
      </c>
      <c r="AM107" s="102">
        <v>43.75</v>
      </c>
      <c r="AN107" s="102">
        <v>3272.5</v>
      </c>
      <c r="AO107" s="102">
        <v>77.75</v>
      </c>
      <c r="AP107" s="102">
        <v>3535</v>
      </c>
      <c r="AQ107" s="102">
        <f t="shared" si="3"/>
        <v>0</v>
      </c>
    </row>
    <row r="108" spans="1:43" s="102" customFormat="1" ht="12">
      <c r="A108" s="117"/>
      <c r="C108" s="613" t="s">
        <v>151</v>
      </c>
      <c r="D108" s="614">
        <v>16.8</v>
      </c>
      <c r="E108" s="614">
        <v>14.25</v>
      </c>
      <c r="F108" s="615">
        <v>106</v>
      </c>
      <c r="G108" s="614">
        <v>8.1999999999999993</v>
      </c>
      <c r="H108" s="614">
        <v>5.2</v>
      </c>
      <c r="I108" s="614">
        <v>58.4</v>
      </c>
      <c r="J108" s="614">
        <v>2.2000000000000002</v>
      </c>
      <c r="K108" s="615">
        <v>31</v>
      </c>
      <c r="L108" s="615">
        <v>52</v>
      </c>
      <c r="M108" s="615">
        <v>6900</v>
      </c>
      <c r="N108" s="615">
        <v>140</v>
      </c>
      <c r="O108" s="615">
        <v>7200</v>
      </c>
      <c r="P108" s="614"/>
      <c r="Q108" s="716"/>
      <c r="R108" s="307"/>
      <c r="S108" s="420"/>
      <c r="T108" s="421"/>
      <c r="U108" s="422"/>
      <c r="V108" s="423"/>
      <c r="W108" s="421"/>
      <c r="X108" s="421"/>
      <c r="Y108" s="421"/>
      <c r="Z108" s="421"/>
      <c r="AA108" s="421"/>
      <c r="AB108" s="411"/>
      <c r="AC108" s="411"/>
      <c r="AD108" s="411"/>
      <c r="AE108" s="102">
        <v>16.8</v>
      </c>
      <c r="AF108" s="102">
        <v>14.25</v>
      </c>
      <c r="AG108" s="102">
        <v>106</v>
      </c>
      <c r="AH108" s="102">
        <v>8.1999999999999993</v>
      </c>
      <c r="AI108" s="102">
        <v>5.2</v>
      </c>
      <c r="AJ108" s="102">
        <v>58.4</v>
      </c>
      <c r="AK108" s="102">
        <v>2.2000000000000002</v>
      </c>
      <c r="AL108" s="102">
        <v>31</v>
      </c>
      <c r="AM108" s="102">
        <v>52</v>
      </c>
      <c r="AN108" s="102">
        <v>6900</v>
      </c>
      <c r="AO108" s="102">
        <v>140</v>
      </c>
      <c r="AP108" s="102">
        <v>7200</v>
      </c>
      <c r="AQ108" s="102">
        <f t="shared" si="3"/>
        <v>0</v>
      </c>
    </row>
    <row r="109" spans="1:43" s="102" customFormat="1" ht="12">
      <c r="A109" s="117"/>
      <c r="C109" s="616" t="s">
        <v>152</v>
      </c>
      <c r="D109" s="617">
        <v>3.2</v>
      </c>
      <c r="E109" s="617">
        <v>9.5399999999999991</v>
      </c>
      <c r="F109" s="618">
        <v>93</v>
      </c>
      <c r="G109" s="617">
        <v>7.8</v>
      </c>
      <c r="H109" s="617">
        <v>2.8</v>
      </c>
      <c r="I109" s="617">
        <v>56</v>
      </c>
      <c r="J109" s="617">
        <v>0.89</v>
      </c>
      <c r="K109" s="618">
        <v>10</v>
      </c>
      <c r="L109" s="618">
        <v>27</v>
      </c>
      <c r="M109" s="618">
        <v>790</v>
      </c>
      <c r="N109" s="618">
        <v>23</v>
      </c>
      <c r="O109" s="618">
        <v>940</v>
      </c>
      <c r="P109" s="617"/>
      <c r="Q109" s="717"/>
      <c r="R109" s="307"/>
      <c r="S109" s="420"/>
      <c r="T109" s="421"/>
      <c r="U109" s="422"/>
      <c r="V109" s="423"/>
      <c r="W109" s="421"/>
      <c r="X109" s="421"/>
      <c r="Y109" s="421"/>
      <c r="Z109" s="421"/>
      <c r="AA109" s="421"/>
      <c r="AB109" s="411"/>
      <c r="AC109" s="411"/>
      <c r="AD109" s="411"/>
      <c r="AE109" s="102">
        <v>3.2</v>
      </c>
      <c r="AF109" s="102">
        <v>9.5399999999999991</v>
      </c>
      <c r="AG109" s="102">
        <v>93</v>
      </c>
      <c r="AH109" s="102">
        <v>7.8</v>
      </c>
      <c r="AI109" s="102">
        <v>2.8</v>
      </c>
      <c r="AJ109" s="102">
        <v>56</v>
      </c>
      <c r="AK109" s="102">
        <v>0.89</v>
      </c>
      <c r="AL109" s="102">
        <v>10</v>
      </c>
      <c r="AM109" s="102">
        <v>27</v>
      </c>
      <c r="AN109" s="102">
        <v>790</v>
      </c>
      <c r="AO109" s="102">
        <v>23</v>
      </c>
      <c r="AP109" s="102">
        <v>940</v>
      </c>
      <c r="AQ109" s="102">
        <f t="shared" si="3"/>
        <v>0</v>
      </c>
    </row>
    <row r="110" spans="1:43" s="102" customFormat="1" ht="12">
      <c r="A110" s="117"/>
      <c r="B110" s="411"/>
      <c r="C110" s="619"/>
      <c r="D110" s="620"/>
      <c r="E110" s="620"/>
      <c r="F110" s="621"/>
      <c r="G110" s="620"/>
      <c r="H110" s="620"/>
      <c r="I110" s="620"/>
      <c r="J110" s="622"/>
      <c r="K110" s="622"/>
      <c r="L110" s="622"/>
      <c r="M110" s="622"/>
      <c r="N110" s="622"/>
      <c r="O110" s="622"/>
      <c r="P110" s="620"/>
      <c r="Q110" s="620"/>
      <c r="R110" s="387"/>
      <c r="S110" s="420"/>
      <c r="T110" s="421"/>
      <c r="U110" s="422"/>
      <c r="V110" s="423"/>
      <c r="W110" s="421"/>
      <c r="X110" s="421"/>
      <c r="Y110" s="421"/>
      <c r="Z110" s="421"/>
      <c r="AA110" s="421"/>
      <c r="AB110" s="411"/>
      <c r="AC110" s="411"/>
      <c r="AD110" s="411"/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0</v>
      </c>
      <c r="AN110" s="102">
        <v>0</v>
      </c>
      <c r="AO110" s="102">
        <v>0</v>
      </c>
      <c r="AP110" s="102">
        <v>0</v>
      </c>
      <c r="AQ110" s="102">
        <f t="shared" si="3"/>
        <v>0</v>
      </c>
    </row>
    <row r="111" spans="1:43" s="102" customFormat="1" ht="12" customHeight="1">
      <c r="A111" s="117">
        <v>17</v>
      </c>
      <c r="B111" s="102" t="s">
        <v>259</v>
      </c>
      <c r="C111" s="206">
        <v>45671</v>
      </c>
      <c r="D111" s="222">
        <v>2.2000000000000002</v>
      </c>
      <c r="E111" s="222">
        <v>13.57</v>
      </c>
      <c r="F111" s="218">
        <v>99</v>
      </c>
      <c r="G111" s="222">
        <v>7.8</v>
      </c>
      <c r="H111" s="222">
        <v>9.5</v>
      </c>
      <c r="I111" s="222">
        <v>37.799999999999997</v>
      </c>
      <c r="J111" s="102">
        <v>1.3</v>
      </c>
      <c r="K111" s="218">
        <v>17</v>
      </c>
      <c r="L111" s="218">
        <v>79</v>
      </c>
      <c r="M111" s="218">
        <v>3900</v>
      </c>
      <c r="N111" s="218">
        <v>71</v>
      </c>
      <c r="O111" s="218">
        <v>4700</v>
      </c>
      <c r="P111" s="222" t="s">
        <v>18</v>
      </c>
      <c r="Q111" s="222" t="s">
        <v>18</v>
      </c>
      <c r="R111" s="609" t="s">
        <v>18</v>
      </c>
      <c r="S111" s="420"/>
      <c r="T111" s="421"/>
      <c r="U111" s="422"/>
      <c r="V111" s="423"/>
      <c r="W111" s="421"/>
      <c r="X111" s="421"/>
      <c r="Y111" s="421"/>
      <c r="Z111" s="421"/>
      <c r="AA111" s="421"/>
      <c r="AB111" s="411"/>
      <c r="AC111" s="411"/>
      <c r="AD111" s="411"/>
      <c r="AE111" s="102">
        <v>2.2000000000000002</v>
      </c>
      <c r="AF111" s="102">
        <v>13.57</v>
      </c>
      <c r="AG111" s="102">
        <v>99</v>
      </c>
      <c r="AH111" s="102">
        <v>7.8</v>
      </c>
      <c r="AI111" s="102">
        <v>9.5</v>
      </c>
      <c r="AJ111" s="102">
        <v>37.799999999999997</v>
      </c>
      <c r="AK111" s="102">
        <v>1.3</v>
      </c>
      <c r="AL111" s="102">
        <v>17</v>
      </c>
      <c r="AM111" s="102">
        <v>79</v>
      </c>
      <c r="AN111" s="102">
        <v>3900</v>
      </c>
      <c r="AO111" s="102">
        <v>71</v>
      </c>
      <c r="AP111" s="102">
        <v>4700</v>
      </c>
      <c r="AQ111" s="102" t="str">
        <f t="shared" si="3"/>
        <v/>
      </c>
    </row>
    <row r="112" spans="1:43" s="102" customFormat="1" ht="12" customHeight="1">
      <c r="A112" s="117">
        <v>17</v>
      </c>
      <c r="B112" s="102" t="s">
        <v>259</v>
      </c>
      <c r="C112" s="206">
        <v>45734</v>
      </c>
      <c r="D112" s="222">
        <v>2.8</v>
      </c>
      <c r="E112" s="222">
        <v>13.88</v>
      </c>
      <c r="F112" s="218">
        <v>103</v>
      </c>
      <c r="G112" s="222">
        <v>8</v>
      </c>
      <c r="H112" s="222">
        <v>3.8</v>
      </c>
      <c r="I112" s="222">
        <v>36.9</v>
      </c>
      <c r="J112" s="102">
        <v>1.3</v>
      </c>
      <c r="K112" s="218">
        <v>14</v>
      </c>
      <c r="L112" s="218">
        <v>35</v>
      </c>
      <c r="M112" s="218">
        <v>1400</v>
      </c>
      <c r="N112" s="218" t="s">
        <v>148</v>
      </c>
      <c r="O112" s="218">
        <v>1800</v>
      </c>
      <c r="P112" s="222" t="s">
        <v>18</v>
      </c>
      <c r="Q112" s="222" t="s">
        <v>18</v>
      </c>
      <c r="R112" s="609" t="s">
        <v>18</v>
      </c>
      <c r="S112" s="420"/>
      <c r="T112" s="421"/>
      <c r="U112" s="422"/>
      <c r="V112" s="423"/>
      <c r="W112" s="421"/>
      <c r="X112" s="421"/>
      <c r="Y112" s="421"/>
      <c r="Z112" s="421"/>
      <c r="AA112" s="421"/>
      <c r="AB112" s="411"/>
      <c r="AC112" s="411"/>
      <c r="AD112" s="411"/>
      <c r="AE112" s="102">
        <v>2.8</v>
      </c>
      <c r="AF112" s="102">
        <v>13.88</v>
      </c>
      <c r="AG112" s="102">
        <v>103</v>
      </c>
      <c r="AH112" s="102">
        <v>8</v>
      </c>
      <c r="AI112" s="102">
        <v>3.8</v>
      </c>
      <c r="AJ112" s="102">
        <v>36.9</v>
      </c>
      <c r="AK112" s="102">
        <v>1.3</v>
      </c>
      <c r="AL112" s="102">
        <v>14</v>
      </c>
      <c r="AM112" s="102">
        <v>35</v>
      </c>
      <c r="AN112" s="102">
        <v>1400</v>
      </c>
      <c r="AO112" s="102">
        <v>10</v>
      </c>
      <c r="AP112" s="102">
        <v>1800</v>
      </c>
      <c r="AQ112" s="102" t="str">
        <f t="shared" si="3"/>
        <v/>
      </c>
    </row>
    <row r="113" spans="1:43" s="102" customFormat="1" ht="12" customHeight="1">
      <c r="A113" s="117">
        <v>17</v>
      </c>
      <c r="B113" s="102" t="s">
        <v>259</v>
      </c>
      <c r="C113" s="206">
        <v>45848</v>
      </c>
      <c r="D113" s="222">
        <v>18.8</v>
      </c>
      <c r="E113" s="222">
        <v>9.49</v>
      </c>
      <c r="F113" s="218">
        <v>102</v>
      </c>
      <c r="G113" s="222">
        <v>8</v>
      </c>
      <c r="H113" s="222">
        <v>3.3</v>
      </c>
      <c r="I113" s="222">
        <v>38.799999999999997</v>
      </c>
      <c r="J113" s="102">
        <v>1.1000000000000001</v>
      </c>
      <c r="K113" s="218">
        <v>33</v>
      </c>
      <c r="L113" s="218">
        <v>59</v>
      </c>
      <c r="M113" s="218">
        <v>710</v>
      </c>
      <c r="N113" s="218">
        <v>30</v>
      </c>
      <c r="O113" s="218">
        <v>1100</v>
      </c>
      <c r="P113" s="222" t="s">
        <v>18</v>
      </c>
      <c r="Q113" s="222" t="s">
        <v>18</v>
      </c>
      <c r="R113" s="609" t="s">
        <v>18</v>
      </c>
      <c r="S113" s="420"/>
      <c r="T113" s="421"/>
      <c r="U113" s="422"/>
      <c r="V113" s="423"/>
      <c r="W113" s="421"/>
      <c r="X113" s="421"/>
      <c r="Y113" s="421"/>
      <c r="Z113" s="421"/>
      <c r="AA113" s="421"/>
      <c r="AB113" s="411"/>
      <c r="AC113" s="411"/>
      <c r="AD113" s="411"/>
      <c r="AE113" s="102">
        <v>18.8</v>
      </c>
      <c r="AF113" s="102">
        <v>9.49</v>
      </c>
      <c r="AG113" s="102">
        <v>102</v>
      </c>
      <c r="AH113" s="102">
        <v>8</v>
      </c>
      <c r="AI113" s="102">
        <v>3.3</v>
      </c>
      <c r="AJ113" s="102">
        <v>38.799999999999997</v>
      </c>
      <c r="AK113" s="102">
        <v>1.1000000000000001</v>
      </c>
      <c r="AL113" s="102">
        <v>33</v>
      </c>
      <c r="AM113" s="102">
        <v>59</v>
      </c>
      <c r="AN113" s="102">
        <v>710</v>
      </c>
      <c r="AO113" s="102">
        <v>30</v>
      </c>
      <c r="AP113" s="102">
        <v>1100</v>
      </c>
      <c r="AQ113" s="102" t="str">
        <f t="shared" si="3"/>
        <v/>
      </c>
    </row>
    <row r="114" spans="1:43" s="102" customFormat="1" ht="12" customHeight="1">
      <c r="A114" s="117">
        <v>17</v>
      </c>
      <c r="B114" s="102" t="s">
        <v>259</v>
      </c>
      <c r="C114" s="206" t="s">
        <v>18</v>
      </c>
      <c r="D114" s="222" t="s">
        <v>18</v>
      </c>
      <c r="E114" s="222" t="s">
        <v>18</v>
      </c>
      <c r="F114" s="218" t="s">
        <v>18</v>
      </c>
      <c r="G114" s="222" t="s">
        <v>18</v>
      </c>
      <c r="H114" s="222" t="s">
        <v>18</v>
      </c>
      <c r="I114" s="222" t="s">
        <v>18</v>
      </c>
      <c r="J114" s="102" t="s">
        <v>18</v>
      </c>
      <c r="K114" s="218" t="s">
        <v>18</v>
      </c>
      <c r="L114" s="218" t="s">
        <v>18</v>
      </c>
      <c r="M114" s="218" t="s">
        <v>18</v>
      </c>
      <c r="N114" s="218" t="s">
        <v>18</v>
      </c>
      <c r="O114" s="218" t="s">
        <v>18</v>
      </c>
      <c r="P114" s="222" t="s">
        <v>18</v>
      </c>
      <c r="Q114" s="222" t="s">
        <v>18</v>
      </c>
      <c r="R114" s="609" t="s">
        <v>18</v>
      </c>
      <c r="S114" s="420"/>
      <c r="T114" s="421"/>
      <c r="U114" s="422"/>
      <c r="V114" s="423"/>
      <c r="W114" s="421"/>
      <c r="X114" s="421"/>
      <c r="Y114" s="421"/>
      <c r="Z114" s="421"/>
      <c r="AA114" s="421"/>
      <c r="AB114" s="411"/>
      <c r="AC114" s="411"/>
      <c r="AD114" s="411"/>
      <c r="AE114" s="102" t="s">
        <v>18</v>
      </c>
      <c r="AF114" s="102" t="s">
        <v>18</v>
      </c>
      <c r="AG114" s="102" t="s">
        <v>18</v>
      </c>
      <c r="AH114" s="102" t="s">
        <v>18</v>
      </c>
      <c r="AI114" s="102" t="s">
        <v>18</v>
      </c>
      <c r="AJ114" s="102" t="s">
        <v>18</v>
      </c>
      <c r="AK114" s="102" t="s">
        <v>18</v>
      </c>
      <c r="AL114" s="102" t="s">
        <v>18</v>
      </c>
      <c r="AM114" s="102" t="s">
        <v>18</v>
      </c>
      <c r="AN114" s="102" t="s">
        <v>18</v>
      </c>
      <c r="AO114" s="102" t="s">
        <v>18</v>
      </c>
      <c r="AP114" s="102" t="s">
        <v>18</v>
      </c>
      <c r="AQ114" s="102" t="str">
        <f t="shared" si="3"/>
        <v/>
      </c>
    </row>
    <row r="115" spans="1:43" s="102" customFormat="1" ht="12" customHeight="1">
      <c r="A115" s="117">
        <v>17</v>
      </c>
      <c r="B115" s="102" t="s">
        <v>259</v>
      </c>
      <c r="C115" s="206" t="s">
        <v>18</v>
      </c>
      <c r="D115" s="222" t="s">
        <v>18</v>
      </c>
      <c r="E115" s="222" t="s">
        <v>18</v>
      </c>
      <c r="F115" s="218" t="s">
        <v>18</v>
      </c>
      <c r="G115" s="222" t="s">
        <v>18</v>
      </c>
      <c r="H115" s="222" t="s">
        <v>18</v>
      </c>
      <c r="I115" s="222" t="s">
        <v>18</v>
      </c>
      <c r="J115" s="102" t="s">
        <v>18</v>
      </c>
      <c r="K115" s="218" t="s">
        <v>18</v>
      </c>
      <c r="L115" s="218" t="s">
        <v>18</v>
      </c>
      <c r="M115" s="218" t="s">
        <v>18</v>
      </c>
      <c r="N115" s="218" t="s">
        <v>18</v>
      </c>
      <c r="O115" s="218" t="s">
        <v>18</v>
      </c>
      <c r="P115" s="222" t="s">
        <v>18</v>
      </c>
      <c r="Q115" s="222" t="s">
        <v>18</v>
      </c>
      <c r="R115" s="609" t="s">
        <v>18</v>
      </c>
      <c r="S115" s="420"/>
      <c r="T115" s="421"/>
      <c r="U115" s="422"/>
      <c r="V115" s="423"/>
      <c r="W115" s="421"/>
      <c r="X115" s="421"/>
      <c r="Y115" s="421"/>
      <c r="Z115" s="421"/>
      <c r="AA115" s="421"/>
      <c r="AB115" s="411"/>
      <c r="AC115" s="411"/>
      <c r="AD115" s="411"/>
      <c r="AE115" s="102" t="s">
        <v>18</v>
      </c>
      <c r="AF115" s="102" t="s">
        <v>18</v>
      </c>
      <c r="AG115" s="102" t="s">
        <v>18</v>
      </c>
      <c r="AH115" s="102" t="s">
        <v>18</v>
      </c>
      <c r="AI115" s="102" t="s">
        <v>18</v>
      </c>
      <c r="AJ115" s="102" t="s">
        <v>18</v>
      </c>
      <c r="AK115" s="102" t="s">
        <v>18</v>
      </c>
      <c r="AL115" s="102" t="s">
        <v>18</v>
      </c>
      <c r="AM115" s="102" t="s">
        <v>18</v>
      </c>
      <c r="AN115" s="102" t="s">
        <v>18</v>
      </c>
      <c r="AO115" s="102" t="s">
        <v>18</v>
      </c>
      <c r="AP115" s="102" t="s">
        <v>18</v>
      </c>
      <c r="AQ115" s="102" t="str">
        <f t="shared" si="3"/>
        <v/>
      </c>
    </row>
    <row r="116" spans="1:43" s="102" customFormat="1" ht="12">
      <c r="A116" s="117">
        <v>17</v>
      </c>
      <c r="B116" s="102" t="s">
        <v>259</v>
      </c>
      <c r="C116" s="206" t="s">
        <v>435</v>
      </c>
      <c r="D116" s="222">
        <v>13.9</v>
      </c>
      <c r="E116" s="222">
        <v>11.03</v>
      </c>
      <c r="F116" s="218">
        <v>107</v>
      </c>
      <c r="G116" s="222">
        <v>8.1</v>
      </c>
      <c r="H116" s="222">
        <v>8.3000000000000007</v>
      </c>
      <c r="I116" s="222">
        <v>40.9</v>
      </c>
      <c r="J116" s="102">
        <v>1.45</v>
      </c>
      <c r="K116" s="218">
        <v>13</v>
      </c>
      <c r="L116" s="218">
        <v>110</v>
      </c>
      <c r="M116" s="218">
        <v>770</v>
      </c>
      <c r="N116" s="218" t="s">
        <v>148</v>
      </c>
      <c r="O116" s="218">
        <v>1400</v>
      </c>
      <c r="P116" s="222" t="s">
        <v>18</v>
      </c>
      <c r="Q116" s="222" t="s">
        <v>18</v>
      </c>
      <c r="R116" s="609" t="s">
        <v>18</v>
      </c>
      <c r="S116" s="420"/>
      <c r="T116" s="421"/>
      <c r="U116" s="422"/>
      <c r="V116" s="423"/>
      <c r="W116" s="421"/>
      <c r="X116" s="421"/>
      <c r="Y116" s="421"/>
      <c r="Z116" s="421"/>
      <c r="AA116" s="421"/>
      <c r="AB116" s="411"/>
      <c r="AC116" s="411"/>
      <c r="AD116" s="411"/>
      <c r="AE116" s="102">
        <v>13.9</v>
      </c>
      <c r="AF116" s="102">
        <v>11.03</v>
      </c>
      <c r="AG116" s="102">
        <v>107</v>
      </c>
      <c r="AH116" s="102">
        <v>8.1</v>
      </c>
      <c r="AI116" s="102">
        <v>8.3000000000000007</v>
      </c>
      <c r="AJ116" s="102">
        <v>40.9</v>
      </c>
      <c r="AK116" s="102">
        <v>1.45</v>
      </c>
      <c r="AL116" s="102">
        <v>13</v>
      </c>
      <c r="AM116" s="102">
        <v>110</v>
      </c>
      <c r="AN116" s="102">
        <v>770</v>
      </c>
      <c r="AO116" s="102">
        <v>10</v>
      </c>
      <c r="AP116" s="102">
        <v>1400</v>
      </c>
      <c r="AQ116" s="102" t="str">
        <f t="shared" si="3"/>
        <v/>
      </c>
    </row>
    <row r="117" spans="1:43" s="102" customFormat="1" ht="12">
      <c r="A117" s="117"/>
      <c r="C117" s="610" t="s">
        <v>150</v>
      </c>
      <c r="D117" s="611">
        <v>9.4250000000000007</v>
      </c>
      <c r="E117" s="611">
        <v>11.992500000000001</v>
      </c>
      <c r="F117" s="612">
        <v>102.75</v>
      </c>
      <c r="G117" s="611">
        <v>7.9749999999999996</v>
      </c>
      <c r="H117" s="611">
        <v>6.2250000000000005</v>
      </c>
      <c r="I117" s="611">
        <v>38.599999999999994</v>
      </c>
      <c r="J117" s="611">
        <v>1.2875000000000001</v>
      </c>
      <c r="K117" s="612">
        <v>19.25</v>
      </c>
      <c r="L117" s="612">
        <v>70.75</v>
      </c>
      <c r="M117" s="612">
        <v>1695</v>
      </c>
      <c r="N117" s="612">
        <v>30.25</v>
      </c>
      <c r="O117" s="612">
        <v>2250</v>
      </c>
      <c r="P117" s="611"/>
      <c r="Q117" s="715"/>
      <c r="R117" s="307"/>
      <c r="S117" s="420"/>
      <c r="T117" s="421"/>
      <c r="U117" s="422"/>
      <c r="V117" s="423"/>
      <c r="W117" s="421"/>
      <c r="X117" s="421"/>
      <c r="Y117" s="421"/>
      <c r="Z117" s="421"/>
      <c r="AA117" s="421"/>
      <c r="AB117" s="411"/>
      <c r="AC117" s="411"/>
      <c r="AD117" s="411"/>
      <c r="AE117" s="102">
        <v>9.4250000000000007</v>
      </c>
      <c r="AF117" s="102">
        <v>11.992500000000001</v>
      </c>
      <c r="AG117" s="102">
        <v>102.75</v>
      </c>
      <c r="AH117" s="102">
        <v>7.9749999999999996</v>
      </c>
      <c r="AI117" s="102">
        <v>6.2250000000000005</v>
      </c>
      <c r="AJ117" s="102">
        <v>38.599999999999994</v>
      </c>
      <c r="AK117" s="102">
        <v>1.2875000000000001</v>
      </c>
      <c r="AL117" s="102">
        <v>19.25</v>
      </c>
      <c r="AM117" s="102">
        <v>70.75</v>
      </c>
      <c r="AN117" s="102">
        <v>1695</v>
      </c>
      <c r="AO117" s="102">
        <v>30.25</v>
      </c>
      <c r="AP117" s="102">
        <v>2250</v>
      </c>
      <c r="AQ117" s="102">
        <f t="shared" si="3"/>
        <v>0</v>
      </c>
    </row>
    <row r="118" spans="1:43" s="102" customFormat="1" ht="12">
      <c r="A118" s="117"/>
      <c r="C118" s="613" t="s">
        <v>151</v>
      </c>
      <c r="D118" s="614">
        <v>18.8</v>
      </c>
      <c r="E118" s="614">
        <v>13.88</v>
      </c>
      <c r="F118" s="615">
        <v>107</v>
      </c>
      <c r="G118" s="614">
        <v>8.1</v>
      </c>
      <c r="H118" s="614">
        <v>9.5</v>
      </c>
      <c r="I118" s="614">
        <v>40.9</v>
      </c>
      <c r="J118" s="614">
        <v>1.45</v>
      </c>
      <c r="K118" s="615">
        <v>33</v>
      </c>
      <c r="L118" s="615">
        <v>110</v>
      </c>
      <c r="M118" s="615">
        <v>3900</v>
      </c>
      <c r="N118" s="615">
        <v>71</v>
      </c>
      <c r="O118" s="615">
        <v>4700</v>
      </c>
      <c r="P118" s="614"/>
      <c r="Q118" s="716"/>
      <c r="R118" s="307"/>
      <c r="S118" s="420"/>
      <c r="T118" s="421"/>
      <c r="U118" s="422"/>
      <c r="V118" s="423"/>
      <c r="W118" s="421"/>
      <c r="X118" s="421"/>
      <c r="Y118" s="421"/>
      <c r="Z118" s="421"/>
      <c r="AA118" s="421"/>
      <c r="AB118" s="411"/>
      <c r="AC118" s="411"/>
      <c r="AD118" s="411"/>
      <c r="AE118" s="102">
        <v>18.8</v>
      </c>
      <c r="AF118" s="102">
        <v>13.88</v>
      </c>
      <c r="AG118" s="102">
        <v>107</v>
      </c>
      <c r="AH118" s="102">
        <v>8.1</v>
      </c>
      <c r="AI118" s="102">
        <v>9.5</v>
      </c>
      <c r="AJ118" s="102">
        <v>40.9</v>
      </c>
      <c r="AK118" s="102">
        <v>1.45</v>
      </c>
      <c r="AL118" s="102">
        <v>33</v>
      </c>
      <c r="AM118" s="102">
        <v>110</v>
      </c>
      <c r="AN118" s="102">
        <v>3900</v>
      </c>
      <c r="AO118" s="102">
        <v>71</v>
      </c>
      <c r="AP118" s="102">
        <v>4700</v>
      </c>
      <c r="AQ118" s="102">
        <f t="shared" si="3"/>
        <v>0</v>
      </c>
    </row>
    <row r="119" spans="1:43" s="102" customFormat="1" ht="12">
      <c r="A119" s="117"/>
      <c r="C119" s="616" t="s">
        <v>152</v>
      </c>
      <c r="D119" s="617">
        <v>2.2000000000000002</v>
      </c>
      <c r="E119" s="617">
        <v>9.49</v>
      </c>
      <c r="F119" s="618">
        <v>99</v>
      </c>
      <c r="G119" s="617">
        <v>7.8</v>
      </c>
      <c r="H119" s="617">
        <v>3.3</v>
      </c>
      <c r="I119" s="617">
        <v>36.9</v>
      </c>
      <c r="J119" s="617">
        <v>1.1000000000000001</v>
      </c>
      <c r="K119" s="618">
        <v>13</v>
      </c>
      <c r="L119" s="618">
        <v>35</v>
      </c>
      <c r="M119" s="618">
        <v>710</v>
      </c>
      <c r="N119" s="618">
        <v>10</v>
      </c>
      <c r="O119" s="618">
        <v>1100</v>
      </c>
      <c r="P119" s="617"/>
      <c r="Q119" s="717"/>
      <c r="R119" s="307"/>
      <c r="S119" s="420"/>
      <c r="T119" s="421"/>
      <c r="U119" s="422"/>
      <c r="V119" s="423"/>
      <c r="W119" s="421"/>
      <c r="X119" s="421"/>
      <c r="Y119" s="421"/>
      <c r="Z119" s="421"/>
      <c r="AA119" s="421"/>
      <c r="AB119" s="411"/>
      <c r="AC119" s="411"/>
      <c r="AD119" s="411"/>
      <c r="AE119" s="102">
        <v>2.2000000000000002</v>
      </c>
      <c r="AF119" s="102">
        <v>9.49</v>
      </c>
      <c r="AG119" s="102">
        <v>99</v>
      </c>
      <c r="AH119" s="102">
        <v>7.8</v>
      </c>
      <c r="AI119" s="102">
        <v>3.3</v>
      </c>
      <c r="AJ119" s="102">
        <v>36.9</v>
      </c>
      <c r="AK119" s="102">
        <v>1.1000000000000001</v>
      </c>
      <c r="AL119" s="102">
        <v>13</v>
      </c>
      <c r="AM119" s="102">
        <v>35</v>
      </c>
      <c r="AN119" s="102">
        <v>710</v>
      </c>
      <c r="AO119" s="102">
        <v>10</v>
      </c>
      <c r="AP119" s="102">
        <v>1100</v>
      </c>
      <c r="AQ119" s="102">
        <f t="shared" si="3"/>
        <v>0</v>
      </c>
    </row>
    <row r="120" spans="1:43" s="102" customFormat="1" ht="12">
      <c r="A120" s="117"/>
      <c r="B120" s="411"/>
      <c r="C120" s="619"/>
      <c r="D120" s="620"/>
      <c r="E120" s="620"/>
      <c r="F120" s="621"/>
      <c r="G120" s="620"/>
      <c r="H120" s="620"/>
      <c r="I120" s="620"/>
      <c r="J120" s="622"/>
      <c r="K120" s="622"/>
      <c r="L120" s="622"/>
      <c r="M120" s="622"/>
      <c r="N120" s="622"/>
      <c r="O120" s="622"/>
      <c r="P120" s="620"/>
      <c r="Q120" s="620"/>
      <c r="R120" s="387"/>
      <c r="S120" s="420"/>
      <c r="T120" s="421"/>
      <c r="U120" s="422"/>
      <c r="V120" s="423"/>
      <c r="W120" s="421"/>
      <c r="X120" s="421"/>
      <c r="Y120" s="421"/>
      <c r="Z120" s="421"/>
      <c r="AA120" s="421"/>
      <c r="AB120" s="411"/>
      <c r="AC120" s="411"/>
      <c r="AD120" s="411"/>
      <c r="AE120" s="102">
        <v>0</v>
      </c>
      <c r="AF120" s="102">
        <v>0</v>
      </c>
      <c r="AG120" s="102">
        <v>0</v>
      </c>
      <c r="AH120" s="102">
        <v>0</v>
      </c>
      <c r="AI120" s="102">
        <v>0</v>
      </c>
      <c r="AJ120" s="102">
        <v>0</v>
      </c>
      <c r="AK120" s="102">
        <v>0</v>
      </c>
      <c r="AL120" s="102">
        <v>0</v>
      </c>
      <c r="AM120" s="102">
        <v>0</v>
      </c>
      <c r="AN120" s="102">
        <v>0</v>
      </c>
      <c r="AO120" s="102">
        <v>0</v>
      </c>
      <c r="AP120" s="102">
        <v>0</v>
      </c>
      <c r="AQ120" s="102">
        <f t="shared" si="3"/>
        <v>0</v>
      </c>
    </row>
    <row r="121" spans="1:43" s="102" customFormat="1" ht="12" customHeight="1">
      <c r="A121" s="117">
        <v>18</v>
      </c>
      <c r="B121" s="102" t="s">
        <v>266</v>
      </c>
      <c r="C121" s="206">
        <v>45670</v>
      </c>
      <c r="D121" s="222">
        <v>0.4</v>
      </c>
      <c r="E121" s="222">
        <v>14.05</v>
      </c>
      <c r="F121" s="218">
        <v>97</v>
      </c>
      <c r="G121" s="222">
        <v>8.1999999999999993</v>
      </c>
      <c r="H121" s="222">
        <v>2.6</v>
      </c>
      <c r="I121" s="222">
        <v>52</v>
      </c>
      <c r="J121" s="102">
        <v>1.1000000000000001</v>
      </c>
      <c r="K121" s="218">
        <v>25</v>
      </c>
      <c r="L121" s="218">
        <v>41</v>
      </c>
      <c r="M121" s="218">
        <v>8100</v>
      </c>
      <c r="N121" s="218">
        <v>19</v>
      </c>
      <c r="O121" s="218">
        <v>8100</v>
      </c>
      <c r="P121" s="222" t="s">
        <v>18</v>
      </c>
      <c r="Q121" s="222" t="s">
        <v>18</v>
      </c>
      <c r="R121" s="609" t="s">
        <v>18</v>
      </c>
      <c r="S121" s="426"/>
      <c r="T121" s="427"/>
      <c r="U121" s="422"/>
      <c r="V121" s="423"/>
      <c r="W121" s="424"/>
      <c r="X121" s="425"/>
      <c r="Y121" s="425"/>
      <c r="Z121" s="424"/>
      <c r="AA121" s="425"/>
      <c r="AB121" s="425"/>
      <c r="AC121" s="425"/>
      <c r="AD121" s="411"/>
      <c r="AE121" s="102">
        <v>0.4</v>
      </c>
      <c r="AF121" s="102">
        <v>14.05</v>
      </c>
      <c r="AG121" s="102">
        <v>97</v>
      </c>
      <c r="AH121" s="102">
        <v>8.1999999999999993</v>
      </c>
      <c r="AI121" s="102">
        <v>2.6</v>
      </c>
      <c r="AJ121" s="102">
        <v>52</v>
      </c>
      <c r="AK121" s="102">
        <v>1.1000000000000001</v>
      </c>
      <c r="AL121" s="102">
        <v>25</v>
      </c>
      <c r="AM121" s="102">
        <v>41</v>
      </c>
      <c r="AN121" s="102">
        <v>8100</v>
      </c>
      <c r="AO121" s="102">
        <v>19</v>
      </c>
      <c r="AP121" s="102">
        <v>8100</v>
      </c>
      <c r="AQ121" s="102" t="str">
        <f t="shared" si="3"/>
        <v/>
      </c>
    </row>
    <row r="122" spans="1:43" s="102" customFormat="1" ht="12" customHeight="1">
      <c r="A122" s="117">
        <v>18</v>
      </c>
      <c r="B122" s="102" t="s">
        <v>266</v>
      </c>
      <c r="C122" s="206">
        <v>45728</v>
      </c>
      <c r="D122" s="222">
        <v>4.5999999999999996</v>
      </c>
      <c r="E122" s="222">
        <v>13.39</v>
      </c>
      <c r="F122" s="218">
        <v>104</v>
      </c>
      <c r="G122" s="222">
        <v>8.4</v>
      </c>
      <c r="H122" s="222">
        <v>1.5</v>
      </c>
      <c r="I122" s="222">
        <v>57.4</v>
      </c>
      <c r="J122" s="102">
        <v>1.5</v>
      </c>
      <c r="K122" s="218">
        <v>12</v>
      </c>
      <c r="L122" s="218">
        <v>20</v>
      </c>
      <c r="M122" s="218">
        <v>4300</v>
      </c>
      <c r="N122" s="218" t="s">
        <v>148</v>
      </c>
      <c r="O122" s="218">
        <v>5000</v>
      </c>
      <c r="P122" s="222" t="s">
        <v>18</v>
      </c>
      <c r="Q122" s="222" t="s">
        <v>18</v>
      </c>
      <c r="R122" s="609" t="s">
        <v>18</v>
      </c>
      <c r="S122" s="429"/>
      <c r="T122" s="430"/>
      <c r="U122" s="422"/>
      <c r="V122" s="423"/>
      <c r="W122" s="431"/>
      <c r="X122" s="432"/>
      <c r="Y122" s="421"/>
      <c r="Z122" s="421"/>
      <c r="AA122" s="421"/>
      <c r="AB122" s="411"/>
      <c r="AC122" s="411"/>
      <c r="AD122" s="411"/>
      <c r="AE122" s="102">
        <v>4.5999999999999996</v>
      </c>
      <c r="AF122" s="102">
        <v>13.39</v>
      </c>
      <c r="AG122" s="102">
        <v>104</v>
      </c>
      <c r="AH122" s="102">
        <v>8.4</v>
      </c>
      <c r="AI122" s="102">
        <v>1.5</v>
      </c>
      <c r="AJ122" s="102">
        <v>57.4</v>
      </c>
      <c r="AK122" s="102">
        <v>1.5</v>
      </c>
      <c r="AL122" s="102">
        <v>12</v>
      </c>
      <c r="AM122" s="102">
        <v>20</v>
      </c>
      <c r="AN122" s="102">
        <v>4300</v>
      </c>
      <c r="AO122" s="102">
        <v>10</v>
      </c>
      <c r="AP122" s="102">
        <v>5000</v>
      </c>
      <c r="AQ122" s="102" t="str">
        <f t="shared" si="3"/>
        <v/>
      </c>
    </row>
    <row r="123" spans="1:43" s="102" customFormat="1" ht="12" customHeight="1">
      <c r="A123" s="117">
        <v>18</v>
      </c>
      <c r="B123" s="102" t="s">
        <v>266</v>
      </c>
      <c r="C123" s="206">
        <v>45848</v>
      </c>
      <c r="D123" s="222">
        <v>15.7</v>
      </c>
      <c r="E123" s="222">
        <v>9.7799999999999994</v>
      </c>
      <c r="F123" s="218">
        <v>99</v>
      </c>
      <c r="G123" s="222">
        <v>8.1</v>
      </c>
      <c r="H123" s="222">
        <v>18</v>
      </c>
      <c r="I123" s="222">
        <v>36.9</v>
      </c>
      <c r="J123" s="102">
        <v>2.8</v>
      </c>
      <c r="K123" s="218">
        <v>120</v>
      </c>
      <c r="L123" s="218">
        <v>190</v>
      </c>
      <c r="M123" s="218">
        <v>4700</v>
      </c>
      <c r="N123" s="218">
        <v>16</v>
      </c>
      <c r="O123" s="218">
        <v>5000</v>
      </c>
      <c r="P123" s="222" t="s">
        <v>18</v>
      </c>
      <c r="Q123" s="222" t="s">
        <v>18</v>
      </c>
      <c r="R123" s="609" t="s">
        <v>18</v>
      </c>
      <c r="S123" s="420"/>
      <c r="T123" s="421"/>
      <c r="U123" s="422"/>
      <c r="V123" s="423"/>
      <c r="W123" s="421"/>
      <c r="X123" s="421"/>
      <c r="Y123" s="421"/>
      <c r="Z123" s="421"/>
      <c r="AA123" s="421"/>
      <c r="AB123" s="411"/>
      <c r="AC123" s="411"/>
      <c r="AD123" s="411"/>
      <c r="AE123" s="102">
        <v>15.7</v>
      </c>
      <c r="AF123" s="102">
        <v>9.7799999999999994</v>
      </c>
      <c r="AG123" s="102">
        <v>99</v>
      </c>
      <c r="AH123" s="102">
        <v>8.1</v>
      </c>
      <c r="AI123" s="102">
        <v>18</v>
      </c>
      <c r="AJ123" s="102">
        <v>36.9</v>
      </c>
      <c r="AK123" s="102">
        <v>2.8</v>
      </c>
      <c r="AL123" s="102">
        <v>120</v>
      </c>
      <c r="AM123" s="102">
        <v>190</v>
      </c>
      <c r="AN123" s="102">
        <v>4700</v>
      </c>
      <c r="AO123" s="102">
        <v>16</v>
      </c>
      <c r="AP123" s="102">
        <v>5000</v>
      </c>
      <c r="AQ123" s="102" t="str">
        <f t="shared" si="3"/>
        <v/>
      </c>
    </row>
    <row r="124" spans="1:43" s="102" customFormat="1" ht="12" customHeight="1">
      <c r="A124" s="117">
        <v>18</v>
      </c>
      <c r="B124" s="102" t="s">
        <v>266</v>
      </c>
      <c r="C124" s="206" t="s">
        <v>18</v>
      </c>
      <c r="D124" s="222" t="s">
        <v>18</v>
      </c>
      <c r="E124" s="222" t="s">
        <v>18</v>
      </c>
      <c r="F124" s="218" t="s">
        <v>18</v>
      </c>
      <c r="G124" s="222" t="s">
        <v>18</v>
      </c>
      <c r="H124" s="222" t="s">
        <v>18</v>
      </c>
      <c r="I124" s="222" t="s">
        <v>18</v>
      </c>
      <c r="J124" s="102" t="s">
        <v>18</v>
      </c>
      <c r="K124" s="218" t="s">
        <v>18</v>
      </c>
      <c r="L124" s="218" t="s">
        <v>18</v>
      </c>
      <c r="M124" s="218" t="s">
        <v>18</v>
      </c>
      <c r="N124" s="218" t="s">
        <v>18</v>
      </c>
      <c r="O124" s="218" t="s">
        <v>18</v>
      </c>
      <c r="P124" s="222" t="s">
        <v>18</v>
      </c>
      <c r="Q124" s="222" t="s">
        <v>18</v>
      </c>
      <c r="R124" s="609" t="s">
        <v>18</v>
      </c>
      <c r="S124" s="420"/>
      <c r="T124" s="421"/>
      <c r="U124" s="422"/>
      <c r="V124" s="423"/>
      <c r="W124" s="421"/>
      <c r="X124" s="421"/>
      <c r="Y124" s="421"/>
      <c r="Z124" s="421"/>
      <c r="AA124" s="421"/>
      <c r="AB124" s="411"/>
      <c r="AC124" s="411"/>
      <c r="AD124" s="411"/>
      <c r="AE124" s="102" t="s">
        <v>18</v>
      </c>
      <c r="AF124" s="102" t="s">
        <v>18</v>
      </c>
      <c r="AG124" s="102" t="s">
        <v>18</v>
      </c>
      <c r="AH124" s="102" t="s">
        <v>18</v>
      </c>
      <c r="AI124" s="102" t="s">
        <v>18</v>
      </c>
      <c r="AJ124" s="102" t="s">
        <v>18</v>
      </c>
      <c r="AK124" s="102" t="s">
        <v>18</v>
      </c>
      <c r="AL124" s="102" t="s">
        <v>18</v>
      </c>
      <c r="AM124" s="102" t="s">
        <v>18</v>
      </c>
      <c r="AN124" s="102" t="s">
        <v>18</v>
      </c>
      <c r="AO124" s="102" t="s">
        <v>18</v>
      </c>
      <c r="AP124" s="102" t="s">
        <v>18</v>
      </c>
      <c r="AQ124" s="102" t="str">
        <f t="shared" si="3"/>
        <v/>
      </c>
    </row>
    <row r="125" spans="1:43" s="102" customFormat="1" ht="12" customHeight="1">
      <c r="A125" s="117">
        <v>18</v>
      </c>
      <c r="B125" s="102" t="s">
        <v>266</v>
      </c>
      <c r="C125" s="206" t="s">
        <v>18</v>
      </c>
      <c r="D125" s="222" t="s">
        <v>18</v>
      </c>
      <c r="E125" s="222" t="s">
        <v>18</v>
      </c>
      <c r="F125" s="218" t="s">
        <v>18</v>
      </c>
      <c r="G125" s="222" t="s">
        <v>18</v>
      </c>
      <c r="H125" s="222" t="s">
        <v>18</v>
      </c>
      <c r="I125" s="222" t="s">
        <v>18</v>
      </c>
      <c r="J125" s="102" t="s">
        <v>18</v>
      </c>
      <c r="K125" s="218" t="s">
        <v>18</v>
      </c>
      <c r="L125" s="218" t="s">
        <v>18</v>
      </c>
      <c r="M125" s="218" t="s">
        <v>18</v>
      </c>
      <c r="N125" s="218" t="s">
        <v>18</v>
      </c>
      <c r="O125" s="218" t="s">
        <v>18</v>
      </c>
      <c r="P125" s="222" t="s">
        <v>18</v>
      </c>
      <c r="Q125" s="222" t="s">
        <v>18</v>
      </c>
      <c r="R125" s="609" t="s">
        <v>18</v>
      </c>
      <c r="S125" s="420"/>
      <c r="T125" s="421"/>
      <c r="U125" s="422"/>
      <c r="V125" s="423"/>
      <c r="W125" s="421"/>
      <c r="X125" s="421"/>
      <c r="Y125" s="421"/>
      <c r="Z125" s="421"/>
      <c r="AA125" s="421"/>
      <c r="AB125" s="411"/>
      <c r="AC125" s="411"/>
      <c r="AD125" s="411"/>
      <c r="AE125" s="102" t="s">
        <v>18</v>
      </c>
      <c r="AF125" s="102" t="s">
        <v>18</v>
      </c>
      <c r="AG125" s="102" t="s">
        <v>18</v>
      </c>
      <c r="AH125" s="102" t="s">
        <v>18</v>
      </c>
      <c r="AI125" s="102" t="s">
        <v>18</v>
      </c>
      <c r="AJ125" s="102" t="s">
        <v>18</v>
      </c>
      <c r="AK125" s="102" t="s">
        <v>18</v>
      </c>
      <c r="AL125" s="102" t="s">
        <v>18</v>
      </c>
      <c r="AM125" s="102" t="s">
        <v>18</v>
      </c>
      <c r="AN125" s="102" t="s">
        <v>18</v>
      </c>
      <c r="AO125" s="102" t="s">
        <v>18</v>
      </c>
      <c r="AP125" s="102" t="s">
        <v>18</v>
      </c>
      <c r="AQ125" s="102" t="str">
        <f t="shared" si="3"/>
        <v/>
      </c>
    </row>
    <row r="126" spans="1:43" s="102" customFormat="1" ht="12">
      <c r="A126" s="117">
        <v>18</v>
      </c>
      <c r="B126" s="102" t="s">
        <v>266</v>
      </c>
      <c r="C126" s="206" t="s">
        <v>436</v>
      </c>
      <c r="D126" s="222">
        <v>10.199999999999999</v>
      </c>
      <c r="E126" s="222">
        <v>11.53</v>
      </c>
      <c r="F126" s="218">
        <v>103</v>
      </c>
      <c r="G126" s="222">
        <v>8.3000000000000007</v>
      </c>
      <c r="H126" s="222">
        <v>4.3</v>
      </c>
      <c r="I126" s="222">
        <v>55</v>
      </c>
      <c r="J126" s="102">
        <v>1.4</v>
      </c>
      <c r="K126" s="218">
        <v>26</v>
      </c>
      <c r="L126" s="218">
        <v>58</v>
      </c>
      <c r="M126" s="218">
        <v>1100</v>
      </c>
      <c r="N126" s="218" t="s">
        <v>148</v>
      </c>
      <c r="O126" s="218">
        <v>1800</v>
      </c>
      <c r="P126" s="222" t="s">
        <v>18</v>
      </c>
      <c r="Q126" s="222" t="s">
        <v>18</v>
      </c>
      <c r="R126" s="609" t="s">
        <v>18</v>
      </c>
      <c r="S126" s="420"/>
      <c r="T126" s="421"/>
      <c r="U126" s="422"/>
      <c r="V126" s="423"/>
      <c r="W126" s="421"/>
      <c r="X126" s="421"/>
      <c r="Y126" s="421"/>
      <c r="Z126" s="421"/>
      <c r="AA126" s="421"/>
      <c r="AB126" s="411"/>
      <c r="AC126" s="411"/>
      <c r="AD126" s="411"/>
      <c r="AE126" s="102">
        <v>10.199999999999999</v>
      </c>
      <c r="AF126" s="102">
        <v>11.53</v>
      </c>
      <c r="AG126" s="102">
        <v>103</v>
      </c>
      <c r="AH126" s="102">
        <v>8.3000000000000007</v>
      </c>
      <c r="AI126" s="102">
        <v>4.3</v>
      </c>
      <c r="AJ126" s="102">
        <v>55</v>
      </c>
      <c r="AK126" s="102">
        <v>1.4</v>
      </c>
      <c r="AL126" s="102">
        <v>26</v>
      </c>
      <c r="AM126" s="102">
        <v>58</v>
      </c>
      <c r="AN126" s="102">
        <v>1100</v>
      </c>
      <c r="AO126" s="102">
        <v>10</v>
      </c>
      <c r="AP126" s="102">
        <v>1800</v>
      </c>
      <c r="AQ126" s="102" t="str">
        <f t="shared" si="3"/>
        <v/>
      </c>
    </row>
    <row r="127" spans="1:43" s="102" customFormat="1" ht="12">
      <c r="A127" s="117"/>
      <c r="C127" s="610" t="s">
        <v>150</v>
      </c>
      <c r="D127" s="611">
        <v>7.7249999999999996</v>
      </c>
      <c r="E127" s="611">
        <v>12.1875</v>
      </c>
      <c r="F127" s="612">
        <v>100.75</v>
      </c>
      <c r="G127" s="611">
        <v>8.25</v>
      </c>
      <c r="H127" s="611">
        <v>6.6000000000000005</v>
      </c>
      <c r="I127" s="611">
        <v>50.325000000000003</v>
      </c>
      <c r="J127" s="611">
        <v>1.7000000000000002</v>
      </c>
      <c r="K127" s="612">
        <v>45.75</v>
      </c>
      <c r="L127" s="612">
        <v>77.25</v>
      </c>
      <c r="M127" s="612">
        <v>4550</v>
      </c>
      <c r="N127" s="612">
        <v>13.75</v>
      </c>
      <c r="O127" s="612">
        <v>4975</v>
      </c>
      <c r="P127" s="611"/>
      <c r="Q127" s="715"/>
      <c r="R127" s="307"/>
      <c r="S127" s="420"/>
      <c r="T127" s="421"/>
      <c r="U127" s="422"/>
      <c r="V127" s="423"/>
      <c r="W127" s="421"/>
      <c r="X127" s="421"/>
      <c r="Y127" s="421"/>
      <c r="Z127" s="421"/>
      <c r="AA127" s="421"/>
      <c r="AB127" s="411"/>
      <c r="AC127" s="411"/>
      <c r="AD127" s="411"/>
      <c r="AE127" s="102">
        <v>7.7249999999999996</v>
      </c>
      <c r="AF127" s="102">
        <v>12.1875</v>
      </c>
      <c r="AG127" s="102">
        <v>100.75</v>
      </c>
      <c r="AH127" s="102">
        <v>8.25</v>
      </c>
      <c r="AI127" s="102">
        <v>6.6000000000000005</v>
      </c>
      <c r="AJ127" s="102">
        <v>50.325000000000003</v>
      </c>
      <c r="AK127" s="102">
        <v>1.7000000000000002</v>
      </c>
      <c r="AL127" s="102">
        <v>45.75</v>
      </c>
      <c r="AM127" s="102">
        <v>77.25</v>
      </c>
      <c r="AN127" s="102">
        <v>4550</v>
      </c>
      <c r="AO127" s="102">
        <v>13.75</v>
      </c>
      <c r="AP127" s="102">
        <v>4975</v>
      </c>
      <c r="AQ127" s="102">
        <f t="shared" si="3"/>
        <v>0</v>
      </c>
    </row>
    <row r="128" spans="1:43" s="102" customFormat="1" ht="12">
      <c r="A128" s="117"/>
      <c r="C128" s="613" t="s">
        <v>151</v>
      </c>
      <c r="D128" s="614">
        <v>15.7</v>
      </c>
      <c r="E128" s="614">
        <v>14.05</v>
      </c>
      <c r="F128" s="615">
        <v>104</v>
      </c>
      <c r="G128" s="614">
        <v>8.4</v>
      </c>
      <c r="H128" s="614">
        <v>18</v>
      </c>
      <c r="I128" s="614">
        <v>57.4</v>
      </c>
      <c r="J128" s="614">
        <v>2.8</v>
      </c>
      <c r="K128" s="615">
        <v>120</v>
      </c>
      <c r="L128" s="615">
        <v>190</v>
      </c>
      <c r="M128" s="615">
        <v>8100</v>
      </c>
      <c r="N128" s="615">
        <v>19</v>
      </c>
      <c r="O128" s="615">
        <v>8100</v>
      </c>
      <c r="P128" s="614"/>
      <c r="Q128" s="716"/>
      <c r="R128" s="307"/>
      <c r="S128" s="420"/>
      <c r="T128" s="421"/>
      <c r="U128" s="422"/>
      <c r="V128" s="423"/>
      <c r="W128" s="421"/>
      <c r="X128" s="421"/>
      <c r="Y128" s="421"/>
      <c r="Z128" s="421"/>
      <c r="AA128" s="421"/>
      <c r="AB128" s="411"/>
      <c r="AC128" s="411"/>
      <c r="AD128" s="411"/>
      <c r="AE128" s="102">
        <v>15.7</v>
      </c>
      <c r="AF128" s="102">
        <v>14.05</v>
      </c>
      <c r="AG128" s="102">
        <v>104</v>
      </c>
      <c r="AH128" s="102">
        <v>8.4</v>
      </c>
      <c r="AI128" s="102">
        <v>18</v>
      </c>
      <c r="AJ128" s="102">
        <v>57.4</v>
      </c>
      <c r="AK128" s="102">
        <v>2.8</v>
      </c>
      <c r="AL128" s="102">
        <v>120</v>
      </c>
      <c r="AM128" s="102">
        <v>190</v>
      </c>
      <c r="AN128" s="102">
        <v>8100</v>
      </c>
      <c r="AO128" s="102">
        <v>19</v>
      </c>
      <c r="AP128" s="102">
        <v>8100</v>
      </c>
      <c r="AQ128" s="102">
        <f t="shared" si="3"/>
        <v>0</v>
      </c>
    </row>
    <row r="129" spans="1:43" s="102" customFormat="1" ht="12">
      <c r="A129" s="117"/>
      <c r="C129" s="616" t="s">
        <v>152</v>
      </c>
      <c r="D129" s="617">
        <v>0.4</v>
      </c>
      <c r="E129" s="617">
        <v>9.7799999999999994</v>
      </c>
      <c r="F129" s="618">
        <v>97</v>
      </c>
      <c r="G129" s="617">
        <v>8.1</v>
      </c>
      <c r="H129" s="617">
        <v>1.5</v>
      </c>
      <c r="I129" s="617">
        <v>36.9</v>
      </c>
      <c r="J129" s="617">
        <v>1.1000000000000001</v>
      </c>
      <c r="K129" s="618">
        <v>12</v>
      </c>
      <c r="L129" s="618">
        <v>20</v>
      </c>
      <c r="M129" s="618">
        <v>1100</v>
      </c>
      <c r="N129" s="618">
        <v>10</v>
      </c>
      <c r="O129" s="618">
        <v>1800</v>
      </c>
      <c r="P129" s="617"/>
      <c r="Q129" s="717"/>
      <c r="R129" s="307"/>
      <c r="S129" s="420"/>
      <c r="T129" s="421"/>
      <c r="U129" s="422"/>
      <c r="V129" s="423"/>
      <c r="W129" s="421"/>
      <c r="X129" s="421"/>
      <c r="Y129" s="421"/>
      <c r="Z129" s="421"/>
      <c r="AA129" s="421"/>
      <c r="AB129" s="411"/>
      <c r="AC129" s="411"/>
      <c r="AD129" s="411"/>
      <c r="AE129" s="102">
        <v>0.4</v>
      </c>
      <c r="AF129" s="102">
        <v>9.7799999999999994</v>
      </c>
      <c r="AG129" s="102">
        <v>97</v>
      </c>
      <c r="AH129" s="102">
        <v>8.1</v>
      </c>
      <c r="AI129" s="102">
        <v>1.5</v>
      </c>
      <c r="AJ129" s="102">
        <v>36.9</v>
      </c>
      <c r="AK129" s="102">
        <v>1.1000000000000001</v>
      </c>
      <c r="AL129" s="102">
        <v>12</v>
      </c>
      <c r="AM129" s="102">
        <v>20</v>
      </c>
      <c r="AN129" s="102">
        <v>1100</v>
      </c>
      <c r="AO129" s="102">
        <v>10</v>
      </c>
      <c r="AP129" s="102">
        <v>1800</v>
      </c>
      <c r="AQ129" s="102">
        <f t="shared" si="3"/>
        <v>0</v>
      </c>
    </row>
    <row r="130" spans="1:43" s="102" customFormat="1" ht="12">
      <c r="A130" s="117"/>
      <c r="B130" s="411"/>
      <c r="C130" s="619"/>
      <c r="D130" s="620"/>
      <c r="E130" s="620"/>
      <c r="F130" s="621"/>
      <c r="G130" s="620"/>
      <c r="H130" s="620"/>
      <c r="I130" s="620"/>
      <c r="J130" s="622"/>
      <c r="K130" s="622"/>
      <c r="L130" s="622"/>
      <c r="M130" s="622"/>
      <c r="N130" s="622"/>
      <c r="O130" s="622"/>
      <c r="P130" s="620"/>
      <c r="Q130" s="620"/>
      <c r="R130" s="387"/>
      <c r="S130" s="420"/>
      <c r="T130" s="421"/>
      <c r="U130" s="422"/>
      <c r="V130" s="423"/>
      <c r="W130" s="421"/>
      <c r="X130" s="421"/>
      <c r="Y130" s="421"/>
      <c r="Z130" s="421"/>
      <c r="AA130" s="421"/>
      <c r="AB130" s="411"/>
      <c r="AC130" s="411"/>
      <c r="AD130" s="411"/>
      <c r="AE130" s="102">
        <v>0</v>
      </c>
      <c r="AF130" s="102">
        <v>0</v>
      </c>
      <c r="AG130" s="102">
        <v>0</v>
      </c>
      <c r="AH130" s="102">
        <v>0</v>
      </c>
      <c r="AI130" s="102">
        <v>0</v>
      </c>
      <c r="AJ130" s="102">
        <v>0</v>
      </c>
      <c r="AK130" s="102">
        <v>0</v>
      </c>
      <c r="AL130" s="102">
        <v>0</v>
      </c>
      <c r="AM130" s="102">
        <v>0</v>
      </c>
      <c r="AN130" s="102">
        <v>0</v>
      </c>
      <c r="AO130" s="102">
        <v>0</v>
      </c>
      <c r="AP130" s="102">
        <v>0</v>
      </c>
      <c r="AQ130" s="102">
        <f t="shared" si="3"/>
        <v>0</v>
      </c>
    </row>
    <row r="131" spans="1:43" s="102" customFormat="1" ht="12" customHeight="1">
      <c r="A131" s="118">
        <v>19</v>
      </c>
      <c r="B131" s="102" t="s">
        <v>260</v>
      </c>
      <c r="C131" s="206">
        <v>45671</v>
      </c>
      <c r="D131" s="222">
        <v>3</v>
      </c>
      <c r="E131" s="222">
        <v>13.31</v>
      </c>
      <c r="F131" s="218">
        <v>99</v>
      </c>
      <c r="G131" s="222">
        <v>8</v>
      </c>
      <c r="H131" s="222">
        <v>4.4000000000000004</v>
      </c>
      <c r="I131" s="222">
        <v>54.1</v>
      </c>
      <c r="J131" s="102">
        <v>1.5</v>
      </c>
      <c r="K131" s="218">
        <v>40</v>
      </c>
      <c r="L131" s="218">
        <v>74</v>
      </c>
      <c r="M131" s="218">
        <v>7500</v>
      </c>
      <c r="N131" s="218">
        <v>230</v>
      </c>
      <c r="O131" s="218">
        <v>7800</v>
      </c>
      <c r="P131" s="222" t="s">
        <v>18</v>
      </c>
      <c r="Q131" s="222" t="s">
        <v>18</v>
      </c>
      <c r="R131" s="609" t="s">
        <v>18</v>
      </c>
      <c r="S131" s="421"/>
      <c r="T131" s="411"/>
      <c r="U131" s="423"/>
      <c r="V131" s="423"/>
      <c r="W131" s="424"/>
      <c r="X131" s="425"/>
      <c r="Y131" s="425"/>
      <c r="Z131" s="411"/>
      <c r="AA131" s="411"/>
      <c r="AB131" s="411"/>
      <c r="AC131" s="411"/>
      <c r="AD131" s="411"/>
      <c r="AE131" s="102">
        <v>3</v>
      </c>
      <c r="AF131" s="102">
        <v>13.31</v>
      </c>
      <c r="AG131" s="102">
        <v>99</v>
      </c>
      <c r="AH131" s="102">
        <v>8</v>
      </c>
      <c r="AI131" s="102">
        <v>4.4000000000000004</v>
      </c>
      <c r="AJ131" s="102">
        <v>54.1</v>
      </c>
      <c r="AK131" s="102">
        <v>1.5</v>
      </c>
      <c r="AL131" s="102">
        <v>40</v>
      </c>
      <c r="AM131" s="102">
        <v>74</v>
      </c>
      <c r="AN131" s="102">
        <v>7500</v>
      </c>
      <c r="AO131" s="102">
        <v>230</v>
      </c>
      <c r="AP131" s="102">
        <v>7800</v>
      </c>
      <c r="AQ131" s="102" t="str">
        <f t="shared" si="3"/>
        <v/>
      </c>
    </row>
    <row r="132" spans="1:43" s="102" customFormat="1" ht="12" customHeight="1">
      <c r="A132" s="118">
        <v>19</v>
      </c>
      <c r="B132" s="102" t="s">
        <v>260</v>
      </c>
      <c r="C132" s="206">
        <v>45706</v>
      </c>
      <c r="D132" s="222">
        <v>0.5</v>
      </c>
      <c r="E132" s="222">
        <v>14.71</v>
      </c>
      <c r="F132" s="218">
        <v>102</v>
      </c>
      <c r="G132" s="222">
        <v>8.1</v>
      </c>
      <c r="H132" s="222">
        <v>2.5</v>
      </c>
      <c r="I132" s="222">
        <v>61.4</v>
      </c>
      <c r="J132" s="102">
        <v>1.3</v>
      </c>
      <c r="K132" s="218">
        <v>39</v>
      </c>
      <c r="L132" s="218">
        <v>62</v>
      </c>
      <c r="M132" s="218">
        <v>6400</v>
      </c>
      <c r="N132" s="218">
        <v>120</v>
      </c>
      <c r="O132" s="218">
        <v>7000</v>
      </c>
      <c r="P132" s="222" t="s">
        <v>18</v>
      </c>
      <c r="Q132" s="222" t="s">
        <v>18</v>
      </c>
      <c r="R132" s="609" t="s">
        <v>18</v>
      </c>
      <c r="S132" s="426"/>
      <c r="T132" s="427"/>
      <c r="U132" s="422"/>
      <c r="V132" s="423"/>
      <c r="W132" s="424"/>
      <c r="X132" s="425"/>
      <c r="Y132" s="425"/>
      <c r="Z132" s="424"/>
      <c r="AA132" s="425"/>
      <c r="AB132" s="425"/>
      <c r="AC132" s="425"/>
      <c r="AD132" s="411"/>
      <c r="AE132" s="102">
        <v>0.5</v>
      </c>
      <c r="AF132" s="102">
        <v>14.71</v>
      </c>
      <c r="AG132" s="102">
        <v>102</v>
      </c>
      <c r="AH132" s="102">
        <v>8.1</v>
      </c>
      <c r="AI132" s="102">
        <v>2.5</v>
      </c>
      <c r="AJ132" s="102">
        <v>61.4</v>
      </c>
      <c r="AK132" s="102">
        <v>1.3</v>
      </c>
      <c r="AL132" s="102">
        <v>39</v>
      </c>
      <c r="AM132" s="102">
        <v>62</v>
      </c>
      <c r="AN132" s="102">
        <v>6400</v>
      </c>
      <c r="AO132" s="102">
        <v>120</v>
      </c>
      <c r="AP132" s="102">
        <v>7000</v>
      </c>
      <c r="AQ132" s="102" t="str">
        <f t="shared" si="3"/>
        <v/>
      </c>
    </row>
    <row r="133" spans="1:43" s="102" customFormat="1" ht="12" customHeight="1">
      <c r="A133" s="118">
        <v>19</v>
      </c>
      <c r="B133" s="102" t="s">
        <v>260</v>
      </c>
      <c r="C133" s="206">
        <v>45734</v>
      </c>
      <c r="D133" s="222">
        <v>4.5999999999999996</v>
      </c>
      <c r="E133" s="222">
        <v>17.86</v>
      </c>
      <c r="F133" s="218">
        <v>139</v>
      </c>
      <c r="G133" s="222">
        <v>8.5</v>
      </c>
      <c r="H133" s="222">
        <v>1.4</v>
      </c>
      <c r="I133" s="222">
        <v>55.1</v>
      </c>
      <c r="J133" s="102">
        <v>2.7</v>
      </c>
      <c r="K133" s="218">
        <v>5</v>
      </c>
      <c r="L133" s="218">
        <v>30</v>
      </c>
      <c r="M133" s="218">
        <v>4600</v>
      </c>
      <c r="N133" s="218" t="s">
        <v>148</v>
      </c>
      <c r="O133" s="218">
        <v>4800</v>
      </c>
      <c r="P133" s="222" t="s">
        <v>18</v>
      </c>
      <c r="Q133" s="222" t="s">
        <v>18</v>
      </c>
      <c r="R133" s="609" t="s">
        <v>18</v>
      </c>
      <c r="S133" s="428"/>
      <c r="T133" s="411"/>
      <c r="U133" s="422"/>
      <c r="V133" s="423"/>
      <c r="W133" s="411"/>
      <c r="X133" s="411"/>
      <c r="Y133" s="411"/>
      <c r="Z133" s="411"/>
      <c r="AA133" s="411"/>
      <c r="AB133" s="411"/>
      <c r="AC133" s="411"/>
      <c r="AD133" s="411"/>
      <c r="AE133" s="102">
        <v>4.5999999999999996</v>
      </c>
      <c r="AF133" s="102">
        <v>17.86</v>
      </c>
      <c r="AG133" s="102">
        <v>139</v>
      </c>
      <c r="AH133" s="102">
        <v>8.5</v>
      </c>
      <c r="AI133" s="102">
        <v>1.4</v>
      </c>
      <c r="AJ133" s="102">
        <v>55.1</v>
      </c>
      <c r="AK133" s="102">
        <v>2.7</v>
      </c>
      <c r="AL133" s="102">
        <v>5</v>
      </c>
      <c r="AM133" s="102">
        <v>30</v>
      </c>
      <c r="AN133" s="102">
        <v>4600</v>
      </c>
      <c r="AO133" s="102">
        <v>10</v>
      </c>
      <c r="AP133" s="102">
        <v>4800</v>
      </c>
      <c r="AQ133" s="102" t="str">
        <f t="shared" si="3"/>
        <v/>
      </c>
    </row>
    <row r="134" spans="1:43" s="102" customFormat="1" ht="12" customHeight="1">
      <c r="A134" s="118">
        <v>19</v>
      </c>
      <c r="B134" s="102" t="s">
        <v>260</v>
      </c>
      <c r="C134" s="206">
        <v>45761</v>
      </c>
      <c r="D134" s="222">
        <v>11.3</v>
      </c>
      <c r="E134" s="222">
        <v>10.5</v>
      </c>
      <c r="F134" s="218">
        <v>96</v>
      </c>
      <c r="G134" s="222">
        <v>8.1</v>
      </c>
      <c r="H134" s="222">
        <v>1.4</v>
      </c>
      <c r="I134" s="222">
        <v>70.099999999999994</v>
      </c>
      <c r="J134" s="102">
        <v>2.6</v>
      </c>
      <c r="K134" s="218">
        <v>13</v>
      </c>
      <c r="L134" s="218">
        <v>50</v>
      </c>
      <c r="M134" s="218">
        <v>2300</v>
      </c>
      <c r="N134" s="218">
        <v>26</v>
      </c>
      <c r="O134" s="218">
        <v>3000</v>
      </c>
      <c r="P134" s="222" t="s">
        <v>18</v>
      </c>
      <c r="Q134" s="222" t="s">
        <v>18</v>
      </c>
      <c r="R134" s="609" t="s">
        <v>18</v>
      </c>
      <c r="S134" s="429"/>
      <c r="T134" s="430"/>
      <c r="U134" s="422"/>
      <c r="V134" s="423"/>
      <c r="W134" s="431"/>
      <c r="X134" s="432"/>
      <c r="Y134" s="421"/>
      <c r="Z134" s="421"/>
      <c r="AA134" s="421"/>
      <c r="AB134" s="411"/>
      <c r="AC134" s="411"/>
      <c r="AD134" s="411"/>
      <c r="AE134" s="102">
        <v>11.3</v>
      </c>
      <c r="AF134" s="102">
        <v>10.5</v>
      </c>
      <c r="AG134" s="102">
        <v>96</v>
      </c>
      <c r="AH134" s="102">
        <v>8.1</v>
      </c>
      <c r="AI134" s="102">
        <v>1.4</v>
      </c>
      <c r="AJ134" s="102">
        <v>70.099999999999994</v>
      </c>
      <c r="AK134" s="102">
        <v>2.6</v>
      </c>
      <c r="AL134" s="102">
        <v>13</v>
      </c>
      <c r="AM134" s="102">
        <v>50</v>
      </c>
      <c r="AN134" s="102">
        <v>2300</v>
      </c>
      <c r="AO134" s="102">
        <v>26</v>
      </c>
      <c r="AP134" s="102">
        <v>3000</v>
      </c>
      <c r="AQ134" s="102" t="str">
        <f t="shared" si="3"/>
        <v/>
      </c>
    </row>
    <row r="135" spans="1:43" s="102" customFormat="1" ht="12" customHeight="1">
      <c r="A135" s="118">
        <v>19</v>
      </c>
      <c r="B135" s="102" t="s">
        <v>260</v>
      </c>
      <c r="C135" s="206">
        <v>45826</v>
      </c>
      <c r="D135" s="222">
        <v>18.7</v>
      </c>
      <c r="E135" s="222">
        <v>7.31</v>
      </c>
      <c r="F135" s="218">
        <v>78</v>
      </c>
      <c r="G135" s="222">
        <v>7.8</v>
      </c>
      <c r="H135" s="222">
        <v>1.8</v>
      </c>
      <c r="I135" s="222">
        <v>65.7</v>
      </c>
      <c r="J135" s="102">
        <v>1.2</v>
      </c>
      <c r="K135" s="218">
        <v>74</v>
      </c>
      <c r="L135" s="218">
        <v>110</v>
      </c>
      <c r="M135" s="218">
        <v>3800</v>
      </c>
      <c r="N135" s="218">
        <v>55</v>
      </c>
      <c r="O135" s="218">
        <v>3800</v>
      </c>
      <c r="P135" s="222" t="s">
        <v>18</v>
      </c>
      <c r="Q135" s="222" t="s">
        <v>18</v>
      </c>
      <c r="R135" s="609" t="s">
        <v>18</v>
      </c>
      <c r="S135" s="428"/>
      <c r="T135" s="421"/>
      <c r="U135" s="422"/>
      <c r="V135" s="423"/>
      <c r="W135" s="421"/>
      <c r="X135" s="421"/>
      <c r="Y135" s="421"/>
      <c r="Z135" s="421"/>
      <c r="AA135" s="421"/>
      <c r="AB135" s="411"/>
      <c r="AC135" s="411"/>
      <c r="AD135" s="411"/>
      <c r="AE135" s="102">
        <v>18.7</v>
      </c>
      <c r="AF135" s="102">
        <v>7.31</v>
      </c>
      <c r="AG135" s="102">
        <v>78</v>
      </c>
      <c r="AH135" s="102">
        <v>7.8</v>
      </c>
      <c r="AI135" s="102">
        <v>1.8</v>
      </c>
      <c r="AJ135" s="102">
        <v>65.7</v>
      </c>
      <c r="AK135" s="102">
        <v>1.2</v>
      </c>
      <c r="AL135" s="102">
        <v>74</v>
      </c>
      <c r="AM135" s="102">
        <v>110</v>
      </c>
      <c r="AN135" s="102">
        <v>3800</v>
      </c>
      <c r="AO135" s="102">
        <v>55</v>
      </c>
      <c r="AP135" s="102">
        <v>3800</v>
      </c>
      <c r="AQ135" s="102" t="str">
        <f t="shared" ref="AQ135:AQ161" si="4">IF(OR(LEFT(Q135,1)="&lt;",LEFT(Q135,1)="&gt;"),VALUE(MID(Q135,2,5)),Q135)</f>
        <v/>
      </c>
    </row>
    <row r="136" spans="1:43" s="102" customFormat="1" ht="12" customHeight="1">
      <c r="A136" s="118">
        <v>19</v>
      </c>
      <c r="B136" s="102" t="s">
        <v>260</v>
      </c>
      <c r="C136" s="206">
        <v>45848</v>
      </c>
      <c r="D136" s="222">
        <v>19.5</v>
      </c>
      <c r="E136" s="222">
        <v>7.23</v>
      </c>
      <c r="F136" s="218">
        <v>79</v>
      </c>
      <c r="G136" s="222">
        <v>7.7</v>
      </c>
      <c r="H136" s="222">
        <v>2.4</v>
      </c>
      <c r="I136" s="222">
        <v>60.1</v>
      </c>
      <c r="J136" s="102">
        <v>1.1000000000000001</v>
      </c>
      <c r="K136" s="218">
        <v>91</v>
      </c>
      <c r="L136" s="218">
        <v>120</v>
      </c>
      <c r="M136" s="218">
        <v>1100</v>
      </c>
      <c r="N136" s="218">
        <v>43</v>
      </c>
      <c r="O136" s="218">
        <v>1600</v>
      </c>
      <c r="P136" s="222" t="s">
        <v>18</v>
      </c>
      <c r="Q136" s="222" t="s">
        <v>18</v>
      </c>
      <c r="R136" s="609" t="s">
        <v>18</v>
      </c>
      <c r="S136" s="420"/>
      <c r="T136" s="421"/>
      <c r="U136" s="422"/>
      <c r="V136" s="423"/>
      <c r="W136" s="421"/>
      <c r="X136" s="421"/>
      <c r="Y136" s="421"/>
      <c r="Z136" s="421"/>
      <c r="AA136" s="421"/>
      <c r="AB136" s="411"/>
      <c r="AC136" s="411"/>
      <c r="AD136" s="411"/>
      <c r="AE136" s="102">
        <v>19.5</v>
      </c>
      <c r="AF136" s="102">
        <v>7.23</v>
      </c>
      <c r="AG136" s="102">
        <v>79</v>
      </c>
      <c r="AH136" s="102">
        <v>7.7</v>
      </c>
      <c r="AI136" s="102">
        <v>2.4</v>
      </c>
      <c r="AJ136" s="102">
        <v>60.1</v>
      </c>
      <c r="AK136" s="102">
        <v>1.1000000000000001</v>
      </c>
      <c r="AL136" s="102">
        <v>91</v>
      </c>
      <c r="AM136" s="102">
        <v>120</v>
      </c>
      <c r="AN136" s="102">
        <v>1100</v>
      </c>
      <c r="AO136" s="102">
        <v>43</v>
      </c>
      <c r="AP136" s="102">
        <v>1600</v>
      </c>
      <c r="AQ136" s="102" t="str">
        <f t="shared" si="4"/>
        <v/>
      </c>
    </row>
    <row r="137" spans="1:43" s="102" customFormat="1" ht="12" customHeight="1">
      <c r="A137" s="118">
        <v>19</v>
      </c>
      <c r="B137" s="102" t="s">
        <v>260</v>
      </c>
      <c r="C137" s="206" t="s">
        <v>18</v>
      </c>
      <c r="D137" s="222" t="s">
        <v>18</v>
      </c>
      <c r="E137" s="222" t="s">
        <v>18</v>
      </c>
      <c r="F137" s="218" t="s">
        <v>18</v>
      </c>
      <c r="G137" s="222" t="s">
        <v>18</v>
      </c>
      <c r="H137" s="222" t="s">
        <v>18</v>
      </c>
      <c r="I137" s="222" t="s">
        <v>18</v>
      </c>
      <c r="J137" s="102" t="s">
        <v>18</v>
      </c>
      <c r="K137" s="218" t="s">
        <v>18</v>
      </c>
      <c r="L137" s="218" t="s">
        <v>18</v>
      </c>
      <c r="M137" s="218" t="s">
        <v>18</v>
      </c>
      <c r="N137" s="218" t="s">
        <v>18</v>
      </c>
      <c r="O137" s="218" t="s">
        <v>18</v>
      </c>
      <c r="P137" s="222" t="s">
        <v>18</v>
      </c>
      <c r="Q137" s="222" t="s">
        <v>18</v>
      </c>
      <c r="R137" s="609" t="s">
        <v>18</v>
      </c>
      <c r="S137" s="420"/>
      <c r="T137" s="421"/>
      <c r="U137" s="422"/>
      <c r="V137" s="423"/>
      <c r="W137" s="421"/>
      <c r="X137" s="421"/>
      <c r="Y137" s="421"/>
      <c r="Z137" s="421"/>
      <c r="AA137" s="421"/>
      <c r="AB137" s="411"/>
      <c r="AC137" s="411"/>
      <c r="AD137" s="411"/>
      <c r="AE137" s="102" t="s">
        <v>18</v>
      </c>
      <c r="AF137" s="102" t="s">
        <v>18</v>
      </c>
      <c r="AG137" s="102" t="s">
        <v>18</v>
      </c>
      <c r="AH137" s="102" t="s">
        <v>18</v>
      </c>
      <c r="AI137" s="102" t="s">
        <v>18</v>
      </c>
      <c r="AJ137" s="102" t="s">
        <v>18</v>
      </c>
      <c r="AK137" s="102" t="s">
        <v>18</v>
      </c>
      <c r="AL137" s="102" t="s">
        <v>18</v>
      </c>
      <c r="AM137" s="102" t="s">
        <v>18</v>
      </c>
      <c r="AN137" s="102" t="s">
        <v>18</v>
      </c>
      <c r="AO137" s="102" t="s">
        <v>18</v>
      </c>
      <c r="AP137" s="102" t="s">
        <v>18</v>
      </c>
      <c r="AQ137" s="102" t="str">
        <f t="shared" si="4"/>
        <v/>
      </c>
    </row>
    <row r="138" spans="1:43" s="102" customFormat="1" ht="12" customHeight="1">
      <c r="A138" s="118">
        <v>19</v>
      </c>
      <c r="B138" s="102" t="s">
        <v>260</v>
      </c>
      <c r="C138" s="206" t="s">
        <v>18</v>
      </c>
      <c r="D138" s="222" t="s">
        <v>18</v>
      </c>
      <c r="E138" s="222" t="s">
        <v>18</v>
      </c>
      <c r="F138" s="218" t="s">
        <v>18</v>
      </c>
      <c r="G138" s="222" t="s">
        <v>18</v>
      </c>
      <c r="H138" s="222" t="s">
        <v>18</v>
      </c>
      <c r="I138" s="222" t="s">
        <v>18</v>
      </c>
      <c r="J138" s="102" t="s">
        <v>18</v>
      </c>
      <c r="K138" s="218" t="s">
        <v>18</v>
      </c>
      <c r="L138" s="218" t="s">
        <v>18</v>
      </c>
      <c r="M138" s="218" t="s">
        <v>18</v>
      </c>
      <c r="N138" s="218" t="s">
        <v>18</v>
      </c>
      <c r="O138" s="218" t="s">
        <v>18</v>
      </c>
      <c r="P138" s="222" t="s">
        <v>18</v>
      </c>
      <c r="Q138" s="222" t="s">
        <v>18</v>
      </c>
      <c r="R138" s="609" t="s">
        <v>18</v>
      </c>
      <c r="S138" s="420"/>
      <c r="T138" s="421"/>
      <c r="U138" s="422"/>
      <c r="V138" s="423"/>
      <c r="W138" s="421"/>
      <c r="X138" s="421"/>
      <c r="Y138" s="421"/>
      <c r="Z138" s="421"/>
      <c r="AA138" s="421"/>
      <c r="AB138" s="411"/>
      <c r="AC138" s="411"/>
      <c r="AD138" s="411"/>
      <c r="AE138" s="102" t="s">
        <v>18</v>
      </c>
      <c r="AF138" s="102" t="s">
        <v>18</v>
      </c>
      <c r="AG138" s="102" t="s">
        <v>18</v>
      </c>
      <c r="AH138" s="102" t="s">
        <v>18</v>
      </c>
      <c r="AI138" s="102" t="s">
        <v>18</v>
      </c>
      <c r="AJ138" s="102" t="s">
        <v>18</v>
      </c>
      <c r="AK138" s="102" t="s">
        <v>18</v>
      </c>
      <c r="AL138" s="102" t="s">
        <v>18</v>
      </c>
      <c r="AM138" s="102" t="s">
        <v>18</v>
      </c>
      <c r="AN138" s="102" t="s">
        <v>18</v>
      </c>
      <c r="AO138" s="102" t="s">
        <v>18</v>
      </c>
      <c r="AP138" s="102" t="s">
        <v>18</v>
      </c>
      <c r="AQ138" s="102" t="str">
        <f t="shared" si="4"/>
        <v/>
      </c>
    </row>
    <row r="139" spans="1:43" s="102" customFormat="1" ht="12" customHeight="1">
      <c r="A139" s="118">
        <v>19</v>
      </c>
      <c r="B139" s="102" t="s">
        <v>260</v>
      </c>
      <c r="C139" s="206" t="s">
        <v>18</v>
      </c>
      <c r="D139" s="222" t="s">
        <v>18</v>
      </c>
      <c r="E139" s="222" t="s">
        <v>18</v>
      </c>
      <c r="F139" s="218" t="s">
        <v>18</v>
      </c>
      <c r="G139" s="222" t="s">
        <v>18</v>
      </c>
      <c r="H139" s="222" t="s">
        <v>18</v>
      </c>
      <c r="I139" s="222" t="s">
        <v>18</v>
      </c>
      <c r="J139" s="102" t="s">
        <v>18</v>
      </c>
      <c r="K139" s="218" t="s">
        <v>18</v>
      </c>
      <c r="L139" s="218" t="s">
        <v>18</v>
      </c>
      <c r="M139" s="218" t="s">
        <v>18</v>
      </c>
      <c r="N139" s="218" t="s">
        <v>18</v>
      </c>
      <c r="O139" s="218" t="s">
        <v>18</v>
      </c>
      <c r="P139" s="222" t="s">
        <v>18</v>
      </c>
      <c r="Q139" s="222" t="s">
        <v>18</v>
      </c>
      <c r="R139" s="609" t="s">
        <v>18</v>
      </c>
      <c r="S139" s="420"/>
      <c r="T139" s="421"/>
      <c r="U139" s="422"/>
      <c r="V139" s="423"/>
      <c r="W139" s="421"/>
      <c r="X139" s="421"/>
      <c r="Y139" s="421"/>
      <c r="Z139" s="421"/>
      <c r="AA139" s="421"/>
      <c r="AB139" s="411"/>
      <c r="AC139" s="411"/>
      <c r="AD139" s="411"/>
      <c r="AE139" s="102" t="s">
        <v>18</v>
      </c>
      <c r="AF139" s="102" t="s">
        <v>18</v>
      </c>
      <c r="AG139" s="102" t="s">
        <v>18</v>
      </c>
      <c r="AH139" s="102" t="s">
        <v>18</v>
      </c>
      <c r="AI139" s="102" t="s">
        <v>18</v>
      </c>
      <c r="AJ139" s="102" t="s">
        <v>18</v>
      </c>
      <c r="AK139" s="102" t="s">
        <v>18</v>
      </c>
      <c r="AL139" s="102" t="s">
        <v>18</v>
      </c>
      <c r="AM139" s="102" t="s">
        <v>18</v>
      </c>
      <c r="AN139" s="102" t="s">
        <v>18</v>
      </c>
      <c r="AO139" s="102" t="s">
        <v>18</v>
      </c>
      <c r="AP139" s="102" t="s">
        <v>18</v>
      </c>
      <c r="AQ139" s="102" t="str">
        <f t="shared" si="4"/>
        <v/>
      </c>
    </row>
    <row r="140" spans="1:43" s="102" customFormat="1" ht="12" customHeight="1">
      <c r="A140" s="118">
        <v>19</v>
      </c>
      <c r="B140" s="102" t="s">
        <v>260</v>
      </c>
      <c r="C140" s="206" t="s">
        <v>18</v>
      </c>
      <c r="D140" s="222" t="s">
        <v>18</v>
      </c>
      <c r="E140" s="222" t="s">
        <v>18</v>
      </c>
      <c r="F140" s="218" t="s">
        <v>18</v>
      </c>
      <c r="G140" s="222" t="s">
        <v>18</v>
      </c>
      <c r="H140" s="222" t="s">
        <v>18</v>
      </c>
      <c r="I140" s="222" t="s">
        <v>18</v>
      </c>
      <c r="J140" s="102" t="s">
        <v>18</v>
      </c>
      <c r="K140" s="218" t="s">
        <v>18</v>
      </c>
      <c r="L140" s="218" t="s">
        <v>18</v>
      </c>
      <c r="M140" s="218" t="s">
        <v>18</v>
      </c>
      <c r="N140" s="218" t="s">
        <v>18</v>
      </c>
      <c r="O140" s="218" t="s">
        <v>18</v>
      </c>
      <c r="P140" s="222" t="s">
        <v>18</v>
      </c>
      <c r="Q140" s="222" t="s">
        <v>18</v>
      </c>
      <c r="R140" s="609" t="s">
        <v>18</v>
      </c>
      <c r="S140" s="420"/>
      <c r="T140" s="421"/>
      <c r="U140" s="422"/>
      <c r="V140" s="423"/>
      <c r="W140" s="421"/>
      <c r="X140" s="421"/>
      <c r="Y140" s="421"/>
      <c r="Z140" s="421"/>
      <c r="AA140" s="421"/>
      <c r="AB140" s="411"/>
      <c r="AC140" s="411"/>
      <c r="AD140" s="411"/>
      <c r="AE140" s="102" t="s">
        <v>18</v>
      </c>
      <c r="AF140" s="102" t="s">
        <v>18</v>
      </c>
      <c r="AG140" s="102" t="s">
        <v>18</v>
      </c>
      <c r="AH140" s="102" t="s">
        <v>18</v>
      </c>
      <c r="AI140" s="102" t="s">
        <v>18</v>
      </c>
      <c r="AJ140" s="102" t="s">
        <v>18</v>
      </c>
      <c r="AK140" s="102" t="s">
        <v>18</v>
      </c>
      <c r="AL140" s="102" t="s">
        <v>18</v>
      </c>
      <c r="AM140" s="102" t="s">
        <v>18</v>
      </c>
      <c r="AN140" s="102" t="s">
        <v>18</v>
      </c>
      <c r="AO140" s="102" t="s">
        <v>18</v>
      </c>
      <c r="AP140" s="102" t="s">
        <v>18</v>
      </c>
      <c r="AQ140" s="102" t="str">
        <f t="shared" si="4"/>
        <v/>
      </c>
    </row>
    <row r="141" spans="1:43" s="102" customFormat="1" ht="12" customHeight="1">
      <c r="A141" s="118">
        <v>19</v>
      </c>
      <c r="B141" s="102" t="s">
        <v>260</v>
      </c>
      <c r="C141" s="206" t="s">
        <v>18</v>
      </c>
      <c r="D141" s="222" t="s">
        <v>18</v>
      </c>
      <c r="E141" s="222" t="s">
        <v>18</v>
      </c>
      <c r="F141" s="218" t="s">
        <v>18</v>
      </c>
      <c r="G141" s="222" t="s">
        <v>18</v>
      </c>
      <c r="H141" s="222" t="s">
        <v>18</v>
      </c>
      <c r="I141" s="222" t="s">
        <v>18</v>
      </c>
      <c r="J141" s="102" t="s">
        <v>18</v>
      </c>
      <c r="K141" s="218" t="s">
        <v>18</v>
      </c>
      <c r="L141" s="218" t="s">
        <v>18</v>
      </c>
      <c r="M141" s="218" t="s">
        <v>18</v>
      </c>
      <c r="N141" s="218" t="s">
        <v>18</v>
      </c>
      <c r="O141" s="218" t="s">
        <v>18</v>
      </c>
      <c r="P141" s="222" t="s">
        <v>18</v>
      </c>
      <c r="Q141" s="222" t="s">
        <v>18</v>
      </c>
      <c r="R141" s="609" t="s">
        <v>18</v>
      </c>
      <c r="S141" s="420"/>
      <c r="T141" s="421"/>
      <c r="U141" s="422"/>
      <c r="V141" s="423"/>
      <c r="W141" s="421"/>
      <c r="X141" s="421"/>
      <c r="Y141" s="421"/>
      <c r="Z141" s="421"/>
      <c r="AA141" s="421"/>
      <c r="AB141" s="411"/>
      <c r="AC141" s="411"/>
      <c r="AD141" s="411"/>
      <c r="AE141" s="102" t="s">
        <v>18</v>
      </c>
      <c r="AF141" s="102" t="s">
        <v>18</v>
      </c>
      <c r="AG141" s="102" t="s">
        <v>18</v>
      </c>
      <c r="AH141" s="102" t="s">
        <v>18</v>
      </c>
      <c r="AI141" s="102" t="s">
        <v>18</v>
      </c>
      <c r="AJ141" s="102" t="s">
        <v>18</v>
      </c>
      <c r="AK141" s="102" t="s">
        <v>18</v>
      </c>
      <c r="AL141" s="102" t="s">
        <v>18</v>
      </c>
      <c r="AM141" s="102" t="s">
        <v>18</v>
      </c>
      <c r="AN141" s="102" t="s">
        <v>18</v>
      </c>
      <c r="AO141" s="102" t="s">
        <v>18</v>
      </c>
      <c r="AP141" s="102" t="s">
        <v>18</v>
      </c>
      <c r="AQ141" s="102" t="str">
        <f t="shared" si="4"/>
        <v/>
      </c>
    </row>
    <row r="142" spans="1:43" s="102" customFormat="1" ht="12">
      <c r="A142" s="118">
        <v>19</v>
      </c>
      <c r="B142" s="102" t="s">
        <v>260</v>
      </c>
      <c r="C142" s="206" t="s">
        <v>435</v>
      </c>
      <c r="D142" s="222">
        <v>14.5</v>
      </c>
      <c r="E142" s="222">
        <v>10.050000000000001</v>
      </c>
      <c r="F142" s="218">
        <v>99</v>
      </c>
      <c r="G142" s="222">
        <v>8</v>
      </c>
      <c r="H142" s="222">
        <v>1.6</v>
      </c>
      <c r="I142" s="222">
        <v>76.099999999999994</v>
      </c>
      <c r="J142" s="102">
        <v>1.6</v>
      </c>
      <c r="K142" s="218">
        <v>58</v>
      </c>
      <c r="L142" s="218">
        <v>99</v>
      </c>
      <c r="M142" s="218">
        <v>2400</v>
      </c>
      <c r="N142" s="218">
        <v>52</v>
      </c>
      <c r="O142" s="218">
        <v>3200</v>
      </c>
      <c r="P142" s="222" t="s">
        <v>18</v>
      </c>
      <c r="Q142" s="222" t="s">
        <v>18</v>
      </c>
      <c r="R142" s="609" t="s">
        <v>18</v>
      </c>
      <c r="S142" s="420"/>
      <c r="T142" s="421"/>
      <c r="U142" s="422"/>
      <c r="V142" s="423"/>
      <c r="W142" s="421"/>
      <c r="X142" s="421"/>
      <c r="Y142" s="421"/>
      <c r="Z142" s="421"/>
      <c r="AA142" s="421"/>
      <c r="AB142" s="411"/>
      <c r="AC142" s="411"/>
      <c r="AD142" s="411"/>
      <c r="AE142" s="102">
        <v>14.5</v>
      </c>
      <c r="AF142" s="102">
        <v>10.050000000000001</v>
      </c>
      <c r="AG142" s="102">
        <v>99</v>
      </c>
      <c r="AH142" s="102">
        <v>8</v>
      </c>
      <c r="AI142" s="102">
        <v>1.6</v>
      </c>
      <c r="AJ142" s="102">
        <v>76.099999999999994</v>
      </c>
      <c r="AK142" s="102">
        <v>1.6</v>
      </c>
      <c r="AL142" s="102">
        <v>58</v>
      </c>
      <c r="AM142" s="102">
        <v>99</v>
      </c>
      <c r="AN142" s="102">
        <v>2400</v>
      </c>
      <c r="AO142" s="102">
        <v>52</v>
      </c>
      <c r="AP142" s="102">
        <v>3200</v>
      </c>
      <c r="AQ142" s="102" t="str">
        <f t="shared" si="4"/>
        <v/>
      </c>
    </row>
    <row r="143" spans="1:43" s="102" customFormat="1" ht="12">
      <c r="A143" s="117"/>
      <c r="C143" s="610" t="s">
        <v>150</v>
      </c>
      <c r="D143" s="611">
        <v>10.299999999999999</v>
      </c>
      <c r="E143" s="611">
        <v>11.567142857142857</v>
      </c>
      <c r="F143" s="612">
        <v>98.857142857142861</v>
      </c>
      <c r="G143" s="611">
        <v>8.0285714285714285</v>
      </c>
      <c r="H143" s="611">
        <v>2.2142857142857144</v>
      </c>
      <c r="I143" s="611">
        <v>63.228571428571435</v>
      </c>
      <c r="J143" s="611">
        <v>1.714285714285714</v>
      </c>
      <c r="K143" s="612">
        <v>45.714285714285715</v>
      </c>
      <c r="L143" s="612">
        <v>77.857142857142861</v>
      </c>
      <c r="M143" s="612">
        <v>4014.2857142857142</v>
      </c>
      <c r="N143" s="612">
        <v>76.571428571428569</v>
      </c>
      <c r="O143" s="612">
        <v>4457.1428571428569</v>
      </c>
      <c r="P143" s="611"/>
      <c r="Q143" s="715"/>
      <c r="R143" s="307"/>
      <c r="S143" s="420"/>
      <c r="T143" s="421"/>
      <c r="U143" s="422"/>
      <c r="V143" s="423"/>
      <c r="W143" s="421"/>
      <c r="X143" s="421"/>
      <c r="Y143" s="421"/>
      <c r="Z143" s="421"/>
      <c r="AA143" s="421"/>
      <c r="AB143" s="411"/>
      <c r="AC143" s="411"/>
      <c r="AD143" s="411"/>
      <c r="AE143" s="102">
        <v>10.299999999999999</v>
      </c>
      <c r="AF143" s="102">
        <v>11.567142857142857</v>
      </c>
      <c r="AG143" s="102">
        <v>98.857142857142861</v>
      </c>
      <c r="AH143" s="102">
        <v>8.0285714285714285</v>
      </c>
      <c r="AI143" s="102">
        <v>2.2142857142857144</v>
      </c>
      <c r="AJ143" s="102">
        <v>63.228571428571435</v>
      </c>
      <c r="AK143" s="102">
        <v>1.714285714285714</v>
      </c>
      <c r="AL143" s="102">
        <v>45.714285714285715</v>
      </c>
      <c r="AM143" s="102">
        <v>77.857142857142861</v>
      </c>
      <c r="AN143" s="102">
        <v>4014.2857142857142</v>
      </c>
      <c r="AO143" s="102">
        <v>76.571428571428569</v>
      </c>
      <c r="AP143" s="102">
        <v>4457.1428571428569</v>
      </c>
      <c r="AQ143" s="102">
        <f t="shared" si="4"/>
        <v>0</v>
      </c>
    </row>
    <row r="144" spans="1:43" s="102" customFormat="1" ht="12">
      <c r="A144" s="117"/>
      <c r="C144" s="613" t="s">
        <v>151</v>
      </c>
      <c r="D144" s="614">
        <v>19.5</v>
      </c>
      <c r="E144" s="614">
        <v>17.86</v>
      </c>
      <c r="F144" s="615">
        <v>139</v>
      </c>
      <c r="G144" s="614">
        <v>8.5</v>
      </c>
      <c r="H144" s="614">
        <v>4.4000000000000004</v>
      </c>
      <c r="I144" s="614">
        <v>76.099999999999994</v>
      </c>
      <c r="J144" s="614">
        <v>2.7</v>
      </c>
      <c r="K144" s="615">
        <v>91</v>
      </c>
      <c r="L144" s="615">
        <v>120</v>
      </c>
      <c r="M144" s="615">
        <v>7500</v>
      </c>
      <c r="N144" s="615">
        <v>230</v>
      </c>
      <c r="O144" s="615">
        <v>7800</v>
      </c>
      <c r="P144" s="614"/>
      <c r="Q144" s="716"/>
      <c r="R144" s="307"/>
      <c r="S144" s="420"/>
      <c r="T144" s="421"/>
      <c r="U144" s="422"/>
      <c r="V144" s="423"/>
      <c r="W144" s="421"/>
      <c r="X144" s="421"/>
      <c r="Y144" s="421"/>
      <c r="Z144" s="421"/>
      <c r="AA144" s="421"/>
      <c r="AB144" s="411"/>
      <c r="AC144" s="411"/>
      <c r="AD144" s="411"/>
      <c r="AE144" s="102">
        <v>19.5</v>
      </c>
      <c r="AF144" s="102">
        <v>17.86</v>
      </c>
      <c r="AG144" s="102">
        <v>139</v>
      </c>
      <c r="AH144" s="102">
        <v>8.5</v>
      </c>
      <c r="AI144" s="102">
        <v>4.4000000000000004</v>
      </c>
      <c r="AJ144" s="102">
        <v>76.099999999999994</v>
      </c>
      <c r="AK144" s="102">
        <v>2.7</v>
      </c>
      <c r="AL144" s="102">
        <v>91</v>
      </c>
      <c r="AM144" s="102">
        <v>120</v>
      </c>
      <c r="AN144" s="102">
        <v>7500</v>
      </c>
      <c r="AO144" s="102">
        <v>230</v>
      </c>
      <c r="AP144" s="102">
        <v>7800</v>
      </c>
      <c r="AQ144" s="102">
        <f t="shared" si="4"/>
        <v>0</v>
      </c>
    </row>
    <row r="145" spans="1:43" s="102" customFormat="1" ht="12">
      <c r="A145" s="117"/>
      <c r="C145" s="616" t="s">
        <v>152</v>
      </c>
      <c r="D145" s="617">
        <v>0.5</v>
      </c>
      <c r="E145" s="617">
        <v>7.23</v>
      </c>
      <c r="F145" s="618">
        <v>78</v>
      </c>
      <c r="G145" s="617">
        <v>7.7</v>
      </c>
      <c r="H145" s="617">
        <v>1.4</v>
      </c>
      <c r="I145" s="617">
        <v>54.1</v>
      </c>
      <c r="J145" s="617">
        <v>1.1000000000000001</v>
      </c>
      <c r="K145" s="618">
        <v>5</v>
      </c>
      <c r="L145" s="618">
        <v>30</v>
      </c>
      <c r="M145" s="618">
        <v>1100</v>
      </c>
      <c r="N145" s="618">
        <v>10</v>
      </c>
      <c r="O145" s="618">
        <v>1600</v>
      </c>
      <c r="P145" s="617"/>
      <c r="Q145" s="717"/>
      <c r="R145" s="307"/>
      <c r="S145" s="420"/>
      <c r="T145" s="421"/>
      <c r="U145" s="422"/>
      <c r="V145" s="423"/>
      <c r="W145" s="421"/>
      <c r="X145" s="421"/>
      <c r="Y145" s="421"/>
      <c r="Z145" s="421"/>
      <c r="AA145" s="421"/>
      <c r="AB145" s="411"/>
      <c r="AC145" s="411"/>
      <c r="AD145" s="411"/>
      <c r="AE145" s="102">
        <v>0.5</v>
      </c>
      <c r="AF145" s="102">
        <v>7.23</v>
      </c>
      <c r="AG145" s="102">
        <v>78</v>
      </c>
      <c r="AH145" s="102">
        <v>7.7</v>
      </c>
      <c r="AI145" s="102">
        <v>1.4</v>
      </c>
      <c r="AJ145" s="102">
        <v>54.1</v>
      </c>
      <c r="AK145" s="102">
        <v>1.1000000000000001</v>
      </c>
      <c r="AL145" s="102">
        <v>5</v>
      </c>
      <c r="AM145" s="102">
        <v>30</v>
      </c>
      <c r="AN145" s="102">
        <v>1100</v>
      </c>
      <c r="AO145" s="102">
        <v>10</v>
      </c>
      <c r="AP145" s="102">
        <v>1600</v>
      </c>
      <c r="AQ145" s="102">
        <f t="shared" si="4"/>
        <v>0</v>
      </c>
    </row>
    <row r="146" spans="1:43" s="102" customFormat="1" ht="12">
      <c r="A146" s="117"/>
      <c r="B146" s="411"/>
      <c r="C146" s="619"/>
      <c r="D146" s="620"/>
      <c r="E146" s="620"/>
      <c r="F146" s="621"/>
      <c r="G146" s="620"/>
      <c r="H146" s="620"/>
      <c r="I146" s="620"/>
      <c r="J146" s="622"/>
      <c r="K146" s="622"/>
      <c r="L146" s="622"/>
      <c r="M146" s="622"/>
      <c r="N146" s="622"/>
      <c r="O146" s="622"/>
      <c r="P146" s="620"/>
      <c r="Q146" s="620"/>
      <c r="R146" s="387"/>
      <c r="S146" s="420"/>
      <c r="T146" s="421"/>
      <c r="U146" s="422"/>
      <c r="V146" s="423"/>
      <c r="W146" s="421"/>
      <c r="X146" s="421"/>
      <c r="Y146" s="421"/>
      <c r="Z146" s="421"/>
      <c r="AA146" s="421"/>
      <c r="AB146" s="411"/>
      <c r="AC146" s="411"/>
      <c r="AD146" s="411"/>
      <c r="AE146" s="102">
        <v>0</v>
      </c>
      <c r="AF146" s="102">
        <v>0</v>
      </c>
      <c r="AG146" s="102">
        <v>0</v>
      </c>
      <c r="AH146" s="102">
        <v>0</v>
      </c>
      <c r="AI146" s="102">
        <v>0</v>
      </c>
      <c r="AJ146" s="102">
        <v>0</v>
      </c>
      <c r="AK146" s="102">
        <v>0</v>
      </c>
      <c r="AL146" s="102">
        <v>0</v>
      </c>
      <c r="AM146" s="102">
        <v>0</v>
      </c>
      <c r="AN146" s="102">
        <v>0</v>
      </c>
      <c r="AO146" s="102">
        <v>0</v>
      </c>
      <c r="AP146" s="102">
        <v>0</v>
      </c>
      <c r="AQ146" s="102">
        <f t="shared" si="4"/>
        <v>0</v>
      </c>
    </row>
    <row r="147" spans="1:43" s="102" customFormat="1" ht="12" customHeight="1">
      <c r="A147" s="118">
        <v>20</v>
      </c>
      <c r="B147" s="102" t="s">
        <v>267</v>
      </c>
      <c r="C147" s="206">
        <v>45671</v>
      </c>
      <c r="D147" s="222">
        <v>3.5</v>
      </c>
      <c r="E147" s="222">
        <v>13.15</v>
      </c>
      <c r="F147" s="218">
        <v>99</v>
      </c>
      <c r="G147" s="222">
        <v>8</v>
      </c>
      <c r="H147" s="222">
        <v>9.9</v>
      </c>
      <c r="I147" s="222">
        <v>55.1</v>
      </c>
      <c r="J147" s="102">
        <v>2.1</v>
      </c>
      <c r="K147" s="218">
        <v>37</v>
      </c>
      <c r="L147" s="218">
        <v>100</v>
      </c>
      <c r="M147" s="218">
        <v>6700</v>
      </c>
      <c r="N147" s="218">
        <v>320</v>
      </c>
      <c r="O147" s="218">
        <v>7400</v>
      </c>
      <c r="P147" s="222" t="s">
        <v>18</v>
      </c>
      <c r="Q147" s="222" t="s">
        <v>18</v>
      </c>
      <c r="R147" s="609" t="s">
        <v>18</v>
      </c>
      <c r="S147" s="421"/>
      <c r="T147" s="411"/>
      <c r="U147" s="423"/>
      <c r="V147" s="423"/>
      <c r="W147" s="424"/>
      <c r="X147" s="425"/>
      <c r="Y147" s="425"/>
      <c r="Z147" s="411"/>
      <c r="AA147" s="411"/>
      <c r="AB147" s="411"/>
      <c r="AC147" s="411"/>
      <c r="AD147" s="411"/>
      <c r="AE147" s="102">
        <v>3.5</v>
      </c>
      <c r="AF147" s="102">
        <v>13.15</v>
      </c>
      <c r="AG147" s="102">
        <v>99</v>
      </c>
      <c r="AH147" s="102">
        <v>8</v>
      </c>
      <c r="AI147" s="102">
        <v>9.9</v>
      </c>
      <c r="AJ147" s="102">
        <v>55.1</v>
      </c>
      <c r="AK147" s="102">
        <v>2.1</v>
      </c>
      <c r="AL147" s="102">
        <v>37</v>
      </c>
      <c r="AM147" s="102">
        <v>100</v>
      </c>
      <c r="AN147" s="102">
        <v>6700</v>
      </c>
      <c r="AO147" s="102">
        <v>320</v>
      </c>
      <c r="AP147" s="102">
        <v>7400</v>
      </c>
      <c r="AQ147" s="102" t="str">
        <f t="shared" si="4"/>
        <v/>
      </c>
    </row>
    <row r="148" spans="1:43" s="102" customFormat="1" ht="12" customHeight="1">
      <c r="A148" s="118">
        <v>20</v>
      </c>
      <c r="B148" s="102" t="s">
        <v>267</v>
      </c>
      <c r="C148" s="206">
        <v>45706</v>
      </c>
      <c r="D148" s="222">
        <v>2.4</v>
      </c>
      <c r="E148" s="222">
        <v>14.46</v>
      </c>
      <c r="F148" s="218">
        <v>106</v>
      </c>
      <c r="G148" s="222">
        <v>8</v>
      </c>
      <c r="H148" s="222">
        <v>2</v>
      </c>
      <c r="I148" s="222">
        <v>59.7</v>
      </c>
      <c r="J148" s="102">
        <v>1.3</v>
      </c>
      <c r="K148" s="218">
        <v>32</v>
      </c>
      <c r="L148" s="218">
        <v>52</v>
      </c>
      <c r="M148" s="218">
        <v>6300</v>
      </c>
      <c r="N148" s="218">
        <v>97</v>
      </c>
      <c r="O148" s="218">
        <v>7000</v>
      </c>
      <c r="P148" s="222" t="s">
        <v>18</v>
      </c>
      <c r="Q148" s="222" t="s">
        <v>18</v>
      </c>
      <c r="R148" s="609" t="s">
        <v>18</v>
      </c>
      <c r="S148" s="428"/>
      <c r="T148" s="411"/>
      <c r="U148" s="422"/>
      <c r="V148" s="423"/>
      <c r="W148" s="424"/>
      <c r="X148" s="425"/>
      <c r="Y148" s="425"/>
      <c r="Z148" s="424"/>
      <c r="AA148" s="425"/>
      <c r="AB148" s="425"/>
      <c r="AC148" s="425"/>
      <c r="AD148" s="411"/>
      <c r="AE148" s="102">
        <v>2.4</v>
      </c>
      <c r="AF148" s="102">
        <v>14.46</v>
      </c>
      <c r="AG148" s="102">
        <v>106</v>
      </c>
      <c r="AH148" s="102">
        <v>8</v>
      </c>
      <c r="AI148" s="102">
        <v>2</v>
      </c>
      <c r="AJ148" s="102">
        <v>59.7</v>
      </c>
      <c r="AK148" s="102">
        <v>1.3</v>
      </c>
      <c r="AL148" s="102">
        <v>32</v>
      </c>
      <c r="AM148" s="102">
        <v>52</v>
      </c>
      <c r="AN148" s="102">
        <v>6300</v>
      </c>
      <c r="AO148" s="102">
        <v>97</v>
      </c>
      <c r="AP148" s="102">
        <v>7000</v>
      </c>
      <c r="AQ148" s="102" t="str">
        <f t="shared" si="4"/>
        <v/>
      </c>
    </row>
    <row r="149" spans="1:43" s="102" customFormat="1" ht="12" customHeight="1">
      <c r="A149" s="118">
        <v>20</v>
      </c>
      <c r="B149" s="102" t="s">
        <v>267</v>
      </c>
      <c r="C149" s="206">
        <v>45734</v>
      </c>
      <c r="D149" s="222">
        <v>4.7</v>
      </c>
      <c r="E149" s="222">
        <v>16.8</v>
      </c>
      <c r="F149" s="218">
        <v>131</v>
      </c>
      <c r="G149" s="222">
        <v>8.5</v>
      </c>
      <c r="H149" s="222">
        <v>1.8</v>
      </c>
      <c r="I149" s="222">
        <v>56.2</v>
      </c>
      <c r="J149" s="102">
        <v>2.6</v>
      </c>
      <c r="K149" s="218">
        <v>9.3000000000000007</v>
      </c>
      <c r="L149" s="218">
        <v>44</v>
      </c>
      <c r="M149" s="218">
        <v>4500</v>
      </c>
      <c r="N149" s="218">
        <v>110</v>
      </c>
      <c r="O149" s="218">
        <v>4800</v>
      </c>
      <c r="P149" s="222" t="s">
        <v>18</v>
      </c>
      <c r="Q149" s="222" t="s">
        <v>18</v>
      </c>
      <c r="R149" s="609" t="s">
        <v>18</v>
      </c>
      <c r="S149" s="428"/>
      <c r="T149" s="411"/>
      <c r="U149" s="422"/>
      <c r="V149" s="423"/>
      <c r="W149" s="411"/>
      <c r="X149" s="411"/>
      <c r="Y149" s="411"/>
      <c r="Z149" s="411"/>
      <c r="AA149" s="411"/>
      <c r="AB149" s="411"/>
      <c r="AC149" s="411"/>
      <c r="AD149" s="411"/>
      <c r="AE149" s="102">
        <v>4.7</v>
      </c>
      <c r="AF149" s="102">
        <v>16.8</v>
      </c>
      <c r="AG149" s="102">
        <v>131</v>
      </c>
      <c r="AH149" s="102">
        <v>8.5</v>
      </c>
      <c r="AI149" s="102">
        <v>1.8</v>
      </c>
      <c r="AJ149" s="102">
        <v>56.2</v>
      </c>
      <c r="AK149" s="102">
        <v>2.6</v>
      </c>
      <c r="AL149" s="102">
        <v>9.3000000000000007</v>
      </c>
      <c r="AM149" s="102">
        <v>44</v>
      </c>
      <c r="AN149" s="102">
        <v>4500</v>
      </c>
      <c r="AO149" s="102">
        <v>110</v>
      </c>
      <c r="AP149" s="102">
        <v>4800</v>
      </c>
      <c r="AQ149" s="102" t="str">
        <f t="shared" si="4"/>
        <v/>
      </c>
    </row>
    <row r="150" spans="1:43" s="102" customFormat="1" ht="12" customHeight="1">
      <c r="A150" s="118">
        <v>20</v>
      </c>
      <c r="B150" s="102" t="s">
        <v>267</v>
      </c>
      <c r="C150" s="206">
        <v>45761</v>
      </c>
      <c r="D150" s="222">
        <v>12</v>
      </c>
      <c r="E150" s="222">
        <v>12.59</v>
      </c>
      <c r="F150" s="218">
        <v>117</v>
      </c>
      <c r="G150" s="222">
        <v>8.1999999999999993</v>
      </c>
      <c r="H150" s="222">
        <v>1.5</v>
      </c>
      <c r="I150" s="222">
        <v>70</v>
      </c>
      <c r="J150" s="102">
        <v>2.5</v>
      </c>
      <c r="K150" s="218">
        <v>16</v>
      </c>
      <c r="L150" s="218">
        <v>54</v>
      </c>
      <c r="M150" s="218">
        <v>2500</v>
      </c>
      <c r="N150" s="218">
        <v>34</v>
      </c>
      <c r="O150" s="218">
        <v>3200</v>
      </c>
      <c r="P150" s="222" t="s">
        <v>18</v>
      </c>
      <c r="Q150" s="222" t="s">
        <v>18</v>
      </c>
      <c r="R150" s="609" t="s">
        <v>18</v>
      </c>
      <c r="S150" s="429"/>
      <c r="T150" s="430"/>
      <c r="U150" s="422"/>
      <c r="V150" s="423"/>
      <c r="W150" s="431"/>
      <c r="X150" s="432"/>
      <c r="Y150" s="421"/>
      <c r="Z150" s="421"/>
      <c r="AA150" s="421"/>
      <c r="AB150" s="411"/>
      <c r="AC150" s="411"/>
      <c r="AD150" s="411"/>
      <c r="AE150" s="102">
        <v>12</v>
      </c>
      <c r="AF150" s="102">
        <v>12.59</v>
      </c>
      <c r="AG150" s="102">
        <v>117</v>
      </c>
      <c r="AH150" s="102">
        <v>8.1999999999999993</v>
      </c>
      <c r="AI150" s="102">
        <v>1.5</v>
      </c>
      <c r="AJ150" s="102">
        <v>70</v>
      </c>
      <c r="AK150" s="102">
        <v>2.5</v>
      </c>
      <c r="AL150" s="102">
        <v>16</v>
      </c>
      <c r="AM150" s="102">
        <v>54</v>
      </c>
      <c r="AN150" s="102">
        <v>2500</v>
      </c>
      <c r="AO150" s="102">
        <v>34</v>
      </c>
      <c r="AP150" s="102">
        <v>3200</v>
      </c>
      <c r="AQ150" s="102" t="str">
        <f t="shared" si="4"/>
        <v/>
      </c>
    </row>
    <row r="151" spans="1:43" s="102" customFormat="1" ht="12" customHeight="1">
      <c r="A151" s="118">
        <v>20</v>
      </c>
      <c r="B151" s="102" t="s">
        <v>267</v>
      </c>
      <c r="C151" s="206">
        <v>45826</v>
      </c>
      <c r="D151" s="222">
        <v>18.600000000000001</v>
      </c>
      <c r="E151" s="222">
        <v>9.52</v>
      </c>
      <c r="F151" s="218">
        <v>102</v>
      </c>
      <c r="G151" s="222">
        <v>8</v>
      </c>
      <c r="H151" s="222">
        <v>2.4</v>
      </c>
      <c r="I151" s="222">
        <v>65</v>
      </c>
      <c r="J151" s="102">
        <v>1.3</v>
      </c>
      <c r="K151" s="218">
        <v>75</v>
      </c>
      <c r="L151" s="218">
        <v>110</v>
      </c>
      <c r="M151" s="218">
        <v>3100</v>
      </c>
      <c r="N151" s="218">
        <v>60</v>
      </c>
      <c r="O151" s="218">
        <v>3600</v>
      </c>
      <c r="P151" s="222" t="s">
        <v>18</v>
      </c>
      <c r="Q151" s="222" t="s">
        <v>18</v>
      </c>
      <c r="R151" s="609" t="s">
        <v>18</v>
      </c>
      <c r="S151" s="428"/>
      <c r="T151" s="421"/>
      <c r="U151" s="422"/>
      <c r="V151" s="423"/>
      <c r="W151" s="421"/>
      <c r="X151" s="421"/>
      <c r="Y151" s="421"/>
      <c r="Z151" s="421"/>
      <c r="AA151" s="421"/>
      <c r="AB151" s="411"/>
      <c r="AC151" s="411"/>
      <c r="AD151" s="411"/>
      <c r="AE151" s="102">
        <v>18.600000000000001</v>
      </c>
      <c r="AF151" s="102">
        <v>9.52</v>
      </c>
      <c r="AG151" s="102">
        <v>102</v>
      </c>
      <c r="AH151" s="102">
        <v>8</v>
      </c>
      <c r="AI151" s="102">
        <v>2.4</v>
      </c>
      <c r="AJ151" s="102">
        <v>65</v>
      </c>
      <c r="AK151" s="102">
        <v>1.3</v>
      </c>
      <c r="AL151" s="102">
        <v>75</v>
      </c>
      <c r="AM151" s="102">
        <v>110</v>
      </c>
      <c r="AN151" s="102">
        <v>3100</v>
      </c>
      <c r="AO151" s="102">
        <v>60</v>
      </c>
      <c r="AP151" s="102">
        <v>3600</v>
      </c>
      <c r="AQ151" s="102" t="str">
        <f t="shared" si="4"/>
        <v/>
      </c>
    </row>
    <row r="152" spans="1:43" s="102" customFormat="1" ht="12" customHeight="1">
      <c r="A152" s="118">
        <v>20</v>
      </c>
      <c r="B152" s="102" t="s">
        <v>267</v>
      </c>
      <c r="C152" s="206">
        <v>45848</v>
      </c>
      <c r="D152" s="222">
        <v>19.399999999999999</v>
      </c>
      <c r="E152" s="222">
        <v>9.32</v>
      </c>
      <c r="F152" s="218">
        <v>101</v>
      </c>
      <c r="G152" s="222">
        <v>7.7</v>
      </c>
      <c r="H152" s="222">
        <v>4</v>
      </c>
      <c r="I152" s="222">
        <v>69.2</v>
      </c>
      <c r="J152" s="102">
        <v>3.1</v>
      </c>
      <c r="K152" s="218">
        <v>31</v>
      </c>
      <c r="L152" s="218">
        <v>110</v>
      </c>
      <c r="M152" s="218">
        <v>250</v>
      </c>
      <c r="N152" s="218">
        <v>21</v>
      </c>
      <c r="O152" s="218">
        <v>1100</v>
      </c>
      <c r="P152" s="222" t="s">
        <v>18</v>
      </c>
      <c r="Q152" s="222" t="s">
        <v>18</v>
      </c>
      <c r="R152" s="609" t="s">
        <v>18</v>
      </c>
      <c r="S152" s="428"/>
      <c r="T152" s="421"/>
      <c r="U152" s="422"/>
      <c r="V152" s="423"/>
      <c r="W152" s="421"/>
      <c r="X152" s="421"/>
      <c r="Y152" s="421"/>
      <c r="Z152" s="421"/>
      <c r="AA152" s="421"/>
      <c r="AB152" s="411"/>
      <c r="AC152" s="411"/>
      <c r="AD152" s="411"/>
      <c r="AE152" s="102">
        <v>19.399999999999999</v>
      </c>
      <c r="AF152" s="102">
        <v>9.32</v>
      </c>
      <c r="AG152" s="102">
        <v>101</v>
      </c>
      <c r="AH152" s="102">
        <v>7.7</v>
      </c>
      <c r="AI152" s="102">
        <v>4</v>
      </c>
      <c r="AJ152" s="102">
        <v>69.2</v>
      </c>
      <c r="AK152" s="102">
        <v>3.1</v>
      </c>
      <c r="AL152" s="102">
        <v>31</v>
      </c>
      <c r="AM152" s="102">
        <v>110</v>
      </c>
      <c r="AN152" s="102">
        <v>250</v>
      </c>
      <c r="AO152" s="102">
        <v>21</v>
      </c>
      <c r="AP152" s="102">
        <v>1100</v>
      </c>
      <c r="AQ152" s="102" t="str">
        <f t="shared" si="4"/>
        <v/>
      </c>
    </row>
    <row r="153" spans="1:43" s="102" customFormat="1" ht="12" customHeight="1">
      <c r="A153" s="118">
        <v>20</v>
      </c>
      <c r="B153" s="102" t="s">
        <v>267</v>
      </c>
      <c r="C153" s="206" t="s">
        <v>18</v>
      </c>
      <c r="D153" s="222" t="s">
        <v>18</v>
      </c>
      <c r="E153" s="222" t="s">
        <v>18</v>
      </c>
      <c r="F153" s="218" t="s">
        <v>18</v>
      </c>
      <c r="G153" s="222" t="s">
        <v>18</v>
      </c>
      <c r="H153" s="222" t="s">
        <v>18</v>
      </c>
      <c r="I153" s="222" t="s">
        <v>18</v>
      </c>
      <c r="J153" s="102" t="s">
        <v>18</v>
      </c>
      <c r="K153" s="218" t="s">
        <v>18</v>
      </c>
      <c r="L153" s="218" t="s">
        <v>18</v>
      </c>
      <c r="M153" s="218" t="s">
        <v>18</v>
      </c>
      <c r="N153" s="218" t="s">
        <v>18</v>
      </c>
      <c r="O153" s="218" t="s">
        <v>18</v>
      </c>
      <c r="P153" s="222" t="s">
        <v>18</v>
      </c>
      <c r="Q153" s="222" t="s">
        <v>18</v>
      </c>
      <c r="R153" s="609" t="s">
        <v>18</v>
      </c>
      <c r="S153" s="420"/>
      <c r="T153" s="421"/>
      <c r="U153" s="422"/>
      <c r="V153" s="423"/>
      <c r="W153" s="421"/>
      <c r="X153" s="421"/>
      <c r="Y153" s="421"/>
      <c r="Z153" s="421"/>
      <c r="AA153" s="421"/>
      <c r="AB153" s="411"/>
      <c r="AC153" s="411"/>
      <c r="AD153" s="411"/>
      <c r="AE153" s="102" t="s">
        <v>18</v>
      </c>
      <c r="AF153" s="102" t="s">
        <v>18</v>
      </c>
      <c r="AG153" s="102" t="s">
        <v>18</v>
      </c>
      <c r="AH153" s="102" t="s">
        <v>18</v>
      </c>
      <c r="AI153" s="102" t="s">
        <v>18</v>
      </c>
      <c r="AJ153" s="102" t="s">
        <v>18</v>
      </c>
      <c r="AK153" s="102" t="s">
        <v>18</v>
      </c>
      <c r="AL153" s="102" t="s">
        <v>18</v>
      </c>
      <c r="AM153" s="102" t="s">
        <v>18</v>
      </c>
      <c r="AN153" s="102" t="s">
        <v>18</v>
      </c>
      <c r="AO153" s="102" t="s">
        <v>18</v>
      </c>
      <c r="AP153" s="102" t="s">
        <v>18</v>
      </c>
      <c r="AQ153" s="102" t="str">
        <f t="shared" si="4"/>
        <v/>
      </c>
    </row>
    <row r="154" spans="1:43" s="102" customFormat="1" ht="12" customHeight="1">
      <c r="A154" s="118">
        <v>20</v>
      </c>
      <c r="B154" s="102" t="s">
        <v>267</v>
      </c>
      <c r="C154" s="206" t="s">
        <v>18</v>
      </c>
      <c r="D154" s="222" t="s">
        <v>18</v>
      </c>
      <c r="E154" s="222" t="s">
        <v>18</v>
      </c>
      <c r="F154" s="218" t="s">
        <v>18</v>
      </c>
      <c r="G154" s="222" t="s">
        <v>18</v>
      </c>
      <c r="H154" s="222" t="s">
        <v>18</v>
      </c>
      <c r="I154" s="222" t="s">
        <v>18</v>
      </c>
      <c r="J154" s="102" t="s">
        <v>18</v>
      </c>
      <c r="K154" s="218" t="s">
        <v>18</v>
      </c>
      <c r="L154" s="218" t="s">
        <v>18</v>
      </c>
      <c r="M154" s="218" t="s">
        <v>18</v>
      </c>
      <c r="N154" s="218" t="s">
        <v>18</v>
      </c>
      <c r="O154" s="218" t="s">
        <v>18</v>
      </c>
      <c r="P154" s="222" t="s">
        <v>18</v>
      </c>
      <c r="Q154" s="222" t="s">
        <v>18</v>
      </c>
      <c r="R154" s="609" t="s">
        <v>18</v>
      </c>
      <c r="S154" s="420"/>
      <c r="T154" s="421"/>
      <c r="U154" s="422"/>
      <c r="V154" s="423"/>
      <c r="W154" s="421"/>
      <c r="X154" s="421"/>
      <c r="Y154" s="421"/>
      <c r="Z154" s="421"/>
      <c r="AA154" s="421"/>
      <c r="AB154" s="411"/>
      <c r="AC154" s="411"/>
      <c r="AD154" s="411"/>
      <c r="AE154" s="102" t="s">
        <v>18</v>
      </c>
      <c r="AF154" s="102" t="s">
        <v>18</v>
      </c>
      <c r="AG154" s="102" t="s">
        <v>18</v>
      </c>
      <c r="AH154" s="102" t="s">
        <v>18</v>
      </c>
      <c r="AI154" s="102" t="s">
        <v>18</v>
      </c>
      <c r="AJ154" s="102" t="s">
        <v>18</v>
      </c>
      <c r="AK154" s="102" t="s">
        <v>18</v>
      </c>
      <c r="AL154" s="102" t="s">
        <v>18</v>
      </c>
      <c r="AM154" s="102" t="s">
        <v>18</v>
      </c>
      <c r="AN154" s="102" t="s">
        <v>18</v>
      </c>
      <c r="AO154" s="102" t="s">
        <v>18</v>
      </c>
      <c r="AP154" s="102" t="s">
        <v>18</v>
      </c>
      <c r="AQ154" s="102" t="str">
        <f t="shared" si="4"/>
        <v/>
      </c>
    </row>
    <row r="155" spans="1:43" s="102" customFormat="1" ht="12" customHeight="1">
      <c r="A155" s="118">
        <v>20</v>
      </c>
      <c r="B155" s="102" t="s">
        <v>267</v>
      </c>
      <c r="C155" s="206" t="s">
        <v>18</v>
      </c>
      <c r="D155" s="222" t="s">
        <v>18</v>
      </c>
      <c r="E155" s="222" t="s">
        <v>18</v>
      </c>
      <c r="F155" s="218" t="s">
        <v>18</v>
      </c>
      <c r="G155" s="222" t="s">
        <v>18</v>
      </c>
      <c r="H155" s="222" t="s">
        <v>18</v>
      </c>
      <c r="I155" s="222" t="s">
        <v>18</v>
      </c>
      <c r="J155" s="102" t="s">
        <v>18</v>
      </c>
      <c r="K155" s="218" t="s">
        <v>18</v>
      </c>
      <c r="L155" s="218" t="s">
        <v>18</v>
      </c>
      <c r="M155" s="218" t="s">
        <v>18</v>
      </c>
      <c r="N155" s="218" t="s">
        <v>18</v>
      </c>
      <c r="O155" s="218" t="s">
        <v>18</v>
      </c>
      <c r="P155" s="222" t="s">
        <v>18</v>
      </c>
      <c r="Q155" s="222" t="s">
        <v>18</v>
      </c>
      <c r="R155" s="609" t="s">
        <v>18</v>
      </c>
      <c r="S155" s="420"/>
      <c r="T155" s="421"/>
      <c r="U155" s="422"/>
      <c r="V155" s="423"/>
      <c r="W155" s="421"/>
      <c r="X155" s="421"/>
      <c r="Y155" s="421"/>
      <c r="Z155" s="421"/>
      <c r="AA155" s="421"/>
      <c r="AB155" s="411"/>
      <c r="AC155" s="411"/>
      <c r="AD155" s="411"/>
      <c r="AE155" s="102" t="s">
        <v>18</v>
      </c>
      <c r="AF155" s="102" t="s">
        <v>18</v>
      </c>
      <c r="AG155" s="102" t="s">
        <v>18</v>
      </c>
      <c r="AH155" s="102" t="s">
        <v>18</v>
      </c>
      <c r="AI155" s="102" t="s">
        <v>18</v>
      </c>
      <c r="AJ155" s="102" t="s">
        <v>18</v>
      </c>
      <c r="AK155" s="102" t="s">
        <v>18</v>
      </c>
      <c r="AL155" s="102" t="s">
        <v>18</v>
      </c>
      <c r="AM155" s="102" t="s">
        <v>18</v>
      </c>
      <c r="AN155" s="102" t="s">
        <v>18</v>
      </c>
      <c r="AO155" s="102" t="s">
        <v>18</v>
      </c>
      <c r="AP155" s="102" t="s">
        <v>18</v>
      </c>
      <c r="AQ155" s="102" t="str">
        <f t="shared" si="4"/>
        <v/>
      </c>
    </row>
    <row r="156" spans="1:43" s="102" customFormat="1" ht="12" customHeight="1">
      <c r="A156" s="118">
        <v>20</v>
      </c>
      <c r="B156" s="102" t="s">
        <v>267</v>
      </c>
      <c r="C156" s="206" t="s">
        <v>18</v>
      </c>
      <c r="D156" s="222" t="s">
        <v>18</v>
      </c>
      <c r="E156" s="222" t="s">
        <v>18</v>
      </c>
      <c r="F156" s="218" t="s">
        <v>18</v>
      </c>
      <c r="G156" s="222" t="s">
        <v>18</v>
      </c>
      <c r="H156" s="222" t="s">
        <v>18</v>
      </c>
      <c r="I156" s="222" t="s">
        <v>18</v>
      </c>
      <c r="J156" s="102" t="s">
        <v>18</v>
      </c>
      <c r="K156" s="218" t="s">
        <v>18</v>
      </c>
      <c r="L156" s="218" t="s">
        <v>18</v>
      </c>
      <c r="M156" s="218" t="s">
        <v>18</v>
      </c>
      <c r="N156" s="218" t="s">
        <v>18</v>
      </c>
      <c r="O156" s="218" t="s">
        <v>18</v>
      </c>
      <c r="P156" s="222" t="s">
        <v>18</v>
      </c>
      <c r="Q156" s="222" t="s">
        <v>18</v>
      </c>
      <c r="R156" s="609" t="s">
        <v>18</v>
      </c>
      <c r="S156" s="420"/>
      <c r="T156" s="421"/>
      <c r="U156" s="422"/>
      <c r="V156" s="423"/>
      <c r="W156" s="421"/>
      <c r="X156" s="421"/>
      <c r="Y156" s="421"/>
      <c r="Z156" s="421"/>
      <c r="AA156" s="421"/>
      <c r="AB156" s="411"/>
      <c r="AC156" s="411"/>
      <c r="AD156" s="411"/>
      <c r="AE156" s="102" t="s">
        <v>18</v>
      </c>
      <c r="AF156" s="102" t="s">
        <v>18</v>
      </c>
      <c r="AG156" s="102" t="s">
        <v>18</v>
      </c>
      <c r="AH156" s="102" t="s">
        <v>18</v>
      </c>
      <c r="AI156" s="102" t="s">
        <v>18</v>
      </c>
      <c r="AJ156" s="102" t="s">
        <v>18</v>
      </c>
      <c r="AK156" s="102" t="s">
        <v>18</v>
      </c>
      <c r="AL156" s="102" t="s">
        <v>18</v>
      </c>
      <c r="AM156" s="102" t="s">
        <v>18</v>
      </c>
      <c r="AN156" s="102" t="s">
        <v>18</v>
      </c>
      <c r="AO156" s="102" t="s">
        <v>18</v>
      </c>
      <c r="AP156" s="102" t="s">
        <v>18</v>
      </c>
      <c r="AQ156" s="102" t="str">
        <f t="shared" si="4"/>
        <v/>
      </c>
    </row>
    <row r="157" spans="1:43" s="102" customFormat="1" ht="12" customHeight="1">
      <c r="A157" s="118">
        <v>20</v>
      </c>
      <c r="B157" s="102" t="s">
        <v>267</v>
      </c>
      <c r="C157" s="206" t="s">
        <v>18</v>
      </c>
      <c r="D157" s="222" t="s">
        <v>18</v>
      </c>
      <c r="E157" s="222" t="s">
        <v>18</v>
      </c>
      <c r="F157" s="218" t="s">
        <v>18</v>
      </c>
      <c r="G157" s="222" t="s">
        <v>18</v>
      </c>
      <c r="H157" s="222" t="s">
        <v>18</v>
      </c>
      <c r="I157" s="222" t="s">
        <v>18</v>
      </c>
      <c r="J157" s="102" t="s">
        <v>18</v>
      </c>
      <c r="K157" s="218" t="s">
        <v>18</v>
      </c>
      <c r="L157" s="218" t="s">
        <v>18</v>
      </c>
      <c r="M157" s="218" t="s">
        <v>18</v>
      </c>
      <c r="N157" s="218" t="s">
        <v>18</v>
      </c>
      <c r="O157" s="218" t="s">
        <v>18</v>
      </c>
      <c r="P157" s="222" t="s">
        <v>18</v>
      </c>
      <c r="Q157" s="222" t="s">
        <v>18</v>
      </c>
      <c r="R157" s="609" t="s">
        <v>18</v>
      </c>
      <c r="S157" s="420"/>
      <c r="T157" s="421"/>
      <c r="U157" s="422"/>
      <c r="V157" s="423"/>
      <c r="W157" s="421"/>
      <c r="X157" s="421"/>
      <c r="Y157" s="421"/>
      <c r="Z157" s="421"/>
      <c r="AA157" s="421"/>
      <c r="AB157" s="411"/>
      <c r="AC157" s="411"/>
      <c r="AD157" s="411"/>
      <c r="AE157" s="102" t="s">
        <v>18</v>
      </c>
      <c r="AF157" s="102" t="s">
        <v>18</v>
      </c>
      <c r="AG157" s="102" t="s">
        <v>18</v>
      </c>
      <c r="AH157" s="102" t="s">
        <v>18</v>
      </c>
      <c r="AI157" s="102" t="s">
        <v>18</v>
      </c>
      <c r="AJ157" s="102" t="s">
        <v>18</v>
      </c>
      <c r="AK157" s="102" t="s">
        <v>18</v>
      </c>
      <c r="AL157" s="102" t="s">
        <v>18</v>
      </c>
      <c r="AM157" s="102" t="s">
        <v>18</v>
      </c>
      <c r="AN157" s="102" t="s">
        <v>18</v>
      </c>
      <c r="AO157" s="102" t="s">
        <v>18</v>
      </c>
      <c r="AP157" s="102" t="s">
        <v>18</v>
      </c>
      <c r="AQ157" s="102" t="str">
        <f t="shared" si="4"/>
        <v/>
      </c>
    </row>
    <row r="158" spans="1:43" s="102" customFormat="1" ht="12">
      <c r="A158" s="118">
        <v>20</v>
      </c>
      <c r="B158" s="102" t="s">
        <v>267</v>
      </c>
      <c r="C158" s="206" t="s">
        <v>435</v>
      </c>
      <c r="D158" s="222">
        <v>15.5</v>
      </c>
      <c r="E158" s="222">
        <v>10.1</v>
      </c>
      <c r="F158" s="218">
        <v>102</v>
      </c>
      <c r="G158" s="222">
        <v>7.9</v>
      </c>
      <c r="H158" s="222">
        <v>1.8</v>
      </c>
      <c r="I158" s="222">
        <v>76.400000000000006</v>
      </c>
      <c r="J158" s="102">
        <v>2.1</v>
      </c>
      <c r="K158" s="218">
        <v>44</v>
      </c>
      <c r="L158" s="218">
        <v>100</v>
      </c>
      <c r="M158" s="218">
        <v>2000</v>
      </c>
      <c r="N158" s="218">
        <v>54</v>
      </c>
      <c r="O158" s="218">
        <v>3000</v>
      </c>
      <c r="P158" s="222" t="s">
        <v>18</v>
      </c>
      <c r="Q158" s="222" t="s">
        <v>18</v>
      </c>
      <c r="R158" s="609" t="s">
        <v>18</v>
      </c>
      <c r="S158" s="420"/>
      <c r="T158" s="421"/>
      <c r="U158" s="422"/>
      <c r="V158" s="423"/>
      <c r="W158" s="421"/>
      <c r="X158" s="421"/>
      <c r="Y158" s="421"/>
      <c r="Z158" s="421"/>
      <c r="AA158" s="421"/>
      <c r="AB158" s="411"/>
      <c r="AC158" s="411"/>
      <c r="AD158" s="411"/>
      <c r="AE158" s="102">
        <v>15.5</v>
      </c>
      <c r="AF158" s="102">
        <v>10.1</v>
      </c>
      <c r="AG158" s="102">
        <v>102</v>
      </c>
      <c r="AH158" s="102">
        <v>7.9</v>
      </c>
      <c r="AI158" s="102">
        <v>1.8</v>
      </c>
      <c r="AJ158" s="102">
        <v>76.400000000000006</v>
      </c>
      <c r="AK158" s="102">
        <v>2.1</v>
      </c>
      <c r="AL158" s="102">
        <v>44</v>
      </c>
      <c r="AM158" s="102">
        <v>100</v>
      </c>
      <c r="AN158" s="102">
        <v>2000</v>
      </c>
      <c r="AO158" s="102">
        <v>54</v>
      </c>
      <c r="AP158" s="102">
        <v>3000</v>
      </c>
      <c r="AQ158" s="102" t="str">
        <f t="shared" si="4"/>
        <v/>
      </c>
    </row>
    <row r="159" spans="1:43" s="102" customFormat="1" ht="12">
      <c r="A159" s="117"/>
      <c r="C159" s="610" t="s">
        <v>150</v>
      </c>
      <c r="D159" s="611">
        <v>10.87142857142857</v>
      </c>
      <c r="E159" s="611">
        <v>12.277142857142858</v>
      </c>
      <c r="F159" s="612">
        <v>108.28571428571429</v>
      </c>
      <c r="G159" s="611">
        <v>8.0428571428571427</v>
      </c>
      <c r="H159" s="611">
        <v>3.342857142857143</v>
      </c>
      <c r="I159" s="611">
        <v>64.51428571428572</v>
      </c>
      <c r="J159" s="611">
        <v>2.1428571428571428</v>
      </c>
      <c r="K159" s="612">
        <v>34.9</v>
      </c>
      <c r="L159" s="612">
        <v>81.428571428571431</v>
      </c>
      <c r="M159" s="612">
        <v>3621.4285714285716</v>
      </c>
      <c r="N159" s="612">
        <v>99.428571428571431</v>
      </c>
      <c r="O159" s="612">
        <v>4300</v>
      </c>
      <c r="P159" s="611"/>
      <c r="Q159" s="715"/>
      <c r="R159" s="307"/>
      <c r="S159" s="420"/>
      <c r="T159" s="421"/>
      <c r="U159" s="422"/>
      <c r="V159" s="423"/>
      <c r="W159" s="421"/>
      <c r="X159" s="421"/>
      <c r="Y159" s="421"/>
      <c r="Z159" s="421"/>
      <c r="AA159" s="421"/>
      <c r="AB159" s="411"/>
      <c r="AC159" s="411"/>
      <c r="AD159" s="411"/>
      <c r="AE159" s="102">
        <v>10.87142857142857</v>
      </c>
      <c r="AF159" s="102">
        <v>12.277142857142858</v>
      </c>
      <c r="AG159" s="102">
        <v>108.28571428571429</v>
      </c>
      <c r="AH159" s="102">
        <v>8.0428571428571427</v>
      </c>
      <c r="AI159" s="102">
        <v>3.342857142857143</v>
      </c>
      <c r="AJ159" s="102">
        <v>64.51428571428572</v>
      </c>
      <c r="AK159" s="102">
        <v>2.1428571428571428</v>
      </c>
      <c r="AL159" s="102">
        <v>34.9</v>
      </c>
      <c r="AM159" s="102">
        <v>81.428571428571431</v>
      </c>
      <c r="AN159" s="102">
        <v>3621.4285714285716</v>
      </c>
      <c r="AO159" s="102">
        <v>99.428571428571431</v>
      </c>
      <c r="AP159" s="102">
        <v>4300</v>
      </c>
      <c r="AQ159" s="102">
        <f t="shared" si="4"/>
        <v>0</v>
      </c>
    </row>
    <row r="160" spans="1:43" s="102" customFormat="1" ht="12">
      <c r="A160" s="117"/>
      <c r="C160" s="613" t="s">
        <v>151</v>
      </c>
      <c r="D160" s="614">
        <v>19.399999999999999</v>
      </c>
      <c r="E160" s="614">
        <v>16.8</v>
      </c>
      <c r="F160" s="615">
        <v>131</v>
      </c>
      <c r="G160" s="614">
        <v>8.5</v>
      </c>
      <c r="H160" s="614">
        <v>9.9</v>
      </c>
      <c r="I160" s="614">
        <v>76.400000000000006</v>
      </c>
      <c r="J160" s="614">
        <v>3.1</v>
      </c>
      <c r="K160" s="615">
        <v>75</v>
      </c>
      <c r="L160" s="615">
        <v>110</v>
      </c>
      <c r="M160" s="615">
        <v>6700</v>
      </c>
      <c r="N160" s="615">
        <v>320</v>
      </c>
      <c r="O160" s="615">
        <v>7400</v>
      </c>
      <c r="P160" s="614"/>
      <c r="Q160" s="716"/>
      <c r="R160" s="307"/>
      <c r="S160" s="420"/>
      <c r="T160" s="421"/>
      <c r="U160" s="422"/>
      <c r="V160" s="423"/>
      <c r="W160" s="421"/>
      <c r="X160" s="421"/>
      <c r="Y160" s="421"/>
      <c r="Z160" s="421"/>
      <c r="AA160" s="421"/>
      <c r="AB160" s="411"/>
      <c r="AC160" s="411"/>
      <c r="AD160" s="411"/>
      <c r="AE160" s="102">
        <v>19.399999999999999</v>
      </c>
      <c r="AF160" s="102">
        <v>16.8</v>
      </c>
      <c r="AG160" s="102">
        <v>131</v>
      </c>
      <c r="AH160" s="102">
        <v>8.5</v>
      </c>
      <c r="AI160" s="102">
        <v>9.9</v>
      </c>
      <c r="AJ160" s="102">
        <v>76.400000000000006</v>
      </c>
      <c r="AK160" s="102">
        <v>3.1</v>
      </c>
      <c r="AL160" s="102">
        <v>75</v>
      </c>
      <c r="AM160" s="102">
        <v>110</v>
      </c>
      <c r="AN160" s="102">
        <v>6700</v>
      </c>
      <c r="AO160" s="102">
        <v>320</v>
      </c>
      <c r="AP160" s="102">
        <v>7400</v>
      </c>
      <c r="AQ160" s="102">
        <f t="shared" si="4"/>
        <v>0</v>
      </c>
    </row>
    <row r="161" spans="1:43" s="102" customFormat="1" ht="12">
      <c r="A161" s="117"/>
      <c r="C161" s="616" t="s">
        <v>152</v>
      </c>
      <c r="D161" s="617">
        <v>2.4</v>
      </c>
      <c r="E161" s="617">
        <v>9.32</v>
      </c>
      <c r="F161" s="618">
        <v>99</v>
      </c>
      <c r="G161" s="617">
        <v>7.7</v>
      </c>
      <c r="H161" s="617">
        <v>1.5</v>
      </c>
      <c r="I161" s="617">
        <v>55.1</v>
      </c>
      <c r="J161" s="617">
        <v>1.3</v>
      </c>
      <c r="K161" s="618">
        <v>9.3000000000000007</v>
      </c>
      <c r="L161" s="618">
        <v>44</v>
      </c>
      <c r="M161" s="618">
        <v>250</v>
      </c>
      <c r="N161" s="618">
        <v>21</v>
      </c>
      <c r="O161" s="618">
        <v>1100</v>
      </c>
      <c r="P161" s="617"/>
      <c r="Q161" s="717"/>
      <c r="R161" s="307"/>
      <c r="S161" s="420"/>
      <c r="T161" s="421"/>
      <c r="U161" s="422"/>
      <c r="V161" s="423"/>
      <c r="W161" s="421"/>
      <c r="X161" s="421"/>
      <c r="Y161" s="421"/>
      <c r="Z161" s="421"/>
      <c r="AA161" s="421"/>
      <c r="AB161" s="411"/>
      <c r="AC161" s="411"/>
      <c r="AD161" s="411"/>
      <c r="AE161" s="102">
        <v>2.4</v>
      </c>
      <c r="AF161" s="102">
        <v>9.32</v>
      </c>
      <c r="AG161" s="102">
        <v>99</v>
      </c>
      <c r="AH161" s="102">
        <v>7.7</v>
      </c>
      <c r="AI161" s="102">
        <v>1.5</v>
      </c>
      <c r="AJ161" s="102">
        <v>55.1</v>
      </c>
      <c r="AK161" s="102">
        <v>1.3</v>
      </c>
      <c r="AL161" s="102">
        <v>9.3000000000000007</v>
      </c>
      <c r="AM161" s="102">
        <v>44</v>
      </c>
      <c r="AN161" s="102">
        <v>250</v>
      </c>
      <c r="AO161" s="102">
        <v>21</v>
      </c>
      <c r="AP161" s="102">
        <v>1100</v>
      </c>
      <c r="AQ161" s="102">
        <f t="shared" si="4"/>
        <v>0</v>
      </c>
    </row>
    <row r="162" spans="1:43" s="102" customFormat="1" ht="12">
      <c r="A162" s="117"/>
      <c r="B162" s="411"/>
      <c r="C162" s="619"/>
      <c r="D162" s="620"/>
      <c r="E162" s="620"/>
      <c r="F162" s="621"/>
      <c r="G162" s="620"/>
      <c r="H162" s="622"/>
      <c r="I162" s="620"/>
      <c r="J162" s="622"/>
      <c r="K162" s="622"/>
      <c r="L162" s="622"/>
      <c r="M162" s="622"/>
      <c r="N162" s="622"/>
      <c r="O162" s="622"/>
      <c r="P162" s="620"/>
      <c r="Q162" s="620"/>
      <c r="R162" s="387"/>
      <c r="S162" s="420"/>
      <c r="T162" s="421"/>
      <c r="U162" s="422"/>
      <c r="V162" s="423"/>
      <c r="W162" s="421"/>
      <c r="X162" s="421"/>
      <c r="Y162" s="421"/>
      <c r="Z162" s="421"/>
      <c r="AA162" s="421"/>
      <c r="AB162" s="411"/>
      <c r="AC162" s="411"/>
      <c r="AD162" s="411"/>
    </row>
    <row r="163" spans="1:43" s="102" customFormat="1" ht="12" customHeight="1">
      <c r="A163" s="118">
        <v>21</v>
      </c>
      <c r="B163" s="102" t="s">
        <v>261</v>
      </c>
      <c r="C163" s="206">
        <v>45671</v>
      </c>
      <c r="D163" s="222">
        <v>3.1</v>
      </c>
      <c r="E163" s="222">
        <v>13.32</v>
      </c>
      <c r="F163" s="218">
        <v>99</v>
      </c>
      <c r="G163" s="222">
        <v>8</v>
      </c>
      <c r="H163" s="222">
        <v>12</v>
      </c>
      <c r="I163" s="222">
        <v>49.7</v>
      </c>
      <c r="J163" s="102">
        <v>1.3</v>
      </c>
      <c r="K163" s="218">
        <v>42</v>
      </c>
      <c r="L163" s="218">
        <v>100</v>
      </c>
      <c r="M163" s="218">
        <v>8100</v>
      </c>
      <c r="N163" s="218">
        <v>76</v>
      </c>
      <c r="O163" s="218">
        <v>8200</v>
      </c>
      <c r="P163" s="222" t="s">
        <v>18</v>
      </c>
      <c r="Q163" s="222" t="s">
        <v>18</v>
      </c>
      <c r="R163" s="609" t="s">
        <v>18</v>
      </c>
      <c r="S163" s="421"/>
      <c r="T163" s="411"/>
      <c r="U163" s="423"/>
      <c r="V163" s="423"/>
      <c r="W163" s="424"/>
      <c r="X163" s="425"/>
      <c r="Y163" s="425"/>
      <c r="Z163" s="411"/>
      <c r="AA163" s="411"/>
      <c r="AB163" s="411"/>
      <c r="AC163" s="411"/>
      <c r="AD163" s="411"/>
      <c r="AE163" s="102">
        <v>3.1</v>
      </c>
      <c r="AF163" s="102">
        <v>13.32</v>
      </c>
      <c r="AG163" s="102">
        <v>99</v>
      </c>
      <c r="AH163" s="102">
        <v>8</v>
      </c>
      <c r="AI163" s="102">
        <v>12</v>
      </c>
      <c r="AJ163" s="102">
        <v>49.7</v>
      </c>
      <c r="AK163" s="102">
        <v>1.3</v>
      </c>
      <c r="AL163" s="102">
        <v>42</v>
      </c>
      <c r="AM163" s="102">
        <v>100</v>
      </c>
      <c r="AN163" s="102">
        <v>8100</v>
      </c>
      <c r="AO163" s="102">
        <v>76</v>
      </c>
      <c r="AP163" s="102">
        <v>8200</v>
      </c>
      <c r="AQ163" s="102" t="str">
        <f t="shared" ref="AQ163:AQ177" si="5">IF(OR(LEFT(Q163,1)="&lt;",LEFT(Q163,1)="&gt;"),VALUE(MID(Q163,2,5)),Q163)</f>
        <v/>
      </c>
    </row>
    <row r="164" spans="1:43" s="102" customFormat="1" ht="12" customHeight="1">
      <c r="A164" s="118">
        <v>21</v>
      </c>
      <c r="B164" s="102" t="s">
        <v>261</v>
      </c>
      <c r="C164" s="206">
        <v>45706</v>
      </c>
      <c r="D164" s="222">
        <v>0.4</v>
      </c>
      <c r="E164" s="222">
        <v>14.99</v>
      </c>
      <c r="F164" s="218">
        <v>104</v>
      </c>
      <c r="G164" s="222">
        <v>8.1</v>
      </c>
      <c r="H164" s="222">
        <v>4.9000000000000004</v>
      </c>
      <c r="I164" s="222">
        <v>55.6</v>
      </c>
      <c r="J164" s="102">
        <v>1.1000000000000001</v>
      </c>
      <c r="K164" s="218">
        <v>35</v>
      </c>
      <c r="L164" s="218">
        <v>57</v>
      </c>
      <c r="M164" s="218">
        <v>7200</v>
      </c>
      <c r="N164" s="218">
        <v>71</v>
      </c>
      <c r="O164" s="218">
        <v>7600</v>
      </c>
      <c r="P164" s="222" t="s">
        <v>18</v>
      </c>
      <c r="Q164" s="222" t="s">
        <v>18</v>
      </c>
      <c r="R164" s="609" t="s">
        <v>18</v>
      </c>
      <c r="S164" s="428"/>
      <c r="T164" s="411"/>
      <c r="U164" s="422"/>
      <c r="V164" s="423"/>
      <c r="W164" s="424"/>
      <c r="X164" s="425"/>
      <c r="Y164" s="425"/>
      <c r="Z164" s="424"/>
      <c r="AA164" s="425"/>
      <c r="AB164" s="425"/>
      <c r="AC164" s="425"/>
      <c r="AD164" s="411"/>
      <c r="AE164" s="102">
        <v>0.4</v>
      </c>
      <c r="AF164" s="102">
        <v>14.99</v>
      </c>
      <c r="AG164" s="102">
        <v>104</v>
      </c>
      <c r="AH164" s="102">
        <v>8.1</v>
      </c>
      <c r="AI164" s="102">
        <v>4.9000000000000004</v>
      </c>
      <c r="AJ164" s="102">
        <v>55.6</v>
      </c>
      <c r="AK164" s="102">
        <v>1.1000000000000001</v>
      </c>
      <c r="AL164" s="102">
        <v>35</v>
      </c>
      <c r="AM164" s="102">
        <v>57</v>
      </c>
      <c r="AN164" s="102">
        <v>7200</v>
      </c>
      <c r="AO164" s="102">
        <v>71</v>
      </c>
      <c r="AP164" s="102">
        <v>7600</v>
      </c>
      <c r="AQ164" s="102" t="str">
        <f t="shared" si="5"/>
        <v/>
      </c>
    </row>
    <row r="165" spans="1:43" s="102" customFormat="1" ht="12" customHeight="1">
      <c r="A165" s="118">
        <v>21</v>
      </c>
      <c r="B165" s="102" t="s">
        <v>261</v>
      </c>
      <c r="C165" s="206">
        <v>45734</v>
      </c>
      <c r="D165" s="222">
        <v>4.4000000000000004</v>
      </c>
      <c r="E165" s="222">
        <v>16.05</v>
      </c>
      <c r="F165" s="218">
        <v>124</v>
      </c>
      <c r="G165" s="222">
        <v>8.5</v>
      </c>
      <c r="H165" s="222">
        <v>1.5</v>
      </c>
      <c r="I165" s="222">
        <v>47.3</v>
      </c>
      <c r="J165" s="102">
        <v>2.2000000000000002</v>
      </c>
      <c r="K165" s="218">
        <v>7</v>
      </c>
      <c r="L165" s="218">
        <v>27</v>
      </c>
      <c r="M165" s="218">
        <v>4900</v>
      </c>
      <c r="N165" s="218" t="s">
        <v>148</v>
      </c>
      <c r="O165" s="218">
        <v>4900</v>
      </c>
      <c r="P165" s="222" t="s">
        <v>18</v>
      </c>
      <c r="Q165" s="222" t="s">
        <v>18</v>
      </c>
      <c r="R165" s="609" t="s">
        <v>18</v>
      </c>
      <c r="S165" s="428"/>
      <c r="T165" s="411"/>
      <c r="U165" s="422"/>
      <c r="V165" s="423"/>
      <c r="W165" s="411"/>
      <c r="X165" s="411"/>
      <c r="Y165" s="411"/>
      <c r="Z165" s="411"/>
      <c r="AA165" s="411"/>
      <c r="AB165" s="411"/>
      <c r="AC165" s="411"/>
      <c r="AD165" s="411"/>
      <c r="AE165" s="102">
        <v>4.4000000000000004</v>
      </c>
      <c r="AF165" s="102">
        <v>16.05</v>
      </c>
      <c r="AG165" s="102">
        <v>124</v>
      </c>
      <c r="AH165" s="102">
        <v>8.5</v>
      </c>
      <c r="AI165" s="102">
        <v>1.5</v>
      </c>
      <c r="AJ165" s="102">
        <v>47.3</v>
      </c>
      <c r="AK165" s="102">
        <v>2.2000000000000002</v>
      </c>
      <c r="AL165" s="102">
        <v>7</v>
      </c>
      <c r="AM165" s="102">
        <v>27</v>
      </c>
      <c r="AN165" s="102">
        <v>4900</v>
      </c>
      <c r="AO165" s="102">
        <v>10</v>
      </c>
      <c r="AP165" s="102">
        <v>4900</v>
      </c>
      <c r="AQ165" s="102" t="str">
        <f t="shared" si="5"/>
        <v/>
      </c>
    </row>
    <row r="166" spans="1:43" s="102" customFormat="1" ht="12" customHeight="1">
      <c r="A166" s="118">
        <v>21</v>
      </c>
      <c r="B166" s="102" t="str">
        <f>RS!D114</f>
        <v>53A Bråån, vid  golfbana, uppströms Eslövsbäcken</v>
      </c>
      <c r="C166" s="206">
        <f>RS!E114</f>
        <v>45761</v>
      </c>
      <c r="D166" s="222">
        <f>RS!F114</f>
        <v>10.8</v>
      </c>
      <c r="E166" s="222">
        <f>RS!G114</f>
        <v>12.15</v>
      </c>
      <c r="F166" s="218">
        <f>RS!H114</f>
        <v>110</v>
      </c>
      <c r="G166" s="222">
        <f>RS!I114</f>
        <v>8.3000000000000007</v>
      </c>
      <c r="H166" s="222">
        <f>RS!J114</f>
        <v>1.6</v>
      </c>
      <c r="I166" s="222">
        <f>RS!K114</f>
        <v>51.7</v>
      </c>
      <c r="J166" s="102">
        <f>RS!L114</f>
        <v>2.2000000000000002</v>
      </c>
      <c r="K166" s="218">
        <f>RS!M114</f>
        <v>8.1999999999999993</v>
      </c>
      <c r="L166" s="218">
        <f>RS!N114</f>
        <v>28</v>
      </c>
      <c r="M166" s="218">
        <f>RS!O114</f>
        <v>2600</v>
      </c>
      <c r="N166" s="218">
        <f>RS!P114</f>
        <v>15</v>
      </c>
      <c r="O166" s="218">
        <f>RS!Q114</f>
        <v>3200</v>
      </c>
      <c r="P166" s="222" t="str">
        <f>RS!R114</f>
        <v/>
      </c>
      <c r="Q166" s="222" t="str">
        <f>RS!S114</f>
        <v/>
      </c>
      <c r="R166" s="609" t="str">
        <f>RS!T114</f>
        <v/>
      </c>
      <c r="S166" s="429"/>
      <c r="T166" s="430"/>
      <c r="U166" s="422"/>
      <c r="V166" s="423"/>
      <c r="W166" s="431"/>
      <c r="X166" s="432"/>
      <c r="Y166" s="421"/>
      <c r="Z166" s="421"/>
      <c r="AA166" s="421"/>
      <c r="AB166" s="411"/>
      <c r="AC166" s="411"/>
      <c r="AD166" s="411"/>
      <c r="AE166" s="102">
        <f t="shared" ref="AE166:AE177" si="6">IF(OR(LEFT(D166,1)="&lt;",LEFT(D166,1)="&gt;"),VALUE(MID(D166,2,5)),D166)</f>
        <v>10.8</v>
      </c>
      <c r="AF166" s="102">
        <f t="shared" ref="AF166:AF177" si="7">IF(OR(LEFT(E166,1)="&lt;",LEFT(E166,1)="&gt;"),VALUE(MID(E166,2,5)),E166)</f>
        <v>12.15</v>
      </c>
      <c r="AG166" s="102">
        <f t="shared" ref="AG166:AG177" si="8">IF(OR(LEFT(F166,1)="&lt;",LEFT(F166,1)="&gt;"),VALUE(MID(F166,2,5)),F166)</f>
        <v>110</v>
      </c>
      <c r="AH166" s="102">
        <f t="shared" ref="AH166:AH177" si="9">IF(OR(LEFT(G166,1)="&lt;",LEFT(G166,1)="&gt;"),VALUE(MID(G166,2,5)),G166)</f>
        <v>8.3000000000000007</v>
      </c>
      <c r="AI166" s="102">
        <f t="shared" ref="AI166:AI177" si="10">IF(OR(LEFT(H166,1)="&lt;",LEFT(H166,1)="&gt;"),VALUE(MID(H166,2,5)),H166)</f>
        <v>1.6</v>
      </c>
      <c r="AJ166" s="102">
        <f t="shared" ref="AJ166:AJ177" si="11">IF(OR(LEFT(I166,1)="&lt;",LEFT(I166,1)="&gt;"),VALUE(MID(I166,2,5)),I166)</f>
        <v>51.7</v>
      </c>
      <c r="AK166" s="102">
        <f t="shared" ref="AK166:AK177" si="12">IF(OR(LEFT(J166,1)="&lt;",LEFT(J166,1)="&gt;"),VALUE(MID(J166,2,5)),J166)</f>
        <v>2.2000000000000002</v>
      </c>
      <c r="AL166" s="102">
        <f t="shared" ref="AL166:AL177" si="13">IF(OR(LEFT(K166,1)="&lt;",LEFT(K166,1)="&gt;"),VALUE(MID(K166,2,5)),K166)</f>
        <v>8.1999999999999993</v>
      </c>
      <c r="AM166" s="102">
        <f t="shared" ref="AM166:AM177" si="14">IF(OR(LEFT(L166,1)="&lt;",LEFT(L166,1)="&gt;"),VALUE(MID(L166,2,5)),L166)</f>
        <v>28</v>
      </c>
      <c r="AN166" s="102">
        <f t="shared" ref="AN166:AN177" si="15">IF(OR(LEFT(M166,1)="&lt;",LEFT(M166,1)="&gt;"),VALUE(MID(M166,2,5)),M166)</f>
        <v>2600</v>
      </c>
      <c r="AO166" s="102">
        <f t="shared" ref="AO166:AO177" si="16">IF(OR(LEFT(N166,1)="&lt;",LEFT(N166,1)="&gt;"),VALUE(MID(N166,2,5)),N166)</f>
        <v>15</v>
      </c>
      <c r="AP166" s="102">
        <f t="shared" ref="AP166:AP177" si="17">IF(OR(LEFT(O166,1)="&lt;",LEFT(O166,1)="&gt;"),VALUE(MID(O166,2,5)),O166)</f>
        <v>3200</v>
      </c>
      <c r="AQ166" s="102" t="str">
        <f t="shared" si="5"/>
        <v/>
      </c>
    </row>
    <row r="167" spans="1:43" s="102" customFormat="1" ht="12" customHeight="1">
      <c r="A167" s="118">
        <v>21</v>
      </c>
      <c r="B167" s="102" t="str">
        <f>RS!D115</f>
        <v>53A Bråån, vid  golfbana, uppströms Eslövsbäcken</v>
      </c>
      <c r="C167" s="206">
        <f>RS!E115</f>
        <v>45826</v>
      </c>
      <c r="D167" s="222">
        <f>RS!F115</f>
        <v>17.7</v>
      </c>
      <c r="E167" s="222">
        <f>RS!G115</f>
        <v>9.89</v>
      </c>
      <c r="F167" s="218">
        <f>RS!H115</f>
        <v>104</v>
      </c>
      <c r="G167" s="222">
        <f>RS!I115</f>
        <v>8.1</v>
      </c>
      <c r="H167" s="222">
        <f>RS!J115</f>
        <v>1.3</v>
      </c>
      <c r="I167" s="222">
        <f>RS!K115</f>
        <v>51.7</v>
      </c>
      <c r="J167" s="102">
        <f>RS!L115</f>
        <v>1.3</v>
      </c>
      <c r="K167" s="218">
        <f>RS!M115</f>
        <v>88</v>
      </c>
      <c r="L167" s="218">
        <f>RS!N115</f>
        <v>120</v>
      </c>
      <c r="M167" s="218">
        <f>RS!O115</f>
        <v>580</v>
      </c>
      <c r="N167" s="218">
        <f>RS!P115</f>
        <v>40</v>
      </c>
      <c r="O167" s="218">
        <f>RS!Q115</f>
        <v>1200</v>
      </c>
      <c r="P167" s="222" t="str">
        <f>RS!R115</f>
        <v/>
      </c>
      <c r="Q167" s="222" t="str">
        <f>RS!S115</f>
        <v/>
      </c>
      <c r="R167" s="609" t="str">
        <f>RS!T115</f>
        <v/>
      </c>
      <c r="S167" s="428"/>
      <c r="T167" s="421"/>
      <c r="U167" s="422"/>
      <c r="V167" s="423"/>
      <c r="W167" s="421"/>
      <c r="X167" s="421"/>
      <c r="Y167" s="421"/>
      <c r="Z167" s="421"/>
      <c r="AA167" s="421"/>
      <c r="AB167" s="411"/>
      <c r="AC167" s="411"/>
      <c r="AD167" s="411"/>
      <c r="AE167" s="102">
        <f t="shared" si="6"/>
        <v>17.7</v>
      </c>
      <c r="AF167" s="102">
        <f t="shared" si="7"/>
        <v>9.89</v>
      </c>
      <c r="AG167" s="102">
        <f t="shared" si="8"/>
        <v>104</v>
      </c>
      <c r="AH167" s="102">
        <f t="shared" si="9"/>
        <v>8.1</v>
      </c>
      <c r="AI167" s="102">
        <f t="shared" si="10"/>
        <v>1.3</v>
      </c>
      <c r="AJ167" s="102">
        <f t="shared" si="11"/>
        <v>51.7</v>
      </c>
      <c r="AK167" s="102">
        <f t="shared" si="12"/>
        <v>1.3</v>
      </c>
      <c r="AL167" s="102">
        <f t="shared" si="13"/>
        <v>88</v>
      </c>
      <c r="AM167" s="102">
        <f t="shared" si="14"/>
        <v>120</v>
      </c>
      <c r="AN167" s="102">
        <f t="shared" si="15"/>
        <v>580</v>
      </c>
      <c r="AO167" s="102">
        <f t="shared" si="16"/>
        <v>40</v>
      </c>
      <c r="AP167" s="102">
        <f t="shared" si="17"/>
        <v>1200</v>
      </c>
      <c r="AQ167" s="102" t="str">
        <f t="shared" si="5"/>
        <v/>
      </c>
    </row>
    <row r="168" spans="1:43" s="102" customFormat="1" ht="12" customHeight="1">
      <c r="A168" s="118">
        <v>21</v>
      </c>
      <c r="B168" s="102" t="str">
        <f>RS!D116</f>
        <v>53A Bråån, vid  golfbana, uppströms Eslövsbäcken</v>
      </c>
      <c r="C168" s="206">
        <f>RS!E116</f>
        <v>45848</v>
      </c>
      <c r="D168" s="222">
        <f>RS!F116</f>
        <v>18</v>
      </c>
      <c r="E168" s="222">
        <f>RS!G116</f>
        <v>9.34</v>
      </c>
      <c r="F168" s="218">
        <f>RS!H116</f>
        <v>99</v>
      </c>
      <c r="G168" s="222">
        <f>RS!I116</f>
        <v>8.1</v>
      </c>
      <c r="H168" s="222">
        <f>RS!J116</f>
        <v>1.9</v>
      </c>
      <c r="I168" s="222">
        <f>RS!K116</f>
        <v>57.1</v>
      </c>
      <c r="J168" s="102">
        <f>RS!L116</f>
        <v>1</v>
      </c>
      <c r="K168" s="218">
        <f>RS!M116</f>
        <v>100</v>
      </c>
      <c r="L168" s="218">
        <f>RS!N116</f>
        <v>130</v>
      </c>
      <c r="M168" s="218">
        <f>RS!O116</f>
        <v>420</v>
      </c>
      <c r="N168" s="218">
        <f>RS!P116</f>
        <v>27</v>
      </c>
      <c r="O168" s="218">
        <f>RS!Q116</f>
        <v>890</v>
      </c>
      <c r="P168" s="222" t="str">
        <f>RS!R116</f>
        <v/>
      </c>
      <c r="Q168" s="222" t="str">
        <f>RS!S116</f>
        <v/>
      </c>
      <c r="R168" s="609" t="str">
        <f>RS!T116</f>
        <v/>
      </c>
      <c r="S168" s="428"/>
      <c r="T168" s="421"/>
      <c r="U168" s="422"/>
      <c r="V168" s="423"/>
      <c r="W168" s="421"/>
      <c r="X168" s="421"/>
      <c r="Y168" s="421"/>
      <c r="Z168" s="421"/>
      <c r="AA168" s="421"/>
      <c r="AB168" s="411"/>
      <c r="AC168" s="411"/>
      <c r="AD168" s="411"/>
      <c r="AE168" s="102">
        <f t="shared" si="6"/>
        <v>18</v>
      </c>
      <c r="AF168" s="102">
        <f t="shared" si="7"/>
        <v>9.34</v>
      </c>
      <c r="AG168" s="102">
        <f t="shared" si="8"/>
        <v>99</v>
      </c>
      <c r="AH168" s="102">
        <f t="shared" si="9"/>
        <v>8.1</v>
      </c>
      <c r="AI168" s="102">
        <f t="shared" si="10"/>
        <v>1.9</v>
      </c>
      <c r="AJ168" s="102">
        <f t="shared" si="11"/>
        <v>57.1</v>
      </c>
      <c r="AK168" s="102">
        <f t="shared" si="12"/>
        <v>1</v>
      </c>
      <c r="AL168" s="102">
        <f t="shared" si="13"/>
        <v>100</v>
      </c>
      <c r="AM168" s="102">
        <f t="shared" si="14"/>
        <v>130</v>
      </c>
      <c r="AN168" s="102">
        <f t="shared" si="15"/>
        <v>420</v>
      </c>
      <c r="AO168" s="102">
        <f t="shared" si="16"/>
        <v>27</v>
      </c>
      <c r="AP168" s="102">
        <f t="shared" si="17"/>
        <v>890</v>
      </c>
      <c r="AQ168" s="102" t="str">
        <f t="shared" si="5"/>
        <v/>
      </c>
    </row>
    <row r="169" spans="1:43" s="102" customFormat="1" ht="12" customHeight="1">
      <c r="A169" s="118">
        <v>21</v>
      </c>
      <c r="B169" s="102" t="str">
        <f>RS!D117</f>
        <v>53A Bråån, vid  golfbana, uppströms Eslövsbäcken</v>
      </c>
      <c r="C169" s="206" t="str">
        <f>RS!E117</f>
        <v/>
      </c>
      <c r="D169" s="222" t="str">
        <f>RS!F117</f>
        <v/>
      </c>
      <c r="E169" s="222" t="str">
        <f>RS!G117</f>
        <v/>
      </c>
      <c r="F169" s="218" t="str">
        <f>RS!H117</f>
        <v/>
      </c>
      <c r="G169" s="222" t="str">
        <f>RS!I117</f>
        <v/>
      </c>
      <c r="H169" s="222" t="str">
        <f>RS!J117</f>
        <v/>
      </c>
      <c r="I169" s="222" t="str">
        <f>RS!K117</f>
        <v/>
      </c>
      <c r="J169" s="102" t="str">
        <f>RS!L117</f>
        <v/>
      </c>
      <c r="K169" s="218" t="str">
        <f>RS!M117</f>
        <v/>
      </c>
      <c r="L169" s="218" t="str">
        <f>RS!N117</f>
        <v/>
      </c>
      <c r="M169" s="218" t="str">
        <f>RS!O117</f>
        <v/>
      </c>
      <c r="N169" s="218" t="str">
        <f>RS!P117</f>
        <v/>
      </c>
      <c r="O169" s="218" t="str">
        <f>RS!Q117</f>
        <v/>
      </c>
      <c r="P169" s="222" t="str">
        <f>RS!R117</f>
        <v/>
      </c>
      <c r="Q169" s="222" t="str">
        <f>RS!S117</f>
        <v/>
      </c>
      <c r="R169" s="609" t="str">
        <f>RS!T117</f>
        <v/>
      </c>
      <c r="S169" s="420"/>
      <c r="T169" s="421"/>
      <c r="U169" s="422"/>
      <c r="V169" s="423"/>
      <c r="W169" s="421"/>
      <c r="X169" s="421"/>
      <c r="Y169" s="421"/>
      <c r="Z169" s="421"/>
      <c r="AA169" s="421"/>
      <c r="AB169" s="411"/>
      <c r="AC169" s="411"/>
      <c r="AD169" s="411"/>
      <c r="AE169" s="102" t="str">
        <f t="shared" si="6"/>
        <v/>
      </c>
      <c r="AF169" s="102" t="str">
        <f t="shared" si="7"/>
        <v/>
      </c>
      <c r="AG169" s="102" t="str">
        <f t="shared" si="8"/>
        <v/>
      </c>
      <c r="AH169" s="102" t="str">
        <f t="shared" si="9"/>
        <v/>
      </c>
      <c r="AI169" s="102" t="str">
        <f t="shared" si="10"/>
        <v/>
      </c>
      <c r="AJ169" s="102" t="str">
        <f t="shared" si="11"/>
        <v/>
      </c>
      <c r="AK169" s="102" t="str">
        <f t="shared" si="12"/>
        <v/>
      </c>
      <c r="AL169" s="102" t="str">
        <f t="shared" si="13"/>
        <v/>
      </c>
      <c r="AM169" s="102" t="str">
        <f t="shared" si="14"/>
        <v/>
      </c>
      <c r="AN169" s="102" t="str">
        <f t="shared" si="15"/>
        <v/>
      </c>
      <c r="AO169" s="102" t="str">
        <f t="shared" si="16"/>
        <v/>
      </c>
      <c r="AP169" s="102" t="str">
        <f t="shared" si="17"/>
        <v/>
      </c>
      <c r="AQ169" s="102" t="str">
        <f t="shared" si="5"/>
        <v/>
      </c>
    </row>
    <row r="170" spans="1:43" s="102" customFormat="1" ht="12" customHeight="1">
      <c r="A170" s="118">
        <v>21</v>
      </c>
      <c r="B170" s="102" t="str">
        <f>RS!D118</f>
        <v>53A Bråån, vid  golfbana, uppströms Eslövsbäcken</v>
      </c>
      <c r="C170" s="206" t="str">
        <f>RS!E118</f>
        <v/>
      </c>
      <c r="D170" s="222" t="str">
        <f>RS!F118</f>
        <v/>
      </c>
      <c r="E170" s="222" t="str">
        <f>RS!G118</f>
        <v/>
      </c>
      <c r="F170" s="218" t="str">
        <f>RS!H118</f>
        <v/>
      </c>
      <c r="G170" s="222" t="str">
        <f>RS!I118</f>
        <v/>
      </c>
      <c r="H170" s="222" t="str">
        <f>RS!J118</f>
        <v/>
      </c>
      <c r="I170" s="222" t="str">
        <f>RS!K118</f>
        <v/>
      </c>
      <c r="J170" s="102" t="str">
        <f>RS!L118</f>
        <v/>
      </c>
      <c r="K170" s="218" t="str">
        <f>RS!M118</f>
        <v/>
      </c>
      <c r="L170" s="218" t="str">
        <f>RS!N118</f>
        <v/>
      </c>
      <c r="M170" s="218" t="str">
        <f>RS!O118</f>
        <v/>
      </c>
      <c r="N170" s="218" t="str">
        <f>RS!P118</f>
        <v/>
      </c>
      <c r="O170" s="218" t="str">
        <f>RS!Q118</f>
        <v/>
      </c>
      <c r="P170" s="222" t="str">
        <f>RS!R118</f>
        <v/>
      </c>
      <c r="Q170" s="222" t="str">
        <f>RS!S118</f>
        <v/>
      </c>
      <c r="R170" s="609" t="str">
        <f>RS!T118</f>
        <v/>
      </c>
      <c r="S170" s="420"/>
      <c r="T170" s="421"/>
      <c r="U170" s="422"/>
      <c r="V170" s="423"/>
      <c r="W170" s="421"/>
      <c r="X170" s="421"/>
      <c r="Y170" s="421"/>
      <c r="Z170" s="421"/>
      <c r="AA170" s="421"/>
      <c r="AB170" s="411"/>
      <c r="AC170" s="411"/>
      <c r="AD170" s="411"/>
      <c r="AE170" s="102" t="str">
        <f t="shared" si="6"/>
        <v/>
      </c>
      <c r="AF170" s="102" t="str">
        <f t="shared" si="7"/>
        <v/>
      </c>
      <c r="AG170" s="102" t="str">
        <f t="shared" si="8"/>
        <v/>
      </c>
      <c r="AH170" s="102" t="str">
        <f t="shared" si="9"/>
        <v/>
      </c>
      <c r="AI170" s="102" t="str">
        <f t="shared" si="10"/>
        <v/>
      </c>
      <c r="AJ170" s="102" t="str">
        <f t="shared" si="11"/>
        <v/>
      </c>
      <c r="AK170" s="102" t="str">
        <f t="shared" si="12"/>
        <v/>
      </c>
      <c r="AL170" s="102" t="str">
        <f t="shared" si="13"/>
        <v/>
      </c>
      <c r="AM170" s="102" t="str">
        <f t="shared" si="14"/>
        <v/>
      </c>
      <c r="AN170" s="102" t="str">
        <f t="shared" si="15"/>
        <v/>
      </c>
      <c r="AO170" s="102" t="str">
        <f t="shared" si="16"/>
        <v/>
      </c>
      <c r="AP170" s="102" t="str">
        <f t="shared" si="17"/>
        <v/>
      </c>
      <c r="AQ170" s="102" t="str">
        <f t="shared" si="5"/>
        <v/>
      </c>
    </row>
    <row r="171" spans="1:43" s="102" customFormat="1" ht="12" customHeight="1">
      <c r="A171" s="118">
        <v>21</v>
      </c>
      <c r="B171" s="102" t="str">
        <f>RS!D119</f>
        <v>53A Bråån, vid  golfbana, uppströms Eslövsbäcken</v>
      </c>
      <c r="C171" s="206" t="str">
        <f>RS!E119</f>
        <v/>
      </c>
      <c r="D171" s="222" t="str">
        <f>RS!F119</f>
        <v/>
      </c>
      <c r="E171" s="222" t="str">
        <f>RS!G119</f>
        <v/>
      </c>
      <c r="F171" s="218" t="str">
        <f>RS!H119</f>
        <v/>
      </c>
      <c r="G171" s="222" t="str">
        <f>RS!I119</f>
        <v/>
      </c>
      <c r="H171" s="222" t="str">
        <f>RS!J119</f>
        <v/>
      </c>
      <c r="I171" s="222" t="str">
        <f>RS!K119</f>
        <v/>
      </c>
      <c r="J171" s="102" t="str">
        <f>RS!L119</f>
        <v/>
      </c>
      <c r="K171" s="218" t="str">
        <f>RS!M119</f>
        <v/>
      </c>
      <c r="L171" s="218" t="str">
        <f>RS!N119</f>
        <v/>
      </c>
      <c r="M171" s="218" t="str">
        <f>RS!O119</f>
        <v/>
      </c>
      <c r="N171" s="218" t="str">
        <f>RS!P119</f>
        <v/>
      </c>
      <c r="O171" s="218" t="str">
        <f>RS!Q119</f>
        <v/>
      </c>
      <c r="P171" s="222" t="str">
        <f>RS!R119</f>
        <v/>
      </c>
      <c r="Q171" s="222" t="str">
        <f>RS!S119</f>
        <v/>
      </c>
      <c r="R171" s="609" t="str">
        <f>RS!T119</f>
        <v/>
      </c>
      <c r="S171" s="420"/>
      <c r="T171" s="421"/>
      <c r="U171" s="422"/>
      <c r="V171" s="423"/>
      <c r="W171" s="421"/>
      <c r="X171" s="421"/>
      <c r="Y171" s="421"/>
      <c r="Z171" s="421"/>
      <c r="AA171" s="421"/>
      <c r="AB171" s="411"/>
      <c r="AC171" s="411"/>
      <c r="AD171" s="411"/>
      <c r="AE171" s="102" t="str">
        <f t="shared" si="6"/>
        <v/>
      </c>
      <c r="AF171" s="102" t="str">
        <f t="shared" si="7"/>
        <v/>
      </c>
      <c r="AG171" s="102" t="str">
        <f t="shared" si="8"/>
        <v/>
      </c>
      <c r="AH171" s="102" t="str">
        <f t="shared" si="9"/>
        <v/>
      </c>
      <c r="AI171" s="102" t="str">
        <f t="shared" si="10"/>
        <v/>
      </c>
      <c r="AJ171" s="102" t="str">
        <f t="shared" si="11"/>
        <v/>
      </c>
      <c r="AK171" s="102" t="str">
        <f t="shared" si="12"/>
        <v/>
      </c>
      <c r="AL171" s="102" t="str">
        <f t="shared" si="13"/>
        <v/>
      </c>
      <c r="AM171" s="102" t="str">
        <f t="shared" si="14"/>
        <v/>
      </c>
      <c r="AN171" s="102" t="str">
        <f t="shared" si="15"/>
        <v/>
      </c>
      <c r="AO171" s="102" t="str">
        <f t="shared" si="16"/>
        <v/>
      </c>
      <c r="AP171" s="102" t="str">
        <f t="shared" si="17"/>
        <v/>
      </c>
      <c r="AQ171" s="102" t="str">
        <f t="shared" si="5"/>
        <v/>
      </c>
    </row>
    <row r="172" spans="1:43" s="102" customFormat="1" ht="12" customHeight="1">
      <c r="A172" s="118">
        <v>21</v>
      </c>
      <c r="B172" s="102" t="str">
        <f>RS!D120</f>
        <v>53A Bråån, vid  golfbana, uppströms Eslövsbäcken</v>
      </c>
      <c r="C172" s="206" t="str">
        <f>RS!E120</f>
        <v/>
      </c>
      <c r="D172" s="222" t="str">
        <f>RS!F120</f>
        <v/>
      </c>
      <c r="E172" s="222" t="str">
        <f>RS!G120</f>
        <v/>
      </c>
      <c r="F172" s="218" t="str">
        <f>RS!H120</f>
        <v/>
      </c>
      <c r="G172" s="222" t="str">
        <f>RS!I120</f>
        <v/>
      </c>
      <c r="H172" s="222" t="str">
        <f>RS!J120</f>
        <v/>
      </c>
      <c r="I172" s="222" t="str">
        <f>RS!K120</f>
        <v/>
      </c>
      <c r="J172" s="102" t="str">
        <f>RS!L120</f>
        <v/>
      </c>
      <c r="K172" s="218" t="str">
        <f>RS!M120</f>
        <v/>
      </c>
      <c r="L172" s="218" t="str">
        <f>RS!N120</f>
        <v/>
      </c>
      <c r="M172" s="218" t="str">
        <f>RS!O120</f>
        <v/>
      </c>
      <c r="N172" s="218" t="str">
        <f>RS!P120</f>
        <v/>
      </c>
      <c r="O172" s="218" t="str">
        <f>RS!Q120</f>
        <v/>
      </c>
      <c r="P172" s="222" t="str">
        <f>RS!R120</f>
        <v/>
      </c>
      <c r="Q172" s="222" t="str">
        <f>RS!S120</f>
        <v/>
      </c>
      <c r="R172" s="609" t="str">
        <f>RS!T120</f>
        <v/>
      </c>
      <c r="S172" s="420"/>
      <c r="T172" s="421"/>
      <c r="U172" s="422"/>
      <c r="V172" s="423"/>
      <c r="W172" s="421"/>
      <c r="X172" s="421"/>
      <c r="Y172" s="421"/>
      <c r="Z172" s="421"/>
      <c r="AA172" s="421"/>
      <c r="AB172" s="411"/>
      <c r="AC172" s="411"/>
      <c r="AD172" s="411"/>
      <c r="AE172" s="102" t="str">
        <f t="shared" si="6"/>
        <v/>
      </c>
      <c r="AF172" s="102" t="str">
        <f t="shared" si="7"/>
        <v/>
      </c>
      <c r="AG172" s="102" t="str">
        <f t="shared" si="8"/>
        <v/>
      </c>
      <c r="AH172" s="102" t="str">
        <f t="shared" si="9"/>
        <v/>
      </c>
      <c r="AI172" s="102" t="str">
        <f t="shared" si="10"/>
        <v/>
      </c>
      <c r="AJ172" s="102" t="str">
        <f t="shared" si="11"/>
        <v/>
      </c>
      <c r="AK172" s="102" t="str">
        <f t="shared" si="12"/>
        <v/>
      </c>
      <c r="AL172" s="102" t="str">
        <f t="shared" si="13"/>
        <v/>
      </c>
      <c r="AM172" s="102" t="str">
        <f t="shared" si="14"/>
        <v/>
      </c>
      <c r="AN172" s="102" t="str">
        <f t="shared" si="15"/>
        <v/>
      </c>
      <c r="AO172" s="102" t="str">
        <f t="shared" si="16"/>
        <v/>
      </c>
      <c r="AP172" s="102" t="str">
        <f t="shared" si="17"/>
        <v/>
      </c>
      <c r="AQ172" s="102" t="str">
        <f t="shared" si="5"/>
        <v/>
      </c>
    </row>
    <row r="173" spans="1:43" s="102" customFormat="1" ht="12" customHeight="1">
      <c r="A173" s="118">
        <v>21</v>
      </c>
      <c r="B173" s="102" t="str">
        <f>RS!D121</f>
        <v>53A Bråån, vid  golfbana, uppströms Eslövsbäcken</v>
      </c>
      <c r="C173" s="206" t="str">
        <f>RS!E121</f>
        <v/>
      </c>
      <c r="D173" s="222" t="str">
        <f>RS!F121</f>
        <v/>
      </c>
      <c r="E173" s="222" t="str">
        <f>RS!G121</f>
        <v/>
      </c>
      <c r="F173" s="218" t="str">
        <f>RS!H121</f>
        <v/>
      </c>
      <c r="G173" s="222" t="str">
        <f>RS!I121</f>
        <v/>
      </c>
      <c r="H173" s="222" t="str">
        <f>RS!J121</f>
        <v/>
      </c>
      <c r="I173" s="222" t="str">
        <f>RS!K121</f>
        <v/>
      </c>
      <c r="J173" s="102" t="str">
        <f>RS!L121</f>
        <v/>
      </c>
      <c r="K173" s="218" t="str">
        <f>RS!M121</f>
        <v/>
      </c>
      <c r="L173" s="218" t="str">
        <f>RS!N121</f>
        <v/>
      </c>
      <c r="M173" s="218" t="str">
        <f>RS!O121</f>
        <v/>
      </c>
      <c r="N173" s="218" t="str">
        <f>RS!P121</f>
        <v/>
      </c>
      <c r="O173" s="218" t="str">
        <f>RS!Q121</f>
        <v/>
      </c>
      <c r="P173" s="222" t="str">
        <f>RS!R121</f>
        <v/>
      </c>
      <c r="Q173" s="222" t="str">
        <f>RS!S121</f>
        <v/>
      </c>
      <c r="R173" s="609" t="str">
        <f>RS!T121</f>
        <v/>
      </c>
      <c r="S173" s="420"/>
      <c r="T173" s="421"/>
      <c r="U173" s="422"/>
      <c r="V173" s="423"/>
      <c r="W173" s="421"/>
      <c r="X173" s="421"/>
      <c r="Y173" s="421"/>
      <c r="Z173" s="421"/>
      <c r="AA173" s="421"/>
      <c r="AB173" s="411"/>
      <c r="AC173" s="411"/>
      <c r="AD173" s="411"/>
      <c r="AE173" s="102" t="str">
        <f t="shared" si="6"/>
        <v/>
      </c>
      <c r="AF173" s="102" t="str">
        <f t="shared" si="7"/>
        <v/>
      </c>
      <c r="AG173" s="102" t="str">
        <f t="shared" si="8"/>
        <v/>
      </c>
      <c r="AH173" s="102" t="str">
        <f t="shared" si="9"/>
        <v/>
      </c>
      <c r="AI173" s="102" t="str">
        <f t="shared" si="10"/>
        <v/>
      </c>
      <c r="AJ173" s="102" t="str">
        <f t="shared" si="11"/>
        <v/>
      </c>
      <c r="AK173" s="102" t="str">
        <f t="shared" si="12"/>
        <v/>
      </c>
      <c r="AL173" s="102" t="str">
        <f t="shared" si="13"/>
        <v/>
      </c>
      <c r="AM173" s="102" t="str">
        <f t="shared" si="14"/>
        <v/>
      </c>
      <c r="AN173" s="102" t="str">
        <f t="shared" si="15"/>
        <v/>
      </c>
      <c r="AO173" s="102" t="str">
        <f t="shared" si="16"/>
        <v/>
      </c>
      <c r="AP173" s="102" t="str">
        <f t="shared" si="17"/>
        <v/>
      </c>
      <c r="AQ173" s="102" t="str">
        <f t="shared" si="5"/>
        <v/>
      </c>
    </row>
    <row r="174" spans="1:43" s="102" customFormat="1" ht="12">
      <c r="A174" s="118">
        <v>21</v>
      </c>
      <c r="B174" s="102" t="str">
        <f>RS!D122</f>
        <v>53A Bråån, vid  golfbana, uppströms Eslövsbäcken</v>
      </c>
      <c r="C174" s="206" t="str">
        <f>RS!E122</f>
        <v>2025-05-13</v>
      </c>
      <c r="D174" s="222">
        <f>RS!F122</f>
        <v>13.8</v>
      </c>
      <c r="E174" s="222">
        <f>RS!G122</f>
        <v>11.59</v>
      </c>
      <c r="F174" s="218">
        <f>RS!H122</f>
        <v>112</v>
      </c>
      <c r="G174" s="222">
        <f>RS!I122</f>
        <v>8.1999999999999993</v>
      </c>
      <c r="H174" s="222">
        <f>RS!J122</f>
        <v>1.7</v>
      </c>
      <c r="I174" s="222">
        <f>RS!K122</f>
        <v>52.1</v>
      </c>
      <c r="J174" s="102">
        <f>RS!L122</f>
        <v>1.9</v>
      </c>
      <c r="K174" s="218">
        <f>RS!M122</f>
        <v>37</v>
      </c>
      <c r="L174" s="218">
        <f>RS!N122</f>
        <v>79</v>
      </c>
      <c r="M174" s="218">
        <f>RS!O122</f>
        <v>1500</v>
      </c>
      <c r="N174" s="218">
        <f>RS!P122</f>
        <v>32</v>
      </c>
      <c r="O174" s="218">
        <f>RS!Q122</f>
        <v>2200</v>
      </c>
      <c r="P174" s="222" t="str">
        <f>RS!R122</f>
        <v/>
      </c>
      <c r="Q174" s="222" t="str">
        <f>RS!S122</f>
        <v/>
      </c>
      <c r="R174" s="609" t="str">
        <f>RS!T122</f>
        <v/>
      </c>
      <c r="S174" s="420"/>
      <c r="T174" s="421"/>
      <c r="U174" s="422"/>
      <c r="V174" s="423"/>
      <c r="W174" s="421"/>
      <c r="X174" s="421"/>
      <c r="Y174" s="421"/>
      <c r="Z174" s="421"/>
      <c r="AA174" s="421"/>
      <c r="AB174" s="411"/>
      <c r="AC174" s="411"/>
      <c r="AD174" s="411"/>
      <c r="AE174" s="102">
        <f t="shared" si="6"/>
        <v>13.8</v>
      </c>
      <c r="AF174" s="102">
        <f t="shared" si="7"/>
        <v>11.59</v>
      </c>
      <c r="AG174" s="102">
        <f t="shared" si="8"/>
        <v>112</v>
      </c>
      <c r="AH174" s="102">
        <f t="shared" si="9"/>
        <v>8.1999999999999993</v>
      </c>
      <c r="AI174" s="102">
        <f t="shared" si="10"/>
        <v>1.7</v>
      </c>
      <c r="AJ174" s="102">
        <f t="shared" si="11"/>
        <v>52.1</v>
      </c>
      <c r="AK174" s="102">
        <f t="shared" si="12"/>
        <v>1.9</v>
      </c>
      <c r="AL174" s="102">
        <f t="shared" si="13"/>
        <v>37</v>
      </c>
      <c r="AM174" s="102">
        <f t="shared" si="14"/>
        <v>79</v>
      </c>
      <c r="AN174" s="102">
        <f t="shared" si="15"/>
        <v>1500</v>
      </c>
      <c r="AO174" s="102">
        <f t="shared" si="16"/>
        <v>32</v>
      </c>
      <c r="AP174" s="102">
        <f t="shared" si="17"/>
        <v>2200</v>
      </c>
      <c r="AQ174" s="102" t="str">
        <f t="shared" si="5"/>
        <v/>
      </c>
    </row>
    <row r="175" spans="1:43" s="102" customFormat="1" ht="12">
      <c r="A175" s="117"/>
      <c r="C175" s="610" t="s">
        <v>150</v>
      </c>
      <c r="D175" s="611">
        <f t="shared" ref="D175:O175" si="18">AVERAGE(AE163:AE174)</f>
        <v>9.7428571428571438</v>
      </c>
      <c r="E175" s="611">
        <f t="shared" si="18"/>
        <v>12.475714285714288</v>
      </c>
      <c r="F175" s="612">
        <f t="shared" si="18"/>
        <v>107.42857142857143</v>
      </c>
      <c r="G175" s="611">
        <f t="shared" si="18"/>
        <v>8.1857142857142868</v>
      </c>
      <c r="H175" s="611">
        <f t="shared" si="18"/>
        <v>3.5571428571428569</v>
      </c>
      <c r="I175" s="611">
        <f t="shared" si="18"/>
        <v>52.171428571428578</v>
      </c>
      <c r="J175" s="611">
        <f t="shared" si="18"/>
        <v>1.5714285714285716</v>
      </c>
      <c r="K175" s="612">
        <f t="shared" si="18"/>
        <v>45.31428571428571</v>
      </c>
      <c r="L175" s="612">
        <f t="shared" si="18"/>
        <v>77.285714285714292</v>
      </c>
      <c r="M175" s="612">
        <f t="shared" si="18"/>
        <v>3614.2857142857142</v>
      </c>
      <c r="N175" s="612">
        <f t="shared" si="18"/>
        <v>38.714285714285715</v>
      </c>
      <c r="O175" s="612">
        <f t="shared" si="18"/>
        <v>4027.1428571428573</v>
      </c>
      <c r="P175" s="611"/>
      <c r="Q175" s="715"/>
      <c r="R175" s="307"/>
      <c r="S175" s="420"/>
      <c r="T175" s="421"/>
      <c r="U175" s="422"/>
      <c r="V175" s="423"/>
      <c r="W175" s="421"/>
      <c r="X175" s="421"/>
      <c r="Y175" s="421"/>
      <c r="Z175" s="421"/>
      <c r="AA175" s="421"/>
      <c r="AB175" s="411"/>
      <c r="AC175" s="411"/>
      <c r="AD175" s="411"/>
      <c r="AE175" s="102">
        <f t="shared" si="6"/>
        <v>9.7428571428571438</v>
      </c>
      <c r="AF175" s="102">
        <f t="shared" si="7"/>
        <v>12.475714285714288</v>
      </c>
      <c r="AG175" s="102">
        <f t="shared" si="8"/>
        <v>107.42857142857143</v>
      </c>
      <c r="AH175" s="102">
        <f t="shared" si="9"/>
        <v>8.1857142857142868</v>
      </c>
      <c r="AI175" s="102">
        <f t="shared" si="10"/>
        <v>3.5571428571428569</v>
      </c>
      <c r="AJ175" s="102">
        <f t="shared" si="11"/>
        <v>52.171428571428578</v>
      </c>
      <c r="AK175" s="102">
        <f t="shared" si="12"/>
        <v>1.5714285714285716</v>
      </c>
      <c r="AL175" s="102">
        <f t="shared" si="13"/>
        <v>45.31428571428571</v>
      </c>
      <c r="AM175" s="102">
        <f t="shared" si="14"/>
        <v>77.285714285714292</v>
      </c>
      <c r="AN175" s="102">
        <f t="shared" si="15"/>
        <v>3614.2857142857142</v>
      </c>
      <c r="AO175" s="102">
        <f t="shared" si="16"/>
        <v>38.714285714285715</v>
      </c>
      <c r="AP175" s="102">
        <f t="shared" si="17"/>
        <v>4027.1428571428573</v>
      </c>
      <c r="AQ175" s="102">
        <f t="shared" si="5"/>
        <v>0</v>
      </c>
    </row>
    <row r="176" spans="1:43" s="102" customFormat="1" ht="12">
      <c r="A176" s="117"/>
      <c r="C176" s="613" t="s">
        <v>151</v>
      </c>
      <c r="D176" s="614">
        <f t="shared" ref="D176:O176" si="19">MAX(AE163:AE174)</f>
        <v>18</v>
      </c>
      <c r="E176" s="614">
        <f t="shared" si="19"/>
        <v>16.05</v>
      </c>
      <c r="F176" s="615">
        <f t="shared" si="19"/>
        <v>124</v>
      </c>
      <c r="G176" s="614">
        <f t="shared" si="19"/>
        <v>8.5</v>
      </c>
      <c r="H176" s="614">
        <f t="shared" si="19"/>
        <v>12</v>
      </c>
      <c r="I176" s="614">
        <f t="shared" si="19"/>
        <v>57.1</v>
      </c>
      <c r="J176" s="614">
        <f t="shared" si="19"/>
        <v>2.2000000000000002</v>
      </c>
      <c r="K176" s="615">
        <f t="shared" si="19"/>
        <v>100</v>
      </c>
      <c r="L176" s="615">
        <f t="shared" si="19"/>
        <v>130</v>
      </c>
      <c r="M176" s="615">
        <f t="shared" si="19"/>
        <v>8100</v>
      </c>
      <c r="N176" s="615">
        <f t="shared" si="19"/>
        <v>76</v>
      </c>
      <c r="O176" s="615">
        <f t="shared" si="19"/>
        <v>8200</v>
      </c>
      <c r="P176" s="614"/>
      <c r="Q176" s="716"/>
      <c r="R176" s="307"/>
      <c r="S176" s="420"/>
      <c r="T176" s="421"/>
      <c r="U176" s="422"/>
      <c r="V176" s="423"/>
      <c r="W176" s="421"/>
      <c r="X176" s="421"/>
      <c r="Y176" s="421"/>
      <c r="Z176" s="421"/>
      <c r="AA176" s="421"/>
      <c r="AB176" s="411"/>
      <c r="AC176" s="411"/>
      <c r="AD176" s="411"/>
      <c r="AE176" s="102">
        <f t="shared" si="6"/>
        <v>18</v>
      </c>
      <c r="AF176" s="102">
        <f t="shared" si="7"/>
        <v>16.05</v>
      </c>
      <c r="AG176" s="102">
        <f t="shared" si="8"/>
        <v>124</v>
      </c>
      <c r="AH176" s="102">
        <f t="shared" si="9"/>
        <v>8.5</v>
      </c>
      <c r="AI176" s="102">
        <f t="shared" si="10"/>
        <v>12</v>
      </c>
      <c r="AJ176" s="102">
        <f t="shared" si="11"/>
        <v>57.1</v>
      </c>
      <c r="AK176" s="102">
        <f t="shared" si="12"/>
        <v>2.2000000000000002</v>
      </c>
      <c r="AL176" s="102">
        <f t="shared" si="13"/>
        <v>100</v>
      </c>
      <c r="AM176" s="102">
        <f t="shared" si="14"/>
        <v>130</v>
      </c>
      <c r="AN176" s="102">
        <f t="shared" si="15"/>
        <v>8100</v>
      </c>
      <c r="AO176" s="102">
        <f t="shared" si="16"/>
        <v>76</v>
      </c>
      <c r="AP176" s="102">
        <f t="shared" si="17"/>
        <v>8200</v>
      </c>
      <c r="AQ176" s="102">
        <f t="shared" si="5"/>
        <v>0</v>
      </c>
    </row>
    <row r="177" spans="1:43" s="102" customFormat="1" ht="12">
      <c r="A177" s="117"/>
      <c r="C177" s="616" t="s">
        <v>152</v>
      </c>
      <c r="D177" s="617">
        <f t="shared" ref="D177:O177" si="20">MIN(AE163:AE174)</f>
        <v>0.4</v>
      </c>
      <c r="E177" s="617">
        <f t="shared" si="20"/>
        <v>9.34</v>
      </c>
      <c r="F177" s="618">
        <f t="shared" si="20"/>
        <v>99</v>
      </c>
      <c r="G177" s="617">
        <f t="shared" si="20"/>
        <v>8</v>
      </c>
      <c r="H177" s="617">
        <f t="shared" si="20"/>
        <v>1.3</v>
      </c>
      <c r="I177" s="617">
        <f t="shared" si="20"/>
        <v>47.3</v>
      </c>
      <c r="J177" s="617">
        <f t="shared" si="20"/>
        <v>1</v>
      </c>
      <c r="K177" s="618">
        <f t="shared" si="20"/>
        <v>7</v>
      </c>
      <c r="L177" s="618">
        <f t="shared" si="20"/>
        <v>27</v>
      </c>
      <c r="M177" s="618">
        <f t="shared" si="20"/>
        <v>420</v>
      </c>
      <c r="N177" s="618">
        <f t="shared" si="20"/>
        <v>10</v>
      </c>
      <c r="O177" s="618">
        <f t="shared" si="20"/>
        <v>890</v>
      </c>
      <c r="P177" s="617"/>
      <c r="Q177" s="717"/>
      <c r="R177" s="307"/>
      <c r="S177" s="420"/>
      <c r="T177" s="421"/>
      <c r="U177" s="422"/>
      <c r="V177" s="423"/>
      <c r="W177" s="421"/>
      <c r="X177" s="421"/>
      <c r="Y177" s="421"/>
      <c r="Z177" s="421"/>
      <c r="AA177" s="421"/>
      <c r="AB177" s="411"/>
      <c r="AC177" s="411"/>
      <c r="AD177" s="411"/>
      <c r="AE177" s="102">
        <f t="shared" si="6"/>
        <v>0.4</v>
      </c>
      <c r="AF177" s="102">
        <f t="shared" si="7"/>
        <v>9.34</v>
      </c>
      <c r="AG177" s="102">
        <f t="shared" si="8"/>
        <v>99</v>
      </c>
      <c r="AH177" s="102">
        <f t="shared" si="9"/>
        <v>8</v>
      </c>
      <c r="AI177" s="102">
        <f t="shared" si="10"/>
        <v>1.3</v>
      </c>
      <c r="AJ177" s="102">
        <f t="shared" si="11"/>
        <v>47.3</v>
      </c>
      <c r="AK177" s="102">
        <f t="shared" si="12"/>
        <v>1</v>
      </c>
      <c r="AL177" s="102">
        <f t="shared" si="13"/>
        <v>7</v>
      </c>
      <c r="AM177" s="102">
        <f t="shared" si="14"/>
        <v>27</v>
      </c>
      <c r="AN177" s="102">
        <f t="shared" si="15"/>
        <v>420</v>
      </c>
      <c r="AO177" s="102">
        <f t="shared" si="16"/>
        <v>10</v>
      </c>
      <c r="AP177" s="102">
        <f t="shared" si="17"/>
        <v>890</v>
      </c>
      <c r="AQ177" s="102">
        <f t="shared" si="5"/>
        <v>0</v>
      </c>
    </row>
    <row r="178" spans="1:43" s="102" customFormat="1" ht="12">
      <c r="A178" s="117"/>
      <c r="B178" s="411"/>
      <c r="C178" s="619"/>
      <c r="D178" s="620"/>
      <c r="E178" s="620"/>
      <c r="F178" s="621"/>
      <c r="G178" s="620"/>
      <c r="H178" s="622"/>
      <c r="I178" s="620"/>
      <c r="J178" s="622"/>
      <c r="K178" s="622"/>
      <c r="L178" s="622"/>
      <c r="M178" s="622"/>
      <c r="N178" s="622"/>
      <c r="O178" s="622"/>
      <c r="P178" s="620"/>
      <c r="Q178" s="620"/>
      <c r="R178" s="387"/>
      <c r="S178" s="420"/>
      <c r="T178" s="421"/>
      <c r="U178" s="422"/>
      <c r="V178" s="423"/>
      <c r="W178" s="421"/>
      <c r="X178" s="421"/>
      <c r="Y178" s="421"/>
      <c r="Z178" s="421"/>
      <c r="AA178" s="421"/>
      <c r="AB178" s="411"/>
      <c r="AC178" s="411"/>
      <c r="AD178" s="411"/>
    </row>
    <row r="179" spans="1:43" s="102" customFormat="1" ht="12" customHeight="1">
      <c r="A179" s="117">
        <v>22</v>
      </c>
      <c r="B179" s="102" t="str">
        <f>RS!D123</f>
        <v>32  Bråån, vid Högseröds kyrka</v>
      </c>
      <c r="C179" s="206">
        <f>RS!E123</f>
        <v>45671</v>
      </c>
      <c r="D179" s="222">
        <f>RS!F123</f>
        <v>2.8</v>
      </c>
      <c r="E179" s="222">
        <f>RS!G123</f>
        <v>13.16</v>
      </c>
      <c r="F179" s="218">
        <f>RS!H123</f>
        <v>97</v>
      </c>
      <c r="G179" s="222">
        <f>RS!I123</f>
        <v>7.9</v>
      </c>
      <c r="H179" s="222">
        <f>RS!J123</f>
        <v>6.6</v>
      </c>
      <c r="I179" s="222">
        <f>RS!K123</f>
        <v>40.9</v>
      </c>
      <c r="J179" s="102">
        <f>RS!L123</f>
        <v>1.4</v>
      </c>
      <c r="K179" s="218">
        <f>RS!M123</f>
        <v>36</v>
      </c>
      <c r="L179" s="218">
        <f>RS!N123</f>
        <v>82</v>
      </c>
      <c r="M179" s="218">
        <f>RS!O123</f>
        <v>6000</v>
      </c>
      <c r="N179" s="218">
        <f>RS!P123</f>
        <v>82</v>
      </c>
      <c r="O179" s="218">
        <f>RS!Q123</f>
        <v>6500</v>
      </c>
      <c r="P179" s="222" t="str">
        <f>RS!R123</f>
        <v/>
      </c>
      <c r="Q179" s="222" t="str">
        <f>RS!S123</f>
        <v/>
      </c>
      <c r="R179" s="609" t="str">
        <f>RS!T123</f>
        <v/>
      </c>
      <c r="S179" s="426"/>
      <c r="T179" s="427"/>
      <c r="U179" s="422"/>
      <c r="V179" s="423"/>
      <c r="W179" s="424"/>
      <c r="X179" s="425"/>
      <c r="Y179" s="425"/>
      <c r="Z179" s="424"/>
      <c r="AA179" s="425"/>
      <c r="AB179" s="425"/>
      <c r="AC179" s="425"/>
      <c r="AD179" s="411"/>
      <c r="AE179" s="102">
        <f t="shared" ref="AE179:AE223" si="21">IF(OR(LEFT(D179,1)="&lt;",LEFT(D179,1)="&gt;"),VALUE(MID(D179,2,5)),D179)</f>
        <v>2.8</v>
      </c>
      <c r="AF179" s="102">
        <f t="shared" ref="AF179:AF223" si="22">IF(OR(LEFT(E179,1)="&lt;",LEFT(E179,1)="&gt;"),VALUE(MID(E179,2,5)),E179)</f>
        <v>13.16</v>
      </c>
      <c r="AG179" s="102">
        <f t="shared" ref="AG179:AG223" si="23">IF(OR(LEFT(F179,1)="&lt;",LEFT(F179,1)="&gt;"),VALUE(MID(F179,2,5)),F179)</f>
        <v>97</v>
      </c>
      <c r="AH179" s="102">
        <f t="shared" ref="AH179:AH223" si="24">IF(OR(LEFT(G179,1)="&lt;",LEFT(G179,1)="&gt;"),VALUE(MID(G179,2,5)),G179)</f>
        <v>7.9</v>
      </c>
      <c r="AI179" s="102">
        <f t="shared" ref="AI179:AI223" si="25">IF(OR(LEFT(H179,1)="&lt;",LEFT(H179,1)="&gt;"),VALUE(MID(H179,2,5)),H179)</f>
        <v>6.6</v>
      </c>
      <c r="AJ179" s="102">
        <f t="shared" ref="AJ179:AJ223" si="26">IF(OR(LEFT(I179,1)="&lt;",LEFT(I179,1)="&gt;"),VALUE(MID(I179,2,5)),I179)</f>
        <v>40.9</v>
      </c>
      <c r="AK179" s="102">
        <f t="shared" ref="AK179:AK223" si="27">IF(OR(LEFT(J179,1)="&lt;",LEFT(J179,1)="&gt;"),VALUE(MID(J179,2,5)),J179)</f>
        <v>1.4</v>
      </c>
      <c r="AL179" s="102">
        <f t="shared" ref="AL179:AL223" si="28">IF(OR(LEFT(K179,1)="&lt;",LEFT(K179,1)="&gt;"),VALUE(MID(K179,2,5)),K179)</f>
        <v>36</v>
      </c>
      <c r="AM179" s="102">
        <f t="shared" ref="AM179:AM223" si="29">IF(OR(LEFT(L179,1)="&lt;",LEFT(L179,1)="&gt;"),VALUE(MID(L179,2,5)),L179)</f>
        <v>82</v>
      </c>
      <c r="AN179" s="102">
        <f t="shared" ref="AN179:AN223" si="30">IF(OR(LEFT(M179,1)="&lt;",LEFT(M179,1)="&gt;"),VALUE(MID(M179,2,5)),M179)</f>
        <v>6000</v>
      </c>
      <c r="AO179" s="102">
        <f t="shared" ref="AO179:AO223" si="31">IF(OR(LEFT(N179,1)="&lt;",LEFT(N179,1)="&gt;"),VALUE(MID(N179,2,5)),N179)</f>
        <v>82</v>
      </c>
      <c r="AP179" s="102">
        <f t="shared" ref="AP179:AP223" si="32">IF(OR(LEFT(O179,1)="&lt;",LEFT(O179,1)="&gt;"),VALUE(MID(O179,2,5)),O179)</f>
        <v>6500</v>
      </c>
      <c r="AQ179" s="102" t="str">
        <f t="shared" ref="AQ179:AQ223" si="33">IF(OR(LEFT(Q179,1)="&lt;",LEFT(Q179,1)="&gt;"),VALUE(MID(Q179,2,5)),Q179)</f>
        <v/>
      </c>
    </row>
    <row r="180" spans="1:43" s="102" customFormat="1" ht="12" customHeight="1">
      <c r="A180" s="117">
        <v>22</v>
      </c>
      <c r="B180" s="102" t="str">
        <f>RS!D124</f>
        <v>32  Bråån, vid Högseröds kyrka</v>
      </c>
      <c r="C180" s="206">
        <f>RS!E124</f>
        <v>45734</v>
      </c>
      <c r="D180" s="222">
        <f>RS!F124</f>
        <v>3</v>
      </c>
      <c r="E180" s="222">
        <f>RS!G124</f>
        <v>14.05</v>
      </c>
      <c r="F180" s="218">
        <f>RS!H124</f>
        <v>104</v>
      </c>
      <c r="G180" s="222">
        <f>RS!I124</f>
        <v>8.1</v>
      </c>
      <c r="H180" s="222">
        <f>RS!J124</f>
        <v>1.9</v>
      </c>
      <c r="I180" s="222">
        <f>RS!K124</f>
        <v>39.200000000000003</v>
      </c>
      <c r="J180" s="102">
        <f>RS!L124</f>
        <v>1.6</v>
      </c>
      <c r="K180" s="218">
        <f>RS!M124</f>
        <v>21</v>
      </c>
      <c r="L180" s="218">
        <f>RS!N124</f>
        <v>40</v>
      </c>
      <c r="M180" s="218">
        <f>RS!O124</f>
        <v>3600</v>
      </c>
      <c r="N180" s="218" t="str">
        <f>RS!P124</f>
        <v>&lt;10</v>
      </c>
      <c r="O180" s="218">
        <f>RS!Q124</f>
        <v>3600</v>
      </c>
      <c r="P180" s="222" t="str">
        <f>RS!R124</f>
        <v/>
      </c>
      <c r="Q180" s="222" t="str">
        <f>RS!S124</f>
        <v/>
      </c>
      <c r="R180" s="609" t="str">
        <f>RS!T124</f>
        <v/>
      </c>
      <c r="S180" s="429"/>
      <c r="T180" s="430"/>
      <c r="U180" s="422"/>
      <c r="V180" s="423"/>
      <c r="W180" s="431"/>
      <c r="X180" s="432"/>
      <c r="Y180" s="421"/>
      <c r="Z180" s="421"/>
      <c r="AA180" s="421"/>
      <c r="AB180" s="411"/>
      <c r="AC180" s="411"/>
      <c r="AD180" s="411"/>
      <c r="AE180" s="102">
        <f t="shared" si="21"/>
        <v>3</v>
      </c>
      <c r="AF180" s="102">
        <f t="shared" si="22"/>
        <v>14.05</v>
      </c>
      <c r="AG180" s="102">
        <f t="shared" si="23"/>
        <v>104</v>
      </c>
      <c r="AH180" s="102">
        <f t="shared" si="24"/>
        <v>8.1</v>
      </c>
      <c r="AI180" s="102">
        <f t="shared" si="25"/>
        <v>1.9</v>
      </c>
      <c r="AJ180" s="102">
        <f t="shared" si="26"/>
        <v>39.200000000000003</v>
      </c>
      <c r="AK180" s="102">
        <f t="shared" si="27"/>
        <v>1.6</v>
      </c>
      <c r="AL180" s="102">
        <f t="shared" si="28"/>
        <v>21</v>
      </c>
      <c r="AM180" s="102">
        <f t="shared" si="29"/>
        <v>40</v>
      </c>
      <c r="AN180" s="102">
        <f t="shared" si="30"/>
        <v>3600</v>
      </c>
      <c r="AO180" s="102">
        <f t="shared" si="31"/>
        <v>10</v>
      </c>
      <c r="AP180" s="102">
        <f t="shared" si="32"/>
        <v>3600</v>
      </c>
      <c r="AQ180" s="102" t="str">
        <f t="shared" si="33"/>
        <v/>
      </c>
    </row>
    <row r="181" spans="1:43" s="102" customFormat="1" ht="12" customHeight="1">
      <c r="A181" s="117">
        <v>22</v>
      </c>
      <c r="B181" s="102" t="str">
        <f>RS!D125</f>
        <v>32  Bråån, vid Högseröds kyrka</v>
      </c>
      <c r="C181" s="206">
        <f>RS!E125</f>
        <v>45848</v>
      </c>
      <c r="D181" s="222">
        <f>RS!F125</f>
        <v>17.2</v>
      </c>
      <c r="E181" s="222">
        <f>RS!G125</f>
        <v>7.69</v>
      </c>
      <c r="F181" s="218">
        <f>RS!H125</f>
        <v>80</v>
      </c>
      <c r="G181" s="222">
        <f>RS!I125</f>
        <v>7.9</v>
      </c>
      <c r="H181" s="222">
        <f>RS!J125</f>
        <v>1.5</v>
      </c>
      <c r="I181" s="222">
        <f>RS!K125</f>
        <v>41.6</v>
      </c>
      <c r="J181" s="102">
        <f>RS!L125</f>
        <v>1.2</v>
      </c>
      <c r="K181" s="218">
        <f>RS!M125</f>
        <v>110</v>
      </c>
      <c r="L181" s="218">
        <f>RS!N125</f>
        <v>150</v>
      </c>
      <c r="M181" s="218">
        <f>RS!O125</f>
        <v>880</v>
      </c>
      <c r="N181" s="218">
        <f>RS!P125</f>
        <v>32</v>
      </c>
      <c r="O181" s="218">
        <f>RS!Q125</f>
        <v>1400</v>
      </c>
      <c r="P181" s="222" t="str">
        <f>RS!R125</f>
        <v/>
      </c>
      <c r="Q181" s="222" t="str">
        <f>RS!S125</f>
        <v/>
      </c>
      <c r="R181" s="609" t="str">
        <f>RS!T125</f>
        <v/>
      </c>
      <c r="S181" s="420"/>
      <c r="T181" s="421"/>
      <c r="U181" s="422"/>
      <c r="V181" s="423"/>
      <c r="W181" s="421"/>
      <c r="X181" s="421"/>
      <c r="Y181" s="421"/>
      <c r="Z181" s="421"/>
      <c r="AA181" s="421"/>
      <c r="AB181" s="411"/>
      <c r="AC181" s="411"/>
      <c r="AD181" s="411"/>
      <c r="AE181" s="102">
        <f t="shared" si="21"/>
        <v>17.2</v>
      </c>
      <c r="AF181" s="102">
        <f t="shared" si="22"/>
        <v>7.69</v>
      </c>
      <c r="AG181" s="102">
        <f t="shared" si="23"/>
        <v>80</v>
      </c>
      <c r="AH181" s="102">
        <f t="shared" si="24"/>
        <v>7.9</v>
      </c>
      <c r="AI181" s="102">
        <f t="shared" si="25"/>
        <v>1.5</v>
      </c>
      <c r="AJ181" s="102">
        <f t="shared" si="26"/>
        <v>41.6</v>
      </c>
      <c r="AK181" s="102">
        <f t="shared" si="27"/>
        <v>1.2</v>
      </c>
      <c r="AL181" s="102">
        <f t="shared" si="28"/>
        <v>110</v>
      </c>
      <c r="AM181" s="102">
        <f t="shared" si="29"/>
        <v>150</v>
      </c>
      <c r="AN181" s="102">
        <f t="shared" si="30"/>
        <v>880</v>
      </c>
      <c r="AO181" s="102">
        <f t="shared" si="31"/>
        <v>32</v>
      </c>
      <c r="AP181" s="102">
        <f t="shared" si="32"/>
        <v>1400</v>
      </c>
      <c r="AQ181" s="102" t="str">
        <f t="shared" si="33"/>
        <v/>
      </c>
    </row>
    <row r="182" spans="1:43" s="102" customFormat="1" ht="12" customHeight="1">
      <c r="A182" s="117">
        <v>22</v>
      </c>
      <c r="B182" s="102" t="str">
        <f>RS!D126</f>
        <v>32  Bråån, vid Högseröds kyrka</v>
      </c>
      <c r="C182" s="206" t="str">
        <f>RS!E126</f>
        <v/>
      </c>
      <c r="D182" s="222" t="str">
        <f>RS!F126</f>
        <v/>
      </c>
      <c r="E182" s="222" t="str">
        <f>RS!G126</f>
        <v/>
      </c>
      <c r="F182" s="218" t="str">
        <f>RS!H126</f>
        <v/>
      </c>
      <c r="G182" s="222" t="str">
        <f>RS!I126</f>
        <v/>
      </c>
      <c r="H182" s="222" t="str">
        <f>RS!J126</f>
        <v/>
      </c>
      <c r="I182" s="222" t="str">
        <f>RS!K126</f>
        <v/>
      </c>
      <c r="J182" s="102" t="str">
        <f>RS!L126</f>
        <v/>
      </c>
      <c r="K182" s="218" t="str">
        <f>RS!M126</f>
        <v/>
      </c>
      <c r="L182" s="218" t="str">
        <f>RS!N126</f>
        <v/>
      </c>
      <c r="M182" s="218" t="str">
        <f>RS!O126</f>
        <v/>
      </c>
      <c r="N182" s="218" t="str">
        <f>RS!P126</f>
        <v/>
      </c>
      <c r="O182" s="218" t="str">
        <f>RS!Q126</f>
        <v/>
      </c>
      <c r="P182" s="222" t="str">
        <f>RS!R126</f>
        <v/>
      </c>
      <c r="Q182" s="222" t="str">
        <f>RS!S126</f>
        <v/>
      </c>
      <c r="R182" s="609" t="str">
        <f>RS!T126</f>
        <v/>
      </c>
      <c r="S182" s="420"/>
      <c r="T182" s="421"/>
      <c r="U182" s="422"/>
      <c r="V182" s="423"/>
      <c r="W182" s="421"/>
      <c r="X182" s="421"/>
      <c r="Y182" s="421"/>
      <c r="Z182" s="421"/>
      <c r="AA182" s="421"/>
      <c r="AB182" s="411"/>
      <c r="AC182" s="411"/>
      <c r="AD182" s="411"/>
      <c r="AE182" s="102" t="str">
        <f t="shared" si="21"/>
        <v/>
      </c>
      <c r="AF182" s="102" t="str">
        <f t="shared" si="22"/>
        <v/>
      </c>
      <c r="AG182" s="102" t="str">
        <f t="shared" si="23"/>
        <v/>
      </c>
      <c r="AH182" s="102" t="str">
        <f t="shared" si="24"/>
        <v/>
      </c>
      <c r="AI182" s="102" t="str">
        <f t="shared" si="25"/>
        <v/>
      </c>
      <c r="AJ182" s="102" t="str">
        <f t="shared" si="26"/>
        <v/>
      </c>
      <c r="AK182" s="102" t="str">
        <f t="shared" si="27"/>
        <v/>
      </c>
      <c r="AL182" s="102" t="str">
        <f t="shared" si="28"/>
        <v/>
      </c>
      <c r="AM182" s="102" t="str">
        <f t="shared" si="29"/>
        <v/>
      </c>
      <c r="AN182" s="102" t="str">
        <f t="shared" si="30"/>
        <v/>
      </c>
      <c r="AO182" s="102" t="str">
        <f t="shared" si="31"/>
        <v/>
      </c>
      <c r="AP182" s="102" t="str">
        <f t="shared" si="32"/>
        <v/>
      </c>
      <c r="AQ182" s="102" t="str">
        <f t="shared" si="33"/>
        <v/>
      </c>
    </row>
    <row r="183" spans="1:43" s="102" customFormat="1" ht="12" customHeight="1">
      <c r="A183" s="117">
        <v>22</v>
      </c>
      <c r="B183" s="102" t="str">
        <f>RS!D127</f>
        <v>32  Bråån, vid Högseröds kyrka</v>
      </c>
      <c r="C183" s="206" t="str">
        <f>RS!E127</f>
        <v/>
      </c>
      <c r="D183" s="222" t="str">
        <f>RS!F127</f>
        <v/>
      </c>
      <c r="E183" s="222" t="str">
        <f>RS!G127</f>
        <v/>
      </c>
      <c r="F183" s="218" t="str">
        <f>RS!H127</f>
        <v/>
      </c>
      <c r="G183" s="222" t="str">
        <f>RS!I127</f>
        <v/>
      </c>
      <c r="H183" s="222" t="str">
        <f>RS!J127</f>
        <v/>
      </c>
      <c r="I183" s="222" t="str">
        <f>RS!K127</f>
        <v/>
      </c>
      <c r="J183" s="102" t="str">
        <f>RS!L127</f>
        <v/>
      </c>
      <c r="K183" s="218" t="str">
        <f>RS!M127</f>
        <v/>
      </c>
      <c r="L183" s="218" t="str">
        <f>RS!N127</f>
        <v/>
      </c>
      <c r="M183" s="218" t="str">
        <f>RS!O127</f>
        <v/>
      </c>
      <c r="N183" s="218" t="str">
        <f>RS!P127</f>
        <v/>
      </c>
      <c r="O183" s="218" t="str">
        <f>RS!Q127</f>
        <v/>
      </c>
      <c r="P183" s="222" t="str">
        <f>RS!R127</f>
        <v/>
      </c>
      <c r="Q183" s="222" t="str">
        <f>RS!S127</f>
        <v/>
      </c>
      <c r="R183" s="609" t="str">
        <f>RS!T127</f>
        <v/>
      </c>
      <c r="S183" s="420"/>
      <c r="T183" s="421"/>
      <c r="U183" s="422"/>
      <c r="V183" s="423"/>
      <c r="W183" s="421"/>
      <c r="X183" s="421"/>
      <c r="Y183" s="421"/>
      <c r="Z183" s="421"/>
      <c r="AA183" s="421"/>
      <c r="AB183" s="411"/>
      <c r="AC183" s="411"/>
      <c r="AD183" s="411"/>
      <c r="AE183" s="102" t="str">
        <f t="shared" si="21"/>
        <v/>
      </c>
      <c r="AF183" s="102" t="str">
        <f t="shared" si="22"/>
        <v/>
      </c>
      <c r="AG183" s="102" t="str">
        <f t="shared" si="23"/>
        <v/>
      </c>
      <c r="AH183" s="102" t="str">
        <f t="shared" si="24"/>
        <v/>
      </c>
      <c r="AI183" s="102" t="str">
        <f t="shared" si="25"/>
        <v/>
      </c>
      <c r="AJ183" s="102" t="str">
        <f t="shared" si="26"/>
        <v/>
      </c>
      <c r="AK183" s="102" t="str">
        <f t="shared" si="27"/>
        <v/>
      </c>
      <c r="AL183" s="102" t="str">
        <f t="shared" si="28"/>
        <v/>
      </c>
      <c r="AM183" s="102" t="str">
        <f t="shared" si="29"/>
        <v/>
      </c>
      <c r="AN183" s="102" t="str">
        <f t="shared" si="30"/>
        <v/>
      </c>
      <c r="AO183" s="102" t="str">
        <f t="shared" si="31"/>
        <v/>
      </c>
      <c r="AP183" s="102" t="str">
        <f t="shared" si="32"/>
        <v/>
      </c>
      <c r="AQ183" s="102" t="str">
        <f t="shared" si="33"/>
        <v/>
      </c>
    </row>
    <row r="184" spans="1:43" s="102" customFormat="1" ht="12">
      <c r="A184" s="117">
        <v>22</v>
      </c>
      <c r="B184" s="102" t="str">
        <f>RS!D128</f>
        <v>32  Bråån, vid Högseröds kyrka</v>
      </c>
      <c r="C184" s="206" t="str">
        <f>RS!E128</f>
        <v>2025-05-13</v>
      </c>
      <c r="D184" s="222">
        <f>RS!F128</f>
        <v>13.1</v>
      </c>
      <c r="E184" s="222">
        <f>RS!G128</f>
        <v>10.73</v>
      </c>
      <c r="F184" s="218">
        <f>RS!H128</f>
        <v>102</v>
      </c>
      <c r="G184" s="222">
        <f>RS!I128</f>
        <v>8.1</v>
      </c>
      <c r="H184" s="222">
        <f>RS!J128</f>
        <v>1.3</v>
      </c>
      <c r="I184" s="222">
        <f>RS!K128</f>
        <v>42.8</v>
      </c>
      <c r="J184" s="102">
        <f>RS!L128</f>
        <v>1.7</v>
      </c>
      <c r="K184" s="218">
        <f>RS!M128</f>
        <v>25</v>
      </c>
      <c r="L184" s="218">
        <f>RS!N128</f>
        <v>59</v>
      </c>
      <c r="M184" s="218">
        <f>RS!O128</f>
        <v>1100</v>
      </c>
      <c r="N184" s="218">
        <f>RS!P128</f>
        <v>26</v>
      </c>
      <c r="O184" s="218">
        <f>RS!Q128</f>
        <v>1800</v>
      </c>
      <c r="P184" s="222" t="str">
        <f>RS!R128</f>
        <v/>
      </c>
      <c r="Q184" s="222" t="str">
        <f>RS!S128</f>
        <v/>
      </c>
      <c r="R184" s="609" t="str">
        <f>RS!T128</f>
        <v/>
      </c>
      <c r="S184" s="420"/>
      <c r="T184" s="421"/>
      <c r="U184" s="422"/>
      <c r="V184" s="423"/>
      <c r="W184" s="421"/>
      <c r="X184" s="421"/>
      <c r="Y184" s="421"/>
      <c r="Z184" s="421"/>
      <c r="AA184" s="421"/>
      <c r="AB184" s="411"/>
      <c r="AC184" s="411"/>
      <c r="AD184" s="411"/>
      <c r="AE184" s="102">
        <f t="shared" si="21"/>
        <v>13.1</v>
      </c>
      <c r="AF184" s="102">
        <f t="shared" si="22"/>
        <v>10.73</v>
      </c>
      <c r="AG184" s="102">
        <f t="shared" si="23"/>
        <v>102</v>
      </c>
      <c r="AH184" s="102">
        <f t="shared" si="24"/>
        <v>8.1</v>
      </c>
      <c r="AI184" s="102">
        <f t="shared" si="25"/>
        <v>1.3</v>
      </c>
      <c r="AJ184" s="102">
        <f t="shared" si="26"/>
        <v>42.8</v>
      </c>
      <c r="AK184" s="102">
        <f t="shared" si="27"/>
        <v>1.7</v>
      </c>
      <c r="AL184" s="102">
        <f t="shared" si="28"/>
        <v>25</v>
      </c>
      <c r="AM184" s="102">
        <f t="shared" si="29"/>
        <v>59</v>
      </c>
      <c r="AN184" s="102">
        <f t="shared" si="30"/>
        <v>1100</v>
      </c>
      <c r="AO184" s="102">
        <f t="shared" si="31"/>
        <v>26</v>
      </c>
      <c r="AP184" s="102">
        <f t="shared" si="32"/>
        <v>1800</v>
      </c>
      <c r="AQ184" s="102" t="str">
        <f t="shared" si="33"/>
        <v/>
      </c>
    </row>
    <row r="185" spans="1:43" s="102" customFormat="1" ht="12">
      <c r="A185" s="117"/>
      <c r="C185" s="610" t="s">
        <v>150</v>
      </c>
      <c r="D185" s="611">
        <f t="shared" ref="D185:O185" si="34">AVERAGE(AE179:AE184)</f>
        <v>9.0250000000000004</v>
      </c>
      <c r="E185" s="611">
        <f t="shared" si="34"/>
        <v>11.407499999999999</v>
      </c>
      <c r="F185" s="612">
        <f t="shared" si="34"/>
        <v>95.75</v>
      </c>
      <c r="G185" s="611">
        <f t="shared" si="34"/>
        <v>8</v>
      </c>
      <c r="H185" s="611">
        <f t="shared" si="34"/>
        <v>2.8250000000000002</v>
      </c>
      <c r="I185" s="611">
        <f t="shared" si="34"/>
        <v>41.125</v>
      </c>
      <c r="J185" s="611">
        <f t="shared" si="34"/>
        <v>1.4750000000000001</v>
      </c>
      <c r="K185" s="612">
        <f t="shared" si="34"/>
        <v>48</v>
      </c>
      <c r="L185" s="612">
        <f t="shared" si="34"/>
        <v>82.75</v>
      </c>
      <c r="M185" s="612">
        <f t="shared" si="34"/>
        <v>2895</v>
      </c>
      <c r="N185" s="612">
        <f t="shared" si="34"/>
        <v>37.5</v>
      </c>
      <c r="O185" s="612">
        <f t="shared" si="34"/>
        <v>3325</v>
      </c>
      <c r="P185" s="611"/>
      <c r="Q185" s="715"/>
      <c r="R185" s="307"/>
      <c r="S185" s="420"/>
      <c r="T185" s="421"/>
      <c r="U185" s="422"/>
      <c r="V185" s="423"/>
      <c r="W185" s="421"/>
      <c r="X185" s="421"/>
      <c r="Y185" s="421"/>
      <c r="Z185" s="421"/>
      <c r="AA185" s="421"/>
      <c r="AB185" s="411"/>
      <c r="AC185" s="411"/>
      <c r="AD185" s="411"/>
      <c r="AE185" s="102">
        <f t="shared" si="21"/>
        <v>9.0250000000000004</v>
      </c>
      <c r="AF185" s="102">
        <f t="shared" si="22"/>
        <v>11.407499999999999</v>
      </c>
      <c r="AG185" s="102">
        <f t="shared" si="23"/>
        <v>95.75</v>
      </c>
      <c r="AH185" s="102">
        <f t="shared" si="24"/>
        <v>8</v>
      </c>
      <c r="AI185" s="102">
        <f t="shared" si="25"/>
        <v>2.8250000000000002</v>
      </c>
      <c r="AJ185" s="102">
        <f t="shared" si="26"/>
        <v>41.125</v>
      </c>
      <c r="AK185" s="102">
        <f t="shared" si="27"/>
        <v>1.4750000000000001</v>
      </c>
      <c r="AL185" s="102">
        <f t="shared" si="28"/>
        <v>48</v>
      </c>
      <c r="AM185" s="102">
        <f t="shared" si="29"/>
        <v>82.75</v>
      </c>
      <c r="AN185" s="102">
        <f t="shared" si="30"/>
        <v>2895</v>
      </c>
      <c r="AO185" s="102">
        <f t="shared" si="31"/>
        <v>37.5</v>
      </c>
      <c r="AP185" s="102">
        <f t="shared" si="32"/>
        <v>3325</v>
      </c>
      <c r="AQ185" s="102">
        <f t="shared" si="33"/>
        <v>0</v>
      </c>
    </row>
    <row r="186" spans="1:43" s="102" customFormat="1" ht="12">
      <c r="A186" s="117"/>
      <c r="C186" s="613" t="s">
        <v>151</v>
      </c>
      <c r="D186" s="614">
        <f t="shared" ref="D186:O186" si="35">MAX(AE179:AE184)</f>
        <v>17.2</v>
      </c>
      <c r="E186" s="614">
        <f t="shared" si="35"/>
        <v>14.05</v>
      </c>
      <c r="F186" s="615">
        <f t="shared" si="35"/>
        <v>104</v>
      </c>
      <c r="G186" s="614">
        <f t="shared" si="35"/>
        <v>8.1</v>
      </c>
      <c r="H186" s="614">
        <f t="shared" si="35"/>
        <v>6.6</v>
      </c>
      <c r="I186" s="614">
        <f t="shared" si="35"/>
        <v>42.8</v>
      </c>
      <c r="J186" s="614">
        <f t="shared" si="35"/>
        <v>1.7</v>
      </c>
      <c r="K186" s="615">
        <f t="shared" si="35"/>
        <v>110</v>
      </c>
      <c r="L186" s="615">
        <f t="shared" si="35"/>
        <v>150</v>
      </c>
      <c r="M186" s="615">
        <f t="shared" si="35"/>
        <v>6000</v>
      </c>
      <c r="N186" s="615">
        <f t="shared" si="35"/>
        <v>82</v>
      </c>
      <c r="O186" s="615">
        <f t="shared" si="35"/>
        <v>6500</v>
      </c>
      <c r="P186" s="614"/>
      <c r="Q186" s="716"/>
      <c r="R186" s="307"/>
      <c r="S186" s="420"/>
      <c r="T186" s="421"/>
      <c r="U186" s="422"/>
      <c r="V186" s="423"/>
      <c r="W186" s="421"/>
      <c r="X186" s="421"/>
      <c r="Y186" s="421"/>
      <c r="Z186" s="421"/>
      <c r="AA186" s="421"/>
      <c r="AB186" s="411"/>
      <c r="AC186" s="411"/>
      <c r="AD186" s="411"/>
      <c r="AE186" s="102">
        <f t="shared" si="21"/>
        <v>17.2</v>
      </c>
      <c r="AF186" s="102">
        <f t="shared" si="22"/>
        <v>14.05</v>
      </c>
      <c r="AG186" s="102">
        <f t="shared" si="23"/>
        <v>104</v>
      </c>
      <c r="AH186" s="102">
        <f t="shared" si="24"/>
        <v>8.1</v>
      </c>
      <c r="AI186" s="102">
        <f t="shared" si="25"/>
        <v>6.6</v>
      </c>
      <c r="AJ186" s="102">
        <f t="shared" si="26"/>
        <v>42.8</v>
      </c>
      <c r="AK186" s="102">
        <f t="shared" si="27"/>
        <v>1.7</v>
      </c>
      <c r="AL186" s="102">
        <f t="shared" si="28"/>
        <v>110</v>
      </c>
      <c r="AM186" s="102">
        <f t="shared" si="29"/>
        <v>150</v>
      </c>
      <c r="AN186" s="102">
        <f t="shared" si="30"/>
        <v>6000</v>
      </c>
      <c r="AO186" s="102">
        <f t="shared" si="31"/>
        <v>82</v>
      </c>
      <c r="AP186" s="102">
        <f t="shared" si="32"/>
        <v>6500</v>
      </c>
      <c r="AQ186" s="102">
        <f t="shared" si="33"/>
        <v>0</v>
      </c>
    </row>
    <row r="187" spans="1:43" s="102" customFormat="1" ht="12">
      <c r="A187" s="117"/>
      <c r="C187" s="616" t="s">
        <v>152</v>
      </c>
      <c r="D187" s="617">
        <f t="shared" ref="D187:O187" si="36">MIN(AE179:AE184)</f>
        <v>2.8</v>
      </c>
      <c r="E187" s="617">
        <f t="shared" si="36"/>
        <v>7.69</v>
      </c>
      <c r="F187" s="618">
        <f t="shared" si="36"/>
        <v>80</v>
      </c>
      <c r="G187" s="617">
        <f t="shared" si="36"/>
        <v>7.9</v>
      </c>
      <c r="H187" s="617">
        <f t="shared" si="36"/>
        <v>1.3</v>
      </c>
      <c r="I187" s="617">
        <f t="shared" si="36"/>
        <v>39.200000000000003</v>
      </c>
      <c r="J187" s="617">
        <f t="shared" si="36"/>
        <v>1.2</v>
      </c>
      <c r="K187" s="618">
        <f t="shared" si="36"/>
        <v>21</v>
      </c>
      <c r="L187" s="618">
        <f t="shared" si="36"/>
        <v>40</v>
      </c>
      <c r="M187" s="618">
        <f t="shared" si="36"/>
        <v>880</v>
      </c>
      <c r="N187" s="618">
        <f t="shared" si="36"/>
        <v>10</v>
      </c>
      <c r="O187" s="618">
        <f t="shared" si="36"/>
        <v>1400</v>
      </c>
      <c r="P187" s="617"/>
      <c r="Q187" s="717"/>
      <c r="R187" s="307"/>
      <c r="S187" s="420"/>
      <c r="T187" s="421"/>
      <c r="U187" s="422"/>
      <c r="V187" s="423"/>
      <c r="W187" s="421"/>
      <c r="X187" s="421"/>
      <c r="Y187" s="421"/>
      <c r="Z187" s="421"/>
      <c r="AA187" s="421"/>
      <c r="AB187" s="411"/>
      <c r="AC187" s="411"/>
      <c r="AD187" s="411"/>
      <c r="AE187" s="102">
        <f t="shared" si="21"/>
        <v>2.8</v>
      </c>
      <c r="AF187" s="102">
        <f t="shared" si="22"/>
        <v>7.69</v>
      </c>
      <c r="AG187" s="102">
        <f t="shared" si="23"/>
        <v>80</v>
      </c>
      <c r="AH187" s="102">
        <f t="shared" si="24"/>
        <v>7.9</v>
      </c>
      <c r="AI187" s="102">
        <f t="shared" si="25"/>
        <v>1.3</v>
      </c>
      <c r="AJ187" s="102">
        <f t="shared" si="26"/>
        <v>39.200000000000003</v>
      </c>
      <c r="AK187" s="102">
        <f t="shared" si="27"/>
        <v>1.2</v>
      </c>
      <c r="AL187" s="102">
        <f t="shared" si="28"/>
        <v>21</v>
      </c>
      <c r="AM187" s="102">
        <f t="shared" si="29"/>
        <v>40</v>
      </c>
      <c r="AN187" s="102">
        <f t="shared" si="30"/>
        <v>880</v>
      </c>
      <c r="AO187" s="102">
        <f t="shared" si="31"/>
        <v>10</v>
      </c>
      <c r="AP187" s="102">
        <f t="shared" si="32"/>
        <v>1400</v>
      </c>
      <c r="AQ187" s="102">
        <f t="shared" si="33"/>
        <v>0</v>
      </c>
    </row>
    <row r="188" spans="1:43" s="102" customFormat="1" ht="12">
      <c r="A188" s="117"/>
      <c r="B188" s="411"/>
      <c r="C188" s="619"/>
      <c r="D188" s="620"/>
      <c r="E188" s="620"/>
      <c r="F188" s="621"/>
      <c r="G188" s="620"/>
      <c r="H188" s="620"/>
      <c r="I188" s="620"/>
      <c r="J188" s="622"/>
      <c r="K188" s="622"/>
      <c r="L188" s="622"/>
      <c r="M188" s="622"/>
      <c r="N188" s="622"/>
      <c r="O188" s="622"/>
      <c r="P188" s="620"/>
      <c r="Q188" s="620"/>
      <c r="R188" s="387"/>
      <c r="S188" s="420"/>
      <c r="T188" s="421"/>
      <c r="U188" s="422"/>
      <c r="V188" s="423"/>
      <c r="W188" s="421"/>
      <c r="X188" s="421"/>
      <c r="Y188" s="421"/>
      <c r="Z188" s="421"/>
      <c r="AA188" s="421"/>
      <c r="AB188" s="411"/>
      <c r="AC188" s="411"/>
      <c r="AD188" s="411"/>
      <c r="AE188" s="102">
        <f t="shared" si="21"/>
        <v>0</v>
      </c>
      <c r="AF188" s="102">
        <f t="shared" si="22"/>
        <v>0</v>
      </c>
      <c r="AG188" s="102">
        <f t="shared" si="23"/>
        <v>0</v>
      </c>
      <c r="AH188" s="102">
        <f t="shared" si="24"/>
        <v>0</v>
      </c>
      <c r="AI188" s="102">
        <f t="shared" si="25"/>
        <v>0</v>
      </c>
      <c r="AJ188" s="102">
        <f t="shared" si="26"/>
        <v>0</v>
      </c>
      <c r="AK188" s="102">
        <f t="shared" si="27"/>
        <v>0</v>
      </c>
      <c r="AL188" s="102">
        <f t="shared" si="28"/>
        <v>0</v>
      </c>
      <c r="AM188" s="102">
        <f t="shared" si="29"/>
        <v>0</v>
      </c>
      <c r="AN188" s="102">
        <f t="shared" si="30"/>
        <v>0</v>
      </c>
      <c r="AO188" s="102">
        <f t="shared" si="31"/>
        <v>0</v>
      </c>
      <c r="AP188" s="102">
        <f t="shared" si="32"/>
        <v>0</v>
      </c>
      <c r="AQ188" s="102">
        <f t="shared" si="33"/>
        <v>0</v>
      </c>
    </row>
    <row r="189" spans="1:43" s="102" customFormat="1" ht="12" customHeight="1">
      <c r="A189" s="117">
        <v>23</v>
      </c>
      <c r="B189" s="102" t="str">
        <f>RS!D129</f>
        <v>33  Sularpsbäcken, nedströms S Sandbys ARV</v>
      </c>
      <c r="C189" s="206">
        <f>RS!E129</f>
        <v>45671</v>
      </c>
      <c r="D189" s="222">
        <f>RS!F129</f>
        <v>3.7</v>
      </c>
      <c r="E189" s="222">
        <f>RS!G129</f>
        <v>12.54</v>
      </c>
      <c r="F189" s="218">
        <f>RS!H129</f>
        <v>95</v>
      </c>
      <c r="G189" s="222">
        <f>RS!I129</f>
        <v>7.9</v>
      </c>
      <c r="H189" s="222">
        <f>RS!J129</f>
        <v>17</v>
      </c>
      <c r="I189" s="222">
        <f>RS!K129</f>
        <v>66.599999999999994</v>
      </c>
      <c r="J189" s="102">
        <f>RS!L129</f>
        <v>2</v>
      </c>
      <c r="K189" s="218">
        <f>RS!M129</f>
        <v>18</v>
      </c>
      <c r="L189" s="218">
        <f>RS!N129</f>
        <v>71</v>
      </c>
      <c r="M189" s="218">
        <f>RS!O129</f>
        <v>6400</v>
      </c>
      <c r="N189" s="218">
        <f>RS!P129</f>
        <v>220</v>
      </c>
      <c r="O189" s="218">
        <f>RS!Q129</f>
        <v>7100</v>
      </c>
      <c r="P189" s="222" t="str">
        <f>RS!R129</f>
        <v/>
      </c>
      <c r="Q189" s="222" t="str">
        <f>RS!S129</f>
        <v/>
      </c>
      <c r="R189" s="609" t="str">
        <f>RS!T129</f>
        <v/>
      </c>
      <c r="S189" s="426"/>
      <c r="T189" s="427"/>
      <c r="U189" s="422"/>
      <c r="V189" s="423"/>
      <c r="W189" s="424"/>
      <c r="X189" s="425"/>
      <c r="Y189" s="425"/>
      <c r="Z189" s="424"/>
      <c r="AA189" s="425"/>
      <c r="AB189" s="425"/>
      <c r="AC189" s="425"/>
      <c r="AD189" s="411"/>
      <c r="AE189" s="102">
        <f t="shared" si="21"/>
        <v>3.7</v>
      </c>
      <c r="AF189" s="102">
        <f t="shared" si="22"/>
        <v>12.54</v>
      </c>
      <c r="AG189" s="102">
        <f t="shared" si="23"/>
        <v>95</v>
      </c>
      <c r="AH189" s="102">
        <f t="shared" si="24"/>
        <v>7.9</v>
      </c>
      <c r="AI189" s="102">
        <f t="shared" si="25"/>
        <v>17</v>
      </c>
      <c r="AJ189" s="102">
        <f t="shared" si="26"/>
        <v>66.599999999999994</v>
      </c>
      <c r="AK189" s="102">
        <f t="shared" si="27"/>
        <v>2</v>
      </c>
      <c r="AL189" s="102">
        <f t="shared" si="28"/>
        <v>18</v>
      </c>
      <c r="AM189" s="102">
        <f t="shared" si="29"/>
        <v>71</v>
      </c>
      <c r="AN189" s="102">
        <f t="shared" si="30"/>
        <v>6400</v>
      </c>
      <c r="AO189" s="102">
        <f t="shared" si="31"/>
        <v>220</v>
      </c>
      <c r="AP189" s="102">
        <f t="shared" si="32"/>
        <v>7100</v>
      </c>
      <c r="AQ189" s="102" t="str">
        <f t="shared" si="33"/>
        <v/>
      </c>
    </row>
    <row r="190" spans="1:43" s="102" customFormat="1" ht="12" customHeight="1">
      <c r="A190" s="117">
        <v>23</v>
      </c>
      <c r="B190" s="102" t="str">
        <f>RS!D130</f>
        <v>33  Sularpsbäcken, nedströms S Sandbys ARV</v>
      </c>
      <c r="C190" s="206">
        <f>RS!E130</f>
        <v>45734</v>
      </c>
      <c r="D190" s="222">
        <f>RS!F130</f>
        <v>5.7</v>
      </c>
      <c r="E190" s="222">
        <f>RS!G130</f>
        <v>15.4</v>
      </c>
      <c r="F190" s="218">
        <f>RS!H130</f>
        <v>123</v>
      </c>
      <c r="G190" s="222">
        <f>RS!I130</f>
        <v>8.1999999999999993</v>
      </c>
      <c r="H190" s="222">
        <f>RS!J130</f>
        <v>2.4</v>
      </c>
      <c r="I190" s="222">
        <f>RS!K130</f>
        <v>62.5</v>
      </c>
      <c r="J190" s="102">
        <f>RS!L130</f>
        <v>2</v>
      </c>
      <c r="K190" s="218">
        <f>RS!M130</f>
        <v>14</v>
      </c>
      <c r="L190" s="218">
        <f>RS!N130</f>
        <v>37</v>
      </c>
      <c r="M190" s="218">
        <f>RS!O130</f>
        <v>4400</v>
      </c>
      <c r="N190" s="218">
        <f>RS!P130</f>
        <v>49</v>
      </c>
      <c r="O190" s="218">
        <f>RS!Q130</f>
        <v>4700</v>
      </c>
      <c r="P190" s="222" t="str">
        <f>RS!R130</f>
        <v/>
      </c>
      <c r="Q190" s="222" t="str">
        <f>RS!S130</f>
        <v/>
      </c>
      <c r="R190" s="609" t="str">
        <f>RS!T130</f>
        <v/>
      </c>
      <c r="S190" s="429"/>
      <c r="T190" s="430"/>
      <c r="U190" s="422"/>
      <c r="V190" s="423"/>
      <c r="W190" s="431"/>
      <c r="X190" s="432"/>
      <c r="Y190" s="421"/>
      <c r="Z190" s="421"/>
      <c r="AA190" s="421"/>
      <c r="AB190" s="411"/>
      <c r="AC190" s="411"/>
      <c r="AD190" s="411"/>
      <c r="AE190" s="102">
        <f t="shared" si="21"/>
        <v>5.7</v>
      </c>
      <c r="AF190" s="102">
        <f t="shared" si="22"/>
        <v>15.4</v>
      </c>
      <c r="AG190" s="102">
        <f t="shared" si="23"/>
        <v>123</v>
      </c>
      <c r="AH190" s="102">
        <f t="shared" si="24"/>
        <v>8.1999999999999993</v>
      </c>
      <c r="AI190" s="102">
        <f t="shared" si="25"/>
        <v>2.4</v>
      </c>
      <c r="AJ190" s="102">
        <f t="shared" si="26"/>
        <v>62.5</v>
      </c>
      <c r="AK190" s="102">
        <f t="shared" si="27"/>
        <v>2</v>
      </c>
      <c r="AL190" s="102">
        <f t="shared" si="28"/>
        <v>14</v>
      </c>
      <c r="AM190" s="102">
        <f t="shared" si="29"/>
        <v>37</v>
      </c>
      <c r="AN190" s="102">
        <f t="shared" si="30"/>
        <v>4400</v>
      </c>
      <c r="AO190" s="102">
        <f t="shared" si="31"/>
        <v>49</v>
      </c>
      <c r="AP190" s="102">
        <f t="shared" si="32"/>
        <v>4700</v>
      </c>
      <c r="AQ190" s="102" t="str">
        <f t="shared" si="33"/>
        <v/>
      </c>
    </row>
    <row r="191" spans="1:43" s="102" customFormat="1" ht="12" customHeight="1">
      <c r="A191" s="117">
        <v>23</v>
      </c>
      <c r="B191" s="102" t="str">
        <f>RS!D131</f>
        <v>33  Sularpsbäcken, nedströms S Sandbys ARV</v>
      </c>
      <c r="C191" s="206">
        <f>RS!E131</f>
        <v>45848</v>
      </c>
      <c r="D191" s="222">
        <f>RS!F131</f>
        <v>19.2</v>
      </c>
      <c r="E191" s="222">
        <f>RS!G131</f>
        <v>8.02</v>
      </c>
      <c r="F191" s="218">
        <f>RS!H131</f>
        <v>87</v>
      </c>
      <c r="G191" s="222">
        <f>RS!I131</f>
        <v>7.7</v>
      </c>
      <c r="H191" s="222">
        <f>RS!J131</f>
        <v>9</v>
      </c>
      <c r="I191" s="222">
        <f>RS!K131</f>
        <v>55</v>
      </c>
      <c r="J191" s="102">
        <f>RS!L131</f>
        <v>1.9</v>
      </c>
      <c r="K191" s="218">
        <f>RS!M131</f>
        <v>45</v>
      </c>
      <c r="L191" s="218">
        <f>RS!N131</f>
        <v>86</v>
      </c>
      <c r="M191" s="218">
        <f>RS!O131</f>
        <v>2500</v>
      </c>
      <c r="N191" s="218">
        <f>RS!P131</f>
        <v>100</v>
      </c>
      <c r="O191" s="218">
        <f>RS!Q131</f>
        <v>3000</v>
      </c>
      <c r="P191" s="222" t="str">
        <f>RS!R131</f>
        <v/>
      </c>
      <c r="Q191" s="222" t="str">
        <f>RS!S131</f>
        <v/>
      </c>
      <c r="R191" s="609" t="str">
        <f>RS!T131</f>
        <v/>
      </c>
      <c r="S191" s="420"/>
      <c r="T191" s="421"/>
      <c r="U191" s="422"/>
      <c r="V191" s="423"/>
      <c r="W191" s="421"/>
      <c r="X191" s="421"/>
      <c r="Y191" s="421"/>
      <c r="Z191" s="421"/>
      <c r="AA191" s="421"/>
      <c r="AB191" s="411"/>
      <c r="AC191" s="411"/>
      <c r="AD191" s="411"/>
      <c r="AE191" s="102">
        <f t="shared" si="21"/>
        <v>19.2</v>
      </c>
      <c r="AF191" s="102">
        <f t="shared" si="22"/>
        <v>8.02</v>
      </c>
      <c r="AG191" s="102">
        <f t="shared" si="23"/>
        <v>87</v>
      </c>
      <c r="AH191" s="102">
        <f t="shared" si="24"/>
        <v>7.7</v>
      </c>
      <c r="AI191" s="102">
        <f t="shared" si="25"/>
        <v>9</v>
      </c>
      <c r="AJ191" s="102">
        <f t="shared" si="26"/>
        <v>55</v>
      </c>
      <c r="AK191" s="102">
        <f t="shared" si="27"/>
        <v>1.9</v>
      </c>
      <c r="AL191" s="102">
        <f t="shared" si="28"/>
        <v>45</v>
      </c>
      <c r="AM191" s="102">
        <f t="shared" si="29"/>
        <v>86</v>
      </c>
      <c r="AN191" s="102">
        <f t="shared" si="30"/>
        <v>2500</v>
      </c>
      <c r="AO191" s="102">
        <f t="shared" si="31"/>
        <v>100</v>
      </c>
      <c r="AP191" s="102">
        <f t="shared" si="32"/>
        <v>3000</v>
      </c>
      <c r="AQ191" s="102" t="str">
        <f t="shared" si="33"/>
        <v/>
      </c>
    </row>
    <row r="192" spans="1:43" s="102" customFormat="1" ht="12" customHeight="1">
      <c r="A192" s="117">
        <v>23</v>
      </c>
      <c r="B192" s="102" t="str">
        <f>RS!D132</f>
        <v>33  Sularpsbäcken, nedströms S Sandbys ARV</v>
      </c>
      <c r="C192" s="206" t="str">
        <f>RS!E132</f>
        <v/>
      </c>
      <c r="D192" s="222" t="str">
        <f>RS!F132</f>
        <v/>
      </c>
      <c r="E192" s="222" t="str">
        <f>RS!G132</f>
        <v/>
      </c>
      <c r="F192" s="218" t="str">
        <f>RS!H132</f>
        <v/>
      </c>
      <c r="G192" s="222" t="str">
        <f>RS!I132</f>
        <v/>
      </c>
      <c r="H192" s="222" t="str">
        <f>RS!J132</f>
        <v/>
      </c>
      <c r="I192" s="222" t="str">
        <f>RS!K132</f>
        <v/>
      </c>
      <c r="J192" s="102" t="str">
        <f>RS!L132</f>
        <v/>
      </c>
      <c r="K192" s="218" t="str">
        <f>RS!M132</f>
        <v/>
      </c>
      <c r="L192" s="218" t="str">
        <f>RS!N132</f>
        <v/>
      </c>
      <c r="M192" s="218" t="str">
        <f>RS!O132</f>
        <v/>
      </c>
      <c r="N192" s="218" t="str">
        <f>RS!P132</f>
        <v/>
      </c>
      <c r="O192" s="218" t="str">
        <f>RS!Q132</f>
        <v/>
      </c>
      <c r="P192" s="222" t="str">
        <f>RS!R132</f>
        <v/>
      </c>
      <c r="Q192" s="222" t="str">
        <f>RS!S132</f>
        <v/>
      </c>
      <c r="R192" s="609" t="str">
        <f>RS!T132</f>
        <v/>
      </c>
      <c r="S192" s="420"/>
      <c r="T192" s="421"/>
      <c r="U192" s="422"/>
      <c r="V192" s="423"/>
      <c r="W192" s="421"/>
      <c r="X192" s="421"/>
      <c r="Y192" s="421"/>
      <c r="Z192" s="421"/>
      <c r="AA192" s="421"/>
      <c r="AB192" s="411"/>
      <c r="AC192" s="411"/>
      <c r="AD192" s="411"/>
      <c r="AE192" s="102" t="str">
        <f t="shared" si="21"/>
        <v/>
      </c>
      <c r="AF192" s="102" t="str">
        <f t="shared" si="22"/>
        <v/>
      </c>
      <c r="AG192" s="102" t="str">
        <f t="shared" si="23"/>
        <v/>
      </c>
      <c r="AH192" s="102" t="str">
        <f t="shared" si="24"/>
        <v/>
      </c>
      <c r="AI192" s="102" t="str">
        <f t="shared" si="25"/>
        <v/>
      </c>
      <c r="AJ192" s="102" t="str">
        <f t="shared" si="26"/>
        <v/>
      </c>
      <c r="AK192" s="102" t="str">
        <f t="shared" si="27"/>
        <v/>
      </c>
      <c r="AL192" s="102" t="str">
        <f t="shared" si="28"/>
        <v/>
      </c>
      <c r="AM192" s="102" t="str">
        <f t="shared" si="29"/>
        <v/>
      </c>
      <c r="AN192" s="102" t="str">
        <f t="shared" si="30"/>
        <v/>
      </c>
      <c r="AO192" s="102" t="str">
        <f t="shared" si="31"/>
        <v/>
      </c>
      <c r="AP192" s="102" t="str">
        <f t="shared" si="32"/>
        <v/>
      </c>
      <c r="AQ192" s="102" t="str">
        <f t="shared" si="33"/>
        <v/>
      </c>
    </row>
    <row r="193" spans="1:43" s="102" customFormat="1" ht="12" customHeight="1">
      <c r="A193" s="117">
        <v>23</v>
      </c>
      <c r="B193" s="102" t="str">
        <f>RS!D133</f>
        <v>33  Sularpsbäcken, nedströms S Sandbys ARV</v>
      </c>
      <c r="C193" s="206" t="str">
        <f>RS!E133</f>
        <v/>
      </c>
      <c r="D193" s="222" t="str">
        <f>RS!F133</f>
        <v/>
      </c>
      <c r="E193" s="222" t="str">
        <f>RS!G133</f>
        <v/>
      </c>
      <c r="F193" s="218" t="str">
        <f>RS!H133</f>
        <v/>
      </c>
      <c r="G193" s="222" t="str">
        <f>RS!I133</f>
        <v/>
      </c>
      <c r="H193" s="222" t="str">
        <f>RS!J133</f>
        <v/>
      </c>
      <c r="I193" s="222" t="str">
        <f>RS!K133</f>
        <v/>
      </c>
      <c r="J193" s="102" t="str">
        <f>RS!L133</f>
        <v/>
      </c>
      <c r="K193" s="218" t="str">
        <f>RS!M133</f>
        <v/>
      </c>
      <c r="L193" s="218" t="str">
        <f>RS!N133</f>
        <v/>
      </c>
      <c r="M193" s="218" t="str">
        <f>RS!O133</f>
        <v/>
      </c>
      <c r="N193" s="218" t="str">
        <f>RS!P133</f>
        <v/>
      </c>
      <c r="O193" s="218" t="str">
        <f>RS!Q133</f>
        <v/>
      </c>
      <c r="P193" s="222" t="str">
        <f>RS!R133</f>
        <v/>
      </c>
      <c r="Q193" s="222" t="str">
        <f>RS!S133</f>
        <v/>
      </c>
      <c r="R193" s="609" t="str">
        <f>RS!T133</f>
        <v/>
      </c>
      <c r="S193" s="420"/>
      <c r="T193" s="421"/>
      <c r="U193" s="422"/>
      <c r="V193" s="423"/>
      <c r="W193" s="421"/>
      <c r="X193" s="421"/>
      <c r="Y193" s="421"/>
      <c r="Z193" s="421"/>
      <c r="AA193" s="421"/>
      <c r="AB193" s="411"/>
      <c r="AC193" s="411"/>
      <c r="AD193" s="411"/>
      <c r="AE193" s="102" t="str">
        <f t="shared" si="21"/>
        <v/>
      </c>
      <c r="AF193" s="102" t="str">
        <f t="shared" si="22"/>
        <v/>
      </c>
      <c r="AG193" s="102" t="str">
        <f t="shared" si="23"/>
        <v/>
      </c>
      <c r="AH193" s="102" t="str">
        <f t="shared" si="24"/>
        <v/>
      </c>
      <c r="AI193" s="102" t="str">
        <f t="shared" si="25"/>
        <v/>
      </c>
      <c r="AJ193" s="102" t="str">
        <f t="shared" si="26"/>
        <v/>
      </c>
      <c r="AK193" s="102" t="str">
        <f t="shared" si="27"/>
        <v/>
      </c>
      <c r="AL193" s="102" t="str">
        <f t="shared" si="28"/>
        <v/>
      </c>
      <c r="AM193" s="102" t="str">
        <f t="shared" si="29"/>
        <v/>
      </c>
      <c r="AN193" s="102" t="str">
        <f t="shared" si="30"/>
        <v/>
      </c>
      <c r="AO193" s="102" t="str">
        <f t="shared" si="31"/>
        <v/>
      </c>
      <c r="AP193" s="102" t="str">
        <f t="shared" si="32"/>
        <v/>
      </c>
      <c r="AQ193" s="102" t="str">
        <f t="shared" si="33"/>
        <v/>
      </c>
    </row>
    <row r="194" spans="1:43" s="102" customFormat="1" ht="12">
      <c r="A194" s="117">
        <v>23</v>
      </c>
      <c r="B194" s="102" t="str">
        <f>RS!D134</f>
        <v>33  Sularpsbäcken, nedströms S Sandbys ARV</v>
      </c>
      <c r="C194" s="206" t="str">
        <f>RS!E134</f>
        <v>2025-05-13</v>
      </c>
      <c r="D194" s="222">
        <f>RS!F134</f>
        <v>15.5</v>
      </c>
      <c r="E194" s="222">
        <f>RS!G134</f>
        <v>11.5</v>
      </c>
      <c r="F194" s="218">
        <f>RS!H134</f>
        <v>116</v>
      </c>
      <c r="G194" s="222">
        <f>RS!I134</f>
        <v>8</v>
      </c>
      <c r="H194" s="222">
        <f>RS!J134</f>
        <v>3.8</v>
      </c>
      <c r="I194" s="222">
        <f>RS!K134</f>
        <v>68.099999999999994</v>
      </c>
      <c r="J194" s="102">
        <f>RS!L134</f>
        <v>2.2999999999999998</v>
      </c>
      <c r="K194" s="218">
        <f>RS!M134</f>
        <v>29</v>
      </c>
      <c r="L194" s="218">
        <f>RS!N134</f>
        <v>130</v>
      </c>
      <c r="M194" s="218">
        <f>RS!O134</f>
        <v>4000</v>
      </c>
      <c r="N194" s="218">
        <f>RS!P134</f>
        <v>91</v>
      </c>
      <c r="O194" s="218">
        <f>RS!Q134</f>
        <v>4500</v>
      </c>
      <c r="P194" s="222" t="str">
        <f>RS!R134</f>
        <v/>
      </c>
      <c r="Q194" s="222" t="str">
        <f>RS!S134</f>
        <v/>
      </c>
      <c r="R194" s="609" t="str">
        <f>RS!T134</f>
        <v/>
      </c>
      <c r="S194" s="420"/>
      <c r="T194" s="421"/>
      <c r="U194" s="422"/>
      <c r="V194" s="423"/>
      <c r="W194" s="421"/>
      <c r="X194" s="421"/>
      <c r="Y194" s="421"/>
      <c r="Z194" s="421"/>
      <c r="AA194" s="421"/>
      <c r="AB194" s="411"/>
      <c r="AC194" s="411"/>
      <c r="AD194" s="411"/>
      <c r="AE194" s="102">
        <f t="shared" si="21"/>
        <v>15.5</v>
      </c>
      <c r="AF194" s="102">
        <f t="shared" si="22"/>
        <v>11.5</v>
      </c>
      <c r="AG194" s="102">
        <f t="shared" si="23"/>
        <v>116</v>
      </c>
      <c r="AH194" s="102">
        <f t="shared" si="24"/>
        <v>8</v>
      </c>
      <c r="AI194" s="102">
        <f t="shared" si="25"/>
        <v>3.8</v>
      </c>
      <c r="AJ194" s="102">
        <f t="shared" si="26"/>
        <v>68.099999999999994</v>
      </c>
      <c r="AK194" s="102">
        <f t="shared" si="27"/>
        <v>2.2999999999999998</v>
      </c>
      <c r="AL194" s="102">
        <f t="shared" si="28"/>
        <v>29</v>
      </c>
      <c r="AM194" s="102">
        <f t="shared" si="29"/>
        <v>130</v>
      </c>
      <c r="AN194" s="102">
        <f t="shared" si="30"/>
        <v>4000</v>
      </c>
      <c r="AO194" s="102">
        <f t="shared" si="31"/>
        <v>91</v>
      </c>
      <c r="AP194" s="102">
        <f t="shared" si="32"/>
        <v>4500</v>
      </c>
      <c r="AQ194" s="102" t="str">
        <f t="shared" si="33"/>
        <v/>
      </c>
    </row>
    <row r="195" spans="1:43" s="102" customFormat="1" ht="12">
      <c r="A195" s="117"/>
      <c r="C195" s="610" t="s">
        <v>150</v>
      </c>
      <c r="D195" s="611">
        <f t="shared" ref="D195:O195" si="37">AVERAGE(AE189:AE194)</f>
        <v>11.025</v>
      </c>
      <c r="E195" s="611">
        <f t="shared" si="37"/>
        <v>11.864999999999998</v>
      </c>
      <c r="F195" s="612">
        <f t="shared" si="37"/>
        <v>105.25</v>
      </c>
      <c r="G195" s="611">
        <f t="shared" si="37"/>
        <v>7.95</v>
      </c>
      <c r="H195" s="611">
        <f t="shared" si="37"/>
        <v>8.0499999999999989</v>
      </c>
      <c r="I195" s="611">
        <f t="shared" si="37"/>
        <v>63.05</v>
      </c>
      <c r="J195" s="611">
        <f t="shared" si="37"/>
        <v>2.0499999999999998</v>
      </c>
      <c r="K195" s="612">
        <f t="shared" si="37"/>
        <v>26.5</v>
      </c>
      <c r="L195" s="612">
        <f t="shared" si="37"/>
        <v>81</v>
      </c>
      <c r="M195" s="612">
        <f t="shared" si="37"/>
        <v>4325</v>
      </c>
      <c r="N195" s="612">
        <f t="shared" si="37"/>
        <v>115</v>
      </c>
      <c r="O195" s="612">
        <f t="shared" si="37"/>
        <v>4825</v>
      </c>
      <c r="P195" s="611"/>
      <c r="Q195" s="715"/>
      <c r="R195" s="307"/>
      <c r="S195" s="420"/>
      <c r="T195" s="421"/>
      <c r="U195" s="422"/>
      <c r="V195" s="423"/>
      <c r="W195" s="421"/>
      <c r="X195" s="421"/>
      <c r="Y195" s="421"/>
      <c r="Z195" s="421"/>
      <c r="AA195" s="421"/>
      <c r="AB195" s="411"/>
      <c r="AC195" s="411"/>
      <c r="AD195" s="411"/>
      <c r="AE195" s="102">
        <f t="shared" si="21"/>
        <v>11.025</v>
      </c>
      <c r="AF195" s="102">
        <f t="shared" si="22"/>
        <v>11.864999999999998</v>
      </c>
      <c r="AG195" s="102">
        <f t="shared" si="23"/>
        <v>105.25</v>
      </c>
      <c r="AH195" s="102">
        <f t="shared" si="24"/>
        <v>7.95</v>
      </c>
      <c r="AI195" s="102">
        <f t="shared" si="25"/>
        <v>8.0499999999999989</v>
      </c>
      <c r="AJ195" s="102">
        <f t="shared" si="26"/>
        <v>63.05</v>
      </c>
      <c r="AK195" s="102">
        <f t="shared" si="27"/>
        <v>2.0499999999999998</v>
      </c>
      <c r="AL195" s="102">
        <f t="shared" si="28"/>
        <v>26.5</v>
      </c>
      <c r="AM195" s="102">
        <f t="shared" si="29"/>
        <v>81</v>
      </c>
      <c r="AN195" s="102">
        <f t="shared" si="30"/>
        <v>4325</v>
      </c>
      <c r="AO195" s="102">
        <f t="shared" si="31"/>
        <v>115</v>
      </c>
      <c r="AP195" s="102">
        <f t="shared" si="32"/>
        <v>4825</v>
      </c>
      <c r="AQ195" s="102">
        <f t="shared" si="33"/>
        <v>0</v>
      </c>
    </row>
    <row r="196" spans="1:43" s="102" customFormat="1" ht="12">
      <c r="A196" s="117"/>
      <c r="C196" s="613" t="s">
        <v>151</v>
      </c>
      <c r="D196" s="614">
        <f t="shared" ref="D196:O196" si="38">MAX(AE189:AE194)</f>
        <v>19.2</v>
      </c>
      <c r="E196" s="614">
        <f t="shared" si="38"/>
        <v>15.4</v>
      </c>
      <c r="F196" s="615">
        <f t="shared" si="38"/>
        <v>123</v>
      </c>
      <c r="G196" s="614">
        <f t="shared" si="38"/>
        <v>8.1999999999999993</v>
      </c>
      <c r="H196" s="614">
        <f t="shared" si="38"/>
        <v>17</v>
      </c>
      <c r="I196" s="614">
        <f t="shared" si="38"/>
        <v>68.099999999999994</v>
      </c>
      <c r="J196" s="614">
        <f t="shared" si="38"/>
        <v>2.2999999999999998</v>
      </c>
      <c r="K196" s="615">
        <f t="shared" si="38"/>
        <v>45</v>
      </c>
      <c r="L196" s="615">
        <f t="shared" si="38"/>
        <v>130</v>
      </c>
      <c r="M196" s="615">
        <f t="shared" si="38"/>
        <v>6400</v>
      </c>
      <c r="N196" s="615">
        <f t="shared" si="38"/>
        <v>220</v>
      </c>
      <c r="O196" s="615">
        <f t="shared" si="38"/>
        <v>7100</v>
      </c>
      <c r="P196" s="614"/>
      <c r="Q196" s="716"/>
      <c r="R196" s="307"/>
      <c r="S196" s="420"/>
      <c r="T196" s="421"/>
      <c r="U196" s="422"/>
      <c r="V196" s="423"/>
      <c r="W196" s="421"/>
      <c r="X196" s="421"/>
      <c r="Y196" s="421"/>
      <c r="Z196" s="421"/>
      <c r="AA196" s="421"/>
      <c r="AB196" s="411"/>
      <c r="AC196" s="411"/>
      <c r="AD196" s="411"/>
      <c r="AE196" s="102">
        <f t="shared" si="21"/>
        <v>19.2</v>
      </c>
      <c r="AF196" s="102">
        <f t="shared" si="22"/>
        <v>15.4</v>
      </c>
      <c r="AG196" s="102">
        <f t="shared" si="23"/>
        <v>123</v>
      </c>
      <c r="AH196" s="102">
        <f t="shared" si="24"/>
        <v>8.1999999999999993</v>
      </c>
      <c r="AI196" s="102">
        <f t="shared" si="25"/>
        <v>17</v>
      </c>
      <c r="AJ196" s="102">
        <f t="shared" si="26"/>
        <v>68.099999999999994</v>
      </c>
      <c r="AK196" s="102">
        <f t="shared" si="27"/>
        <v>2.2999999999999998</v>
      </c>
      <c r="AL196" s="102">
        <f t="shared" si="28"/>
        <v>45</v>
      </c>
      <c r="AM196" s="102">
        <f t="shared" si="29"/>
        <v>130</v>
      </c>
      <c r="AN196" s="102">
        <f t="shared" si="30"/>
        <v>6400</v>
      </c>
      <c r="AO196" s="102">
        <f t="shared" si="31"/>
        <v>220</v>
      </c>
      <c r="AP196" s="102">
        <f t="shared" si="32"/>
        <v>7100</v>
      </c>
      <c r="AQ196" s="102">
        <f t="shared" si="33"/>
        <v>0</v>
      </c>
    </row>
    <row r="197" spans="1:43" s="102" customFormat="1" ht="12">
      <c r="A197" s="117"/>
      <c r="C197" s="616" t="s">
        <v>152</v>
      </c>
      <c r="D197" s="617">
        <f t="shared" ref="D197:O197" si="39">MIN(AE189:AE194)</f>
        <v>3.7</v>
      </c>
      <c r="E197" s="617">
        <f t="shared" si="39"/>
        <v>8.02</v>
      </c>
      <c r="F197" s="618">
        <f t="shared" si="39"/>
        <v>87</v>
      </c>
      <c r="G197" s="617">
        <f t="shared" si="39"/>
        <v>7.7</v>
      </c>
      <c r="H197" s="617">
        <f t="shared" si="39"/>
        <v>2.4</v>
      </c>
      <c r="I197" s="617">
        <f t="shared" si="39"/>
        <v>55</v>
      </c>
      <c r="J197" s="617">
        <f t="shared" si="39"/>
        <v>1.9</v>
      </c>
      <c r="K197" s="618">
        <f t="shared" si="39"/>
        <v>14</v>
      </c>
      <c r="L197" s="618">
        <f t="shared" si="39"/>
        <v>37</v>
      </c>
      <c r="M197" s="618">
        <f t="shared" si="39"/>
        <v>2500</v>
      </c>
      <c r="N197" s="618">
        <f t="shared" si="39"/>
        <v>49</v>
      </c>
      <c r="O197" s="618">
        <f t="shared" si="39"/>
        <v>3000</v>
      </c>
      <c r="P197" s="617"/>
      <c r="Q197" s="717"/>
      <c r="R197" s="307"/>
      <c r="S197" s="420"/>
      <c r="T197" s="421"/>
      <c r="U197" s="422"/>
      <c r="V197" s="423"/>
      <c r="W197" s="421"/>
      <c r="X197" s="421"/>
      <c r="Y197" s="421"/>
      <c r="Z197" s="421"/>
      <c r="AA197" s="421"/>
      <c r="AB197" s="411"/>
      <c r="AC197" s="411"/>
      <c r="AD197" s="411"/>
      <c r="AE197" s="102">
        <f t="shared" si="21"/>
        <v>3.7</v>
      </c>
      <c r="AF197" s="102">
        <f t="shared" si="22"/>
        <v>8.02</v>
      </c>
      <c r="AG197" s="102">
        <f t="shared" si="23"/>
        <v>87</v>
      </c>
      <c r="AH197" s="102">
        <f t="shared" si="24"/>
        <v>7.7</v>
      </c>
      <c r="AI197" s="102">
        <f t="shared" si="25"/>
        <v>2.4</v>
      </c>
      <c r="AJ197" s="102">
        <f t="shared" si="26"/>
        <v>55</v>
      </c>
      <c r="AK197" s="102">
        <f t="shared" si="27"/>
        <v>1.9</v>
      </c>
      <c r="AL197" s="102">
        <f t="shared" si="28"/>
        <v>14</v>
      </c>
      <c r="AM197" s="102">
        <f t="shared" si="29"/>
        <v>37</v>
      </c>
      <c r="AN197" s="102">
        <f t="shared" si="30"/>
        <v>2500</v>
      </c>
      <c r="AO197" s="102">
        <f t="shared" si="31"/>
        <v>49</v>
      </c>
      <c r="AP197" s="102">
        <f t="shared" si="32"/>
        <v>3000</v>
      </c>
      <c r="AQ197" s="102">
        <f t="shared" si="33"/>
        <v>0</v>
      </c>
    </row>
    <row r="198" spans="1:43" s="102" customFormat="1" ht="12">
      <c r="A198" s="117"/>
      <c r="B198" s="411"/>
      <c r="C198" s="619"/>
      <c r="D198" s="620"/>
      <c r="E198" s="620"/>
      <c r="F198" s="621"/>
      <c r="G198" s="620"/>
      <c r="H198" s="620"/>
      <c r="I198" s="620"/>
      <c r="J198" s="622"/>
      <c r="K198" s="622"/>
      <c r="L198" s="622"/>
      <c r="M198" s="622"/>
      <c r="N198" s="622"/>
      <c r="O198" s="622"/>
      <c r="P198" s="620"/>
      <c r="Q198" s="620"/>
      <c r="R198" s="387"/>
      <c r="S198" s="420"/>
      <c r="T198" s="421"/>
      <c r="U198" s="422"/>
      <c r="V198" s="423"/>
      <c r="W198" s="421"/>
      <c r="X198" s="421"/>
      <c r="Y198" s="421"/>
      <c r="Z198" s="421"/>
      <c r="AA198" s="421"/>
      <c r="AB198" s="411"/>
      <c r="AC198" s="411"/>
      <c r="AD198" s="411"/>
      <c r="AE198" s="102">
        <f t="shared" si="21"/>
        <v>0</v>
      </c>
      <c r="AF198" s="102">
        <f t="shared" si="22"/>
        <v>0</v>
      </c>
      <c r="AG198" s="102">
        <f t="shared" si="23"/>
        <v>0</v>
      </c>
      <c r="AH198" s="102">
        <f t="shared" si="24"/>
        <v>0</v>
      </c>
      <c r="AI198" s="102">
        <f t="shared" si="25"/>
        <v>0</v>
      </c>
      <c r="AJ198" s="102">
        <f t="shared" si="26"/>
        <v>0</v>
      </c>
      <c r="AK198" s="102">
        <f t="shared" si="27"/>
        <v>0</v>
      </c>
      <c r="AL198" s="102">
        <f t="shared" si="28"/>
        <v>0</v>
      </c>
      <c r="AM198" s="102">
        <f t="shared" si="29"/>
        <v>0</v>
      </c>
      <c r="AN198" s="102">
        <f t="shared" si="30"/>
        <v>0</v>
      </c>
      <c r="AO198" s="102">
        <f t="shared" si="31"/>
        <v>0</v>
      </c>
      <c r="AP198" s="102">
        <f t="shared" si="32"/>
        <v>0</v>
      </c>
      <c r="AQ198" s="102">
        <f t="shared" si="33"/>
        <v>0</v>
      </c>
    </row>
    <row r="199" spans="1:43" s="102" customFormat="1" ht="12" customHeight="1">
      <c r="A199" s="117">
        <v>24</v>
      </c>
      <c r="B199" s="102" t="str">
        <f>RS!D135</f>
        <v>33A Sularpsbäcekn, uppströms S Sandbys ARV</v>
      </c>
      <c r="C199" s="206">
        <f>RS!E135</f>
        <v>45671</v>
      </c>
      <c r="D199" s="222">
        <f>RS!F135</f>
        <v>3.7</v>
      </c>
      <c r="E199" s="222">
        <f>RS!G135</f>
        <v>12.92</v>
      </c>
      <c r="F199" s="218">
        <f>RS!H135</f>
        <v>98</v>
      </c>
      <c r="G199" s="222">
        <f>RS!I135</f>
        <v>8</v>
      </c>
      <c r="H199" s="222">
        <f>RS!J135</f>
        <v>14</v>
      </c>
      <c r="I199" s="222">
        <f>RS!K135</f>
        <v>60.1</v>
      </c>
      <c r="J199" s="102">
        <f>RS!L135</f>
        <v>1.7</v>
      </c>
      <c r="K199" s="218">
        <f>RS!M135</f>
        <v>20</v>
      </c>
      <c r="L199" s="218">
        <f>RS!N135</f>
        <v>52</v>
      </c>
      <c r="M199" s="218">
        <f>RS!O135</f>
        <v>5600</v>
      </c>
      <c r="N199" s="218">
        <f>RS!P135</f>
        <v>200</v>
      </c>
      <c r="O199" s="218">
        <f>RS!Q135</f>
        <v>6200</v>
      </c>
      <c r="P199" s="222" t="str">
        <f>RS!R135</f>
        <v/>
      </c>
      <c r="Q199" s="222" t="str">
        <f>RS!S135</f>
        <v/>
      </c>
      <c r="R199" s="609" t="str">
        <f>RS!T135</f>
        <v/>
      </c>
      <c r="S199" s="426"/>
      <c r="T199" s="427"/>
      <c r="U199" s="422"/>
      <c r="V199" s="423"/>
      <c r="W199" s="424"/>
      <c r="X199" s="425"/>
      <c r="Y199" s="425"/>
      <c r="Z199" s="424"/>
      <c r="AA199" s="425"/>
      <c r="AB199" s="425"/>
      <c r="AC199" s="425"/>
      <c r="AD199" s="411"/>
      <c r="AE199" s="102">
        <f t="shared" si="21"/>
        <v>3.7</v>
      </c>
      <c r="AF199" s="102">
        <f t="shared" si="22"/>
        <v>12.92</v>
      </c>
      <c r="AG199" s="102">
        <f t="shared" si="23"/>
        <v>98</v>
      </c>
      <c r="AH199" s="102">
        <f t="shared" si="24"/>
        <v>8</v>
      </c>
      <c r="AI199" s="102">
        <f t="shared" si="25"/>
        <v>14</v>
      </c>
      <c r="AJ199" s="102">
        <f t="shared" si="26"/>
        <v>60.1</v>
      </c>
      <c r="AK199" s="102">
        <f t="shared" si="27"/>
        <v>1.7</v>
      </c>
      <c r="AL199" s="102">
        <f t="shared" si="28"/>
        <v>20</v>
      </c>
      <c r="AM199" s="102">
        <f t="shared" si="29"/>
        <v>52</v>
      </c>
      <c r="AN199" s="102">
        <f t="shared" si="30"/>
        <v>5600</v>
      </c>
      <c r="AO199" s="102">
        <f t="shared" si="31"/>
        <v>200</v>
      </c>
      <c r="AP199" s="102">
        <f t="shared" si="32"/>
        <v>6200</v>
      </c>
      <c r="AQ199" s="102" t="str">
        <f t="shared" si="33"/>
        <v/>
      </c>
    </row>
    <row r="200" spans="1:43" s="102" customFormat="1" ht="12" customHeight="1">
      <c r="A200" s="117">
        <v>24</v>
      </c>
      <c r="B200" s="102" t="str">
        <f>RS!D136</f>
        <v>33A Sularpsbäcekn, uppströms S Sandbys ARV</v>
      </c>
      <c r="C200" s="206">
        <f>RS!E136</f>
        <v>45734</v>
      </c>
      <c r="D200" s="222">
        <f>RS!F136</f>
        <v>4.3</v>
      </c>
      <c r="E200" s="222">
        <f>RS!G136</f>
        <v>16.57</v>
      </c>
      <c r="F200" s="218">
        <f>RS!H136</f>
        <v>128</v>
      </c>
      <c r="G200" s="222">
        <f>RS!I136</f>
        <v>8.4</v>
      </c>
      <c r="H200" s="222">
        <f>RS!J136</f>
        <v>1.8</v>
      </c>
      <c r="I200" s="222">
        <f>RS!K136</f>
        <v>60.7</v>
      </c>
      <c r="J200" s="102">
        <f>RS!L136</f>
        <v>1.8</v>
      </c>
      <c r="K200" s="218">
        <f>RS!M136</f>
        <v>8.1</v>
      </c>
      <c r="L200" s="218">
        <f>RS!N136</f>
        <v>26</v>
      </c>
      <c r="M200" s="218">
        <f>RS!O136</f>
        <v>2800</v>
      </c>
      <c r="N200" s="218" t="str">
        <f>RS!P136</f>
        <v>&lt;10</v>
      </c>
      <c r="O200" s="218">
        <f>RS!Q136</f>
        <v>3000</v>
      </c>
      <c r="P200" s="222" t="str">
        <f>RS!R136</f>
        <v/>
      </c>
      <c r="Q200" s="222" t="str">
        <f>RS!S136</f>
        <v/>
      </c>
      <c r="R200" s="609" t="str">
        <f>RS!T136</f>
        <v/>
      </c>
      <c r="S200" s="429"/>
      <c r="T200" s="430"/>
      <c r="U200" s="422"/>
      <c r="V200" s="423"/>
      <c r="W200" s="431"/>
      <c r="X200" s="432"/>
      <c r="Y200" s="421"/>
      <c r="Z200" s="421"/>
      <c r="AA200" s="421"/>
      <c r="AB200" s="411"/>
      <c r="AC200" s="411"/>
      <c r="AD200" s="411"/>
      <c r="AE200" s="102">
        <f t="shared" si="21"/>
        <v>4.3</v>
      </c>
      <c r="AF200" s="102">
        <f t="shared" si="22"/>
        <v>16.57</v>
      </c>
      <c r="AG200" s="102">
        <f t="shared" si="23"/>
        <v>128</v>
      </c>
      <c r="AH200" s="102">
        <f t="shared" si="24"/>
        <v>8.4</v>
      </c>
      <c r="AI200" s="102">
        <f t="shared" si="25"/>
        <v>1.8</v>
      </c>
      <c r="AJ200" s="102">
        <f t="shared" si="26"/>
        <v>60.7</v>
      </c>
      <c r="AK200" s="102">
        <f t="shared" si="27"/>
        <v>1.8</v>
      </c>
      <c r="AL200" s="102">
        <f t="shared" si="28"/>
        <v>8.1</v>
      </c>
      <c r="AM200" s="102">
        <f t="shared" si="29"/>
        <v>26</v>
      </c>
      <c r="AN200" s="102">
        <f t="shared" si="30"/>
        <v>2800</v>
      </c>
      <c r="AO200" s="102">
        <f t="shared" si="31"/>
        <v>10</v>
      </c>
      <c r="AP200" s="102">
        <f t="shared" si="32"/>
        <v>3000</v>
      </c>
      <c r="AQ200" s="102" t="str">
        <f t="shared" si="33"/>
        <v/>
      </c>
    </row>
    <row r="201" spans="1:43" s="102" customFormat="1" ht="12" customHeight="1">
      <c r="A201" s="117">
        <v>24</v>
      </c>
      <c r="B201" s="102" t="str">
        <f>RS!D137</f>
        <v>33A Sularpsbäcekn, uppströms S Sandbys ARV</v>
      </c>
      <c r="C201" s="206">
        <f>RS!E137</f>
        <v>45848</v>
      </c>
      <c r="D201" s="222">
        <f>RS!F137</f>
        <v>18.2</v>
      </c>
      <c r="E201" s="222">
        <f>RS!G137</f>
        <v>8.02</v>
      </c>
      <c r="F201" s="218">
        <f>RS!H137</f>
        <v>85</v>
      </c>
      <c r="G201" s="222">
        <f>RS!I137</f>
        <v>7.8</v>
      </c>
      <c r="H201" s="222">
        <f>RS!J137</f>
        <v>12</v>
      </c>
      <c r="I201" s="222">
        <f>RS!K137</f>
        <v>53.6</v>
      </c>
      <c r="J201" s="102">
        <f>RS!L137</f>
        <v>1.5</v>
      </c>
      <c r="K201" s="218">
        <f>RS!M137</f>
        <v>49</v>
      </c>
      <c r="L201" s="218">
        <f>RS!N137</f>
        <v>110</v>
      </c>
      <c r="M201" s="218">
        <f>RS!O137</f>
        <v>1100</v>
      </c>
      <c r="N201" s="218">
        <f>RS!P137</f>
        <v>56</v>
      </c>
      <c r="O201" s="218">
        <f>RS!Q137</f>
        <v>1400</v>
      </c>
      <c r="P201" s="222" t="str">
        <f>RS!R137</f>
        <v/>
      </c>
      <c r="Q201" s="222" t="str">
        <f>RS!S137</f>
        <v/>
      </c>
      <c r="R201" s="609" t="str">
        <f>RS!T137</f>
        <v/>
      </c>
      <c r="S201" s="420"/>
      <c r="T201" s="421"/>
      <c r="U201" s="422"/>
      <c r="V201" s="423"/>
      <c r="W201" s="421"/>
      <c r="X201" s="421"/>
      <c r="Y201" s="421"/>
      <c r="Z201" s="421"/>
      <c r="AA201" s="421"/>
      <c r="AB201" s="411"/>
      <c r="AC201" s="411"/>
      <c r="AD201" s="411"/>
      <c r="AE201" s="102">
        <f t="shared" si="21"/>
        <v>18.2</v>
      </c>
      <c r="AF201" s="102">
        <f t="shared" si="22"/>
        <v>8.02</v>
      </c>
      <c r="AG201" s="102">
        <f t="shared" si="23"/>
        <v>85</v>
      </c>
      <c r="AH201" s="102">
        <f t="shared" si="24"/>
        <v>7.8</v>
      </c>
      <c r="AI201" s="102">
        <f t="shared" si="25"/>
        <v>12</v>
      </c>
      <c r="AJ201" s="102">
        <f t="shared" si="26"/>
        <v>53.6</v>
      </c>
      <c r="AK201" s="102">
        <f t="shared" si="27"/>
        <v>1.5</v>
      </c>
      <c r="AL201" s="102">
        <f t="shared" si="28"/>
        <v>49</v>
      </c>
      <c r="AM201" s="102">
        <f t="shared" si="29"/>
        <v>110</v>
      </c>
      <c r="AN201" s="102">
        <f t="shared" si="30"/>
        <v>1100</v>
      </c>
      <c r="AO201" s="102">
        <f t="shared" si="31"/>
        <v>56</v>
      </c>
      <c r="AP201" s="102">
        <f t="shared" si="32"/>
        <v>1400</v>
      </c>
      <c r="AQ201" s="102" t="str">
        <f t="shared" si="33"/>
        <v/>
      </c>
    </row>
    <row r="202" spans="1:43" s="102" customFormat="1" ht="12" customHeight="1">
      <c r="A202" s="117">
        <v>24</v>
      </c>
      <c r="B202" s="102" t="str">
        <f>RS!D138</f>
        <v>33A Sularpsbäcekn, uppströms S Sandbys ARV</v>
      </c>
      <c r="C202" s="206" t="str">
        <f>RS!E138</f>
        <v/>
      </c>
      <c r="D202" s="222" t="str">
        <f>RS!F138</f>
        <v/>
      </c>
      <c r="E202" s="222" t="str">
        <f>RS!G138</f>
        <v/>
      </c>
      <c r="F202" s="218" t="str">
        <f>RS!H138</f>
        <v/>
      </c>
      <c r="G202" s="222" t="str">
        <f>RS!I138</f>
        <v/>
      </c>
      <c r="H202" s="222" t="str">
        <f>RS!J138</f>
        <v/>
      </c>
      <c r="I202" s="222" t="str">
        <f>RS!K138</f>
        <v/>
      </c>
      <c r="J202" s="102" t="str">
        <f>RS!L138</f>
        <v/>
      </c>
      <c r="K202" s="218" t="str">
        <f>RS!M138</f>
        <v/>
      </c>
      <c r="L202" s="218" t="str">
        <f>RS!N138</f>
        <v/>
      </c>
      <c r="M202" s="218" t="str">
        <f>RS!O138</f>
        <v/>
      </c>
      <c r="N202" s="218" t="str">
        <f>RS!P138</f>
        <v/>
      </c>
      <c r="O202" s="218" t="str">
        <f>RS!Q138</f>
        <v/>
      </c>
      <c r="P202" s="222" t="str">
        <f>RS!R138</f>
        <v/>
      </c>
      <c r="Q202" s="222" t="str">
        <f>RS!S138</f>
        <v/>
      </c>
      <c r="R202" s="609" t="str">
        <f>RS!T138</f>
        <v/>
      </c>
      <c r="S202" s="420"/>
      <c r="T202" s="421"/>
      <c r="U202" s="422"/>
      <c r="V202" s="423"/>
      <c r="W202" s="421"/>
      <c r="X202" s="421"/>
      <c r="Y202" s="421"/>
      <c r="Z202" s="421"/>
      <c r="AA202" s="421"/>
      <c r="AB202" s="411"/>
      <c r="AC202" s="411"/>
      <c r="AD202" s="411"/>
      <c r="AE202" s="102" t="str">
        <f t="shared" si="21"/>
        <v/>
      </c>
      <c r="AF202" s="102" t="str">
        <f t="shared" si="22"/>
        <v/>
      </c>
      <c r="AG202" s="102" t="str">
        <f t="shared" si="23"/>
        <v/>
      </c>
      <c r="AH202" s="102" t="str">
        <f t="shared" si="24"/>
        <v/>
      </c>
      <c r="AI202" s="102" t="str">
        <f t="shared" si="25"/>
        <v/>
      </c>
      <c r="AJ202" s="102" t="str">
        <f t="shared" si="26"/>
        <v/>
      </c>
      <c r="AK202" s="102" t="str">
        <f t="shared" si="27"/>
        <v/>
      </c>
      <c r="AL202" s="102" t="str">
        <f t="shared" si="28"/>
        <v/>
      </c>
      <c r="AM202" s="102" t="str">
        <f t="shared" si="29"/>
        <v/>
      </c>
      <c r="AN202" s="102" t="str">
        <f t="shared" si="30"/>
        <v/>
      </c>
      <c r="AO202" s="102" t="str">
        <f t="shared" si="31"/>
        <v/>
      </c>
      <c r="AP202" s="102" t="str">
        <f t="shared" si="32"/>
        <v/>
      </c>
      <c r="AQ202" s="102" t="str">
        <f t="shared" si="33"/>
        <v/>
      </c>
    </row>
    <row r="203" spans="1:43" s="102" customFormat="1" ht="12" customHeight="1">
      <c r="A203" s="117">
        <v>24</v>
      </c>
      <c r="B203" s="102" t="str">
        <f>RS!D139</f>
        <v>33A Sularpsbäcekn, uppströms S Sandbys ARV</v>
      </c>
      <c r="C203" s="206" t="str">
        <f>RS!E139</f>
        <v/>
      </c>
      <c r="D203" s="222" t="str">
        <f>RS!F139</f>
        <v/>
      </c>
      <c r="E203" s="222" t="str">
        <f>RS!G139</f>
        <v/>
      </c>
      <c r="F203" s="218" t="str">
        <f>RS!H139</f>
        <v/>
      </c>
      <c r="G203" s="222" t="str">
        <f>RS!I139</f>
        <v/>
      </c>
      <c r="H203" s="222" t="str">
        <f>RS!J139</f>
        <v/>
      </c>
      <c r="I203" s="222" t="str">
        <f>RS!K139</f>
        <v/>
      </c>
      <c r="J203" s="102" t="str">
        <f>RS!L139</f>
        <v/>
      </c>
      <c r="K203" s="218" t="str">
        <f>RS!M139</f>
        <v/>
      </c>
      <c r="L203" s="218" t="str">
        <f>RS!N139</f>
        <v/>
      </c>
      <c r="M203" s="218" t="str">
        <f>RS!O139</f>
        <v/>
      </c>
      <c r="N203" s="218" t="str">
        <f>RS!P139</f>
        <v/>
      </c>
      <c r="O203" s="218" t="str">
        <f>RS!Q139</f>
        <v/>
      </c>
      <c r="P203" s="222" t="str">
        <f>RS!R139</f>
        <v/>
      </c>
      <c r="Q203" s="222" t="str">
        <f>RS!S139</f>
        <v/>
      </c>
      <c r="R203" s="609" t="str">
        <f>RS!T139</f>
        <v/>
      </c>
      <c r="S203" s="420"/>
      <c r="T203" s="421"/>
      <c r="U203" s="422"/>
      <c r="V203" s="423"/>
      <c r="W203" s="421"/>
      <c r="X203" s="421"/>
      <c r="Y203" s="421"/>
      <c r="Z203" s="421"/>
      <c r="AA203" s="421"/>
      <c r="AB203" s="411"/>
      <c r="AC203" s="411"/>
      <c r="AD203" s="411"/>
      <c r="AE203" s="102" t="str">
        <f t="shared" si="21"/>
        <v/>
      </c>
      <c r="AF203" s="102" t="str">
        <f t="shared" si="22"/>
        <v/>
      </c>
      <c r="AG203" s="102" t="str">
        <f t="shared" si="23"/>
        <v/>
      </c>
      <c r="AH203" s="102" t="str">
        <f t="shared" si="24"/>
        <v/>
      </c>
      <c r="AI203" s="102" t="str">
        <f t="shared" si="25"/>
        <v/>
      </c>
      <c r="AJ203" s="102" t="str">
        <f t="shared" si="26"/>
        <v/>
      </c>
      <c r="AK203" s="102" t="str">
        <f t="shared" si="27"/>
        <v/>
      </c>
      <c r="AL203" s="102" t="str">
        <f t="shared" si="28"/>
        <v/>
      </c>
      <c r="AM203" s="102" t="str">
        <f t="shared" si="29"/>
        <v/>
      </c>
      <c r="AN203" s="102" t="str">
        <f t="shared" si="30"/>
        <v/>
      </c>
      <c r="AO203" s="102" t="str">
        <f t="shared" si="31"/>
        <v/>
      </c>
      <c r="AP203" s="102" t="str">
        <f t="shared" si="32"/>
        <v/>
      </c>
      <c r="AQ203" s="102" t="str">
        <f t="shared" si="33"/>
        <v/>
      </c>
    </row>
    <row r="204" spans="1:43" s="102" customFormat="1" ht="12">
      <c r="A204" s="117">
        <v>24</v>
      </c>
      <c r="B204" s="102" t="str">
        <f>RS!D140</f>
        <v>33A Sularpsbäcekn, uppströms S Sandbys ARV</v>
      </c>
      <c r="C204" s="206" t="str">
        <f>RS!E140</f>
        <v>2025-05-13</v>
      </c>
      <c r="D204" s="222">
        <f>RS!F140</f>
        <v>14</v>
      </c>
      <c r="E204" s="222">
        <f>RS!G140</f>
        <v>12.1</v>
      </c>
      <c r="F204" s="218">
        <f>RS!H140</f>
        <v>118</v>
      </c>
      <c r="G204" s="222">
        <f>RS!I140</f>
        <v>8.1999999999999993</v>
      </c>
      <c r="H204" s="222">
        <f>RS!J140</f>
        <v>3</v>
      </c>
      <c r="I204" s="222">
        <f>RS!K140</f>
        <v>67.900000000000006</v>
      </c>
      <c r="J204" s="102">
        <f>RS!L140</f>
        <v>1.6</v>
      </c>
      <c r="K204" s="218">
        <f>RS!M140</f>
        <v>25</v>
      </c>
      <c r="L204" s="218">
        <f>RS!N140</f>
        <v>66</v>
      </c>
      <c r="M204" s="218">
        <f>RS!O140</f>
        <v>1700</v>
      </c>
      <c r="N204" s="218" t="str">
        <f>RS!P140</f>
        <v>&lt;10</v>
      </c>
      <c r="O204" s="218">
        <f>RS!Q140</f>
        <v>2200</v>
      </c>
      <c r="P204" s="222" t="str">
        <f>RS!R140</f>
        <v/>
      </c>
      <c r="Q204" s="222" t="str">
        <f>RS!S140</f>
        <v/>
      </c>
      <c r="R204" s="609" t="str">
        <f>RS!T140</f>
        <v/>
      </c>
      <c r="S204" s="420"/>
      <c r="T204" s="421"/>
      <c r="U204" s="422"/>
      <c r="V204" s="423"/>
      <c r="W204" s="421"/>
      <c r="X204" s="421"/>
      <c r="Y204" s="421"/>
      <c r="Z204" s="421"/>
      <c r="AA204" s="421"/>
      <c r="AB204" s="411"/>
      <c r="AC204" s="411"/>
      <c r="AD204" s="411"/>
      <c r="AE204" s="102">
        <f t="shared" si="21"/>
        <v>14</v>
      </c>
      <c r="AF204" s="102">
        <f t="shared" si="22"/>
        <v>12.1</v>
      </c>
      <c r="AG204" s="102">
        <f t="shared" si="23"/>
        <v>118</v>
      </c>
      <c r="AH204" s="102">
        <f t="shared" si="24"/>
        <v>8.1999999999999993</v>
      </c>
      <c r="AI204" s="102">
        <f t="shared" si="25"/>
        <v>3</v>
      </c>
      <c r="AJ204" s="102">
        <f t="shared" si="26"/>
        <v>67.900000000000006</v>
      </c>
      <c r="AK204" s="102">
        <f t="shared" si="27"/>
        <v>1.6</v>
      </c>
      <c r="AL204" s="102">
        <f t="shared" si="28"/>
        <v>25</v>
      </c>
      <c r="AM204" s="102">
        <f t="shared" si="29"/>
        <v>66</v>
      </c>
      <c r="AN204" s="102">
        <f t="shared" si="30"/>
        <v>1700</v>
      </c>
      <c r="AO204" s="102">
        <f t="shared" si="31"/>
        <v>10</v>
      </c>
      <c r="AP204" s="102">
        <f t="shared" si="32"/>
        <v>2200</v>
      </c>
      <c r="AQ204" s="102" t="str">
        <f t="shared" si="33"/>
        <v/>
      </c>
    </row>
    <row r="205" spans="1:43" s="102" customFormat="1" ht="12">
      <c r="A205" s="117"/>
      <c r="C205" s="610" t="s">
        <v>150</v>
      </c>
      <c r="D205" s="611">
        <f t="shared" ref="D205:O205" si="40">AVERAGE(AE199:AE204)</f>
        <v>10.050000000000001</v>
      </c>
      <c r="E205" s="611">
        <f t="shared" si="40"/>
        <v>12.402500000000002</v>
      </c>
      <c r="F205" s="612">
        <f t="shared" si="40"/>
        <v>107.25</v>
      </c>
      <c r="G205" s="611">
        <f t="shared" si="40"/>
        <v>8.1</v>
      </c>
      <c r="H205" s="611">
        <f t="shared" si="40"/>
        <v>7.7</v>
      </c>
      <c r="I205" s="611">
        <f t="shared" si="40"/>
        <v>60.575000000000003</v>
      </c>
      <c r="J205" s="611">
        <f t="shared" si="40"/>
        <v>1.65</v>
      </c>
      <c r="K205" s="612">
        <f t="shared" si="40"/>
        <v>25.524999999999999</v>
      </c>
      <c r="L205" s="612">
        <f t="shared" si="40"/>
        <v>63.5</v>
      </c>
      <c r="M205" s="612">
        <f t="shared" si="40"/>
        <v>2800</v>
      </c>
      <c r="N205" s="612">
        <f t="shared" si="40"/>
        <v>69</v>
      </c>
      <c r="O205" s="612">
        <f t="shared" si="40"/>
        <v>3200</v>
      </c>
      <c r="P205" s="611"/>
      <c r="Q205" s="715"/>
      <c r="R205" s="307"/>
      <c r="S205" s="420"/>
      <c r="T205" s="421"/>
      <c r="U205" s="422"/>
      <c r="V205" s="423"/>
      <c r="W205" s="421"/>
      <c r="X205" s="421"/>
      <c r="Y205" s="421"/>
      <c r="Z205" s="421"/>
      <c r="AA205" s="421"/>
      <c r="AB205" s="411"/>
      <c r="AC205" s="411"/>
      <c r="AD205" s="411"/>
      <c r="AE205" s="102">
        <f t="shared" si="21"/>
        <v>10.050000000000001</v>
      </c>
      <c r="AF205" s="102">
        <f t="shared" si="22"/>
        <v>12.402500000000002</v>
      </c>
      <c r="AG205" s="102">
        <f t="shared" si="23"/>
        <v>107.25</v>
      </c>
      <c r="AH205" s="102">
        <f t="shared" si="24"/>
        <v>8.1</v>
      </c>
      <c r="AI205" s="102">
        <f t="shared" si="25"/>
        <v>7.7</v>
      </c>
      <c r="AJ205" s="102">
        <f t="shared" si="26"/>
        <v>60.575000000000003</v>
      </c>
      <c r="AK205" s="102">
        <f t="shared" si="27"/>
        <v>1.65</v>
      </c>
      <c r="AL205" s="102">
        <f t="shared" si="28"/>
        <v>25.524999999999999</v>
      </c>
      <c r="AM205" s="102">
        <f t="shared" si="29"/>
        <v>63.5</v>
      </c>
      <c r="AN205" s="102">
        <f t="shared" si="30"/>
        <v>2800</v>
      </c>
      <c r="AO205" s="102">
        <f t="shared" si="31"/>
        <v>69</v>
      </c>
      <c r="AP205" s="102">
        <f t="shared" si="32"/>
        <v>3200</v>
      </c>
      <c r="AQ205" s="102">
        <f t="shared" si="33"/>
        <v>0</v>
      </c>
    </row>
    <row r="206" spans="1:43" s="102" customFormat="1" ht="12">
      <c r="A206" s="117"/>
      <c r="C206" s="613" t="s">
        <v>151</v>
      </c>
      <c r="D206" s="614">
        <f t="shared" ref="D206:O206" si="41">MAX(AE199:AE204)</f>
        <v>18.2</v>
      </c>
      <c r="E206" s="614">
        <f t="shared" si="41"/>
        <v>16.57</v>
      </c>
      <c r="F206" s="615">
        <f t="shared" si="41"/>
        <v>128</v>
      </c>
      <c r="G206" s="614">
        <f t="shared" si="41"/>
        <v>8.4</v>
      </c>
      <c r="H206" s="614">
        <f t="shared" si="41"/>
        <v>14</v>
      </c>
      <c r="I206" s="614">
        <f t="shared" si="41"/>
        <v>67.900000000000006</v>
      </c>
      <c r="J206" s="614">
        <f t="shared" si="41"/>
        <v>1.8</v>
      </c>
      <c r="K206" s="615">
        <f t="shared" si="41"/>
        <v>49</v>
      </c>
      <c r="L206" s="615">
        <f t="shared" si="41"/>
        <v>110</v>
      </c>
      <c r="M206" s="615">
        <f t="shared" si="41"/>
        <v>5600</v>
      </c>
      <c r="N206" s="615">
        <f t="shared" si="41"/>
        <v>200</v>
      </c>
      <c r="O206" s="615">
        <f t="shared" si="41"/>
        <v>6200</v>
      </c>
      <c r="P206" s="614"/>
      <c r="Q206" s="716"/>
      <c r="R206" s="307"/>
      <c r="S206" s="420"/>
      <c r="T206" s="421"/>
      <c r="U206" s="422"/>
      <c r="V206" s="423"/>
      <c r="W206" s="421"/>
      <c r="X206" s="421"/>
      <c r="Y206" s="421"/>
      <c r="Z206" s="421"/>
      <c r="AA206" s="421"/>
      <c r="AB206" s="411"/>
      <c r="AC206" s="411"/>
      <c r="AD206" s="411"/>
      <c r="AE206" s="102">
        <f t="shared" si="21"/>
        <v>18.2</v>
      </c>
      <c r="AF206" s="102">
        <f t="shared" si="22"/>
        <v>16.57</v>
      </c>
      <c r="AG206" s="102">
        <f t="shared" si="23"/>
        <v>128</v>
      </c>
      <c r="AH206" s="102">
        <f t="shared" si="24"/>
        <v>8.4</v>
      </c>
      <c r="AI206" s="102">
        <f t="shared" si="25"/>
        <v>14</v>
      </c>
      <c r="AJ206" s="102">
        <f t="shared" si="26"/>
        <v>67.900000000000006</v>
      </c>
      <c r="AK206" s="102">
        <f t="shared" si="27"/>
        <v>1.8</v>
      </c>
      <c r="AL206" s="102">
        <f t="shared" si="28"/>
        <v>49</v>
      </c>
      <c r="AM206" s="102">
        <f t="shared" si="29"/>
        <v>110</v>
      </c>
      <c r="AN206" s="102">
        <f t="shared" si="30"/>
        <v>5600</v>
      </c>
      <c r="AO206" s="102">
        <f t="shared" si="31"/>
        <v>200</v>
      </c>
      <c r="AP206" s="102">
        <f t="shared" si="32"/>
        <v>6200</v>
      </c>
      <c r="AQ206" s="102">
        <f t="shared" si="33"/>
        <v>0</v>
      </c>
    </row>
    <row r="207" spans="1:43" s="102" customFormat="1" ht="12">
      <c r="A207" s="117"/>
      <c r="C207" s="616" t="s">
        <v>152</v>
      </c>
      <c r="D207" s="617">
        <f t="shared" ref="D207:O207" si="42">MIN(AE199:AE204)</f>
        <v>3.7</v>
      </c>
      <c r="E207" s="617">
        <f t="shared" si="42"/>
        <v>8.02</v>
      </c>
      <c r="F207" s="618">
        <f t="shared" si="42"/>
        <v>85</v>
      </c>
      <c r="G207" s="617">
        <f t="shared" si="42"/>
        <v>7.8</v>
      </c>
      <c r="H207" s="617">
        <f t="shared" si="42"/>
        <v>1.8</v>
      </c>
      <c r="I207" s="617">
        <f t="shared" si="42"/>
        <v>53.6</v>
      </c>
      <c r="J207" s="617">
        <f t="shared" si="42"/>
        <v>1.5</v>
      </c>
      <c r="K207" s="618">
        <f t="shared" si="42"/>
        <v>8.1</v>
      </c>
      <c r="L207" s="618">
        <f t="shared" si="42"/>
        <v>26</v>
      </c>
      <c r="M207" s="618">
        <f t="shared" si="42"/>
        <v>1100</v>
      </c>
      <c r="N207" s="618">
        <f t="shared" si="42"/>
        <v>10</v>
      </c>
      <c r="O207" s="618">
        <f t="shared" si="42"/>
        <v>1400</v>
      </c>
      <c r="P207" s="617"/>
      <c r="Q207" s="717"/>
      <c r="R207" s="307"/>
      <c r="S207" s="420"/>
      <c r="T207" s="421"/>
      <c r="U207" s="422"/>
      <c r="V207" s="423"/>
      <c r="W207" s="421"/>
      <c r="X207" s="421"/>
      <c r="Y207" s="421"/>
      <c r="Z207" s="421"/>
      <c r="AA207" s="421"/>
      <c r="AB207" s="411"/>
      <c r="AC207" s="411"/>
      <c r="AD207" s="411"/>
      <c r="AE207" s="102">
        <f t="shared" si="21"/>
        <v>3.7</v>
      </c>
      <c r="AF207" s="102">
        <f t="shared" si="22"/>
        <v>8.02</v>
      </c>
      <c r="AG207" s="102">
        <f t="shared" si="23"/>
        <v>85</v>
      </c>
      <c r="AH207" s="102">
        <f t="shared" si="24"/>
        <v>7.8</v>
      </c>
      <c r="AI207" s="102">
        <f t="shared" si="25"/>
        <v>1.8</v>
      </c>
      <c r="AJ207" s="102">
        <f t="shared" si="26"/>
        <v>53.6</v>
      </c>
      <c r="AK207" s="102">
        <f t="shared" si="27"/>
        <v>1.5</v>
      </c>
      <c r="AL207" s="102">
        <f t="shared" si="28"/>
        <v>8.1</v>
      </c>
      <c r="AM207" s="102">
        <f t="shared" si="29"/>
        <v>26</v>
      </c>
      <c r="AN207" s="102">
        <f t="shared" si="30"/>
        <v>1100</v>
      </c>
      <c r="AO207" s="102">
        <f t="shared" si="31"/>
        <v>10</v>
      </c>
      <c r="AP207" s="102">
        <f t="shared" si="32"/>
        <v>1400</v>
      </c>
      <c r="AQ207" s="102">
        <f t="shared" si="33"/>
        <v>0</v>
      </c>
    </row>
    <row r="208" spans="1:43" s="102" customFormat="1" ht="12">
      <c r="A208" s="117"/>
      <c r="B208" s="411"/>
      <c r="C208" s="619"/>
      <c r="D208" s="620"/>
      <c r="E208" s="620"/>
      <c r="F208" s="621"/>
      <c r="G208" s="620"/>
      <c r="H208" s="620"/>
      <c r="I208" s="620"/>
      <c r="J208" s="622"/>
      <c r="K208" s="622"/>
      <c r="L208" s="622"/>
      <c r="M208" s="622"/>
      <c r="N208" s="622"/>
      <c r="O208" s="622"/>
      <c r="P208" s="620"/>
      <c r="Q208" s="620"/>
      <c r="R208" s="387"/>
      <c r="S208" s="420"/>
      <c r="T208" s="421"/>
      <c r="U208" s="422"/>
      <c r="V208" s="423"/>
      <c r="W208" s="421"/>
      <c r="X208" s="421"/>
      <c r="Y208" s="421"/>
      <c r="Z208" s="421"/>
      <c r="AA208" s="421"/>
      <c r="AB208" s="411"/>
      <c r="AC208" s="411"/>
      <c r="AD208" s="411"/>
      <c r="AE208" s="102">
        <f t="shared" si="21"/>
        <v>0</v>
      </c>
      <c r="AF208" s="102">
        <f t="shared" si="22"/>
        <v>0</v>
      </c>
      <c r="AG208" s="102">
        <f t="shared" si="23"/>
        <v>0</v>
      </c>
      <c r="AH208" s="102">
        <f t="shared" si="24"/>
        <v>0</v>
      </c>
      <c r="AI208" s="102">
        <f t="shared" si="25"/>
        <v>0</v>
      </c>
      <c r="AJ208" s="102">
        <f t="shared" si="26"/>
        <v>0</v>
      </c>
      <c r="AK208" s="102">
        <f t="shared" si="27"/>
        <v>0</v>
      </c>
      <c r="AL208" s="102">
        <f t="shared" si="28"/>
        <v>0</v>
      </c>
      <c r="AM208" s="102">
        <f t="shared" si="29"/>
        <v>0</v>
      </c>
      <c r="AN208" s="102">
        <f t="shared" si="30"/>
        <v>0</v>
      </c>
      <c r="AO208" s="102">
        <f t="shared" si="31"/>
        <v>0</v>
      </c>
      <c r="AP208" s="102">
        <f t="shared" si="32"/>
        <v>0</v>
      </c>
      <c r="AQ208" s="102">
        <f t="shared" si="33"/>
        <v>0</v>
      </c>
    </row>
    <row r="209" spans="1:43" s="102" customFormat="1" ht="12" customHeight="1">
      <c r="A209" s="118">
        <v>25</v>
      </c>
      <c r="B209" s="102" t="str">
        <f>RS!D141</f>
        <v>35  Klingavälsån, vid utlopp till Kävlingeån</v>
      </c>
      <c r="C209" s="206">
        <f>RS!E141</f>
        <v>45671</v>
      </c>
      <c r="D209" s="222">
        <f>RS!F141</f>
        <v>1</v>
      </c>
      <c r="E209" s="222">
        <f>RS!G141</f>
        <v>12.02</v>
      </c>
      <c r="F209" s="218">
        <f>RS!H141</f>
        <v>84</v>
      </c>
      <c r="G209" s="222">
        <f>RS!I141</f>
        <v>7.7</v>
      </c>
      <c r="H209" s="222">
        <f>RS!J141</f>
        <v>7.8</v>
      </c>
      <c r="I209" s="222">
        <f>RS!K141</f>
        <v>42.3</v>
      </c>
      <c r="J209" s="102">
        <f>RS!L141</f>
        <v>1.5</v>
      </c>
      <c r="K209" s="218">
        <f>RS!M141</f>
        <v>27</v>
      </c>
      <c r="L209" s="218">
        <f>RS!N141</f>
        <v>66</v>
      </c>
      <c r="M209" s="218">
        <f>RS!O141</f>
        <v>1600</v>
      </c>
      <c r="N209" s="218">
        <f>RS!P141</f>
        <v>170</v>
      </c>
      <c r="O209" s="218">
        <f>RS!Q141</f>
        <v>2300</v>
      </c>
      <c r="P209" s="222" t="str">
        <f>RS!R141</f>
        <v/>
      </c>
      <c r="Q209" s="222" t="str">
        <f>RS!S141</f>
        <v/>
      </c>
      <c r="R209" s="609" t="str">
        <f>RS!T141</f>
        <v/>
      </c>
      <c r="S209" s="421"/>
      <c r="T209" s="411"/>
      <c r="U209" s="423"/>
      <c r="V209" s="423"/>
      <c r="W209" s="424"/>
      <c r="X209" s="425"/>
      <c r="Y209" s="425"/>
      <c r="Z209" s="411"/>
      <c r="AA209" s="411"/>
      <c r="AB209" s="411"/>
      <c r="AC209" s="411"/>
      <c r="AD209" s="411"/>
      <c r="AE209" s="102">
        <f t="shared" si="21"/>
        <v>1</v>
      </c>
      <c r="AF209" s="102">
        <f t="shared" si="22"/>
        <v>12.02</v>
      </c>
      <c r="AG209" s="102">
        <f t="shared" si="23"/>
        <v>84</v>
      </c>
      <c r="AH209" s="102">
        <f t="shared" si="24"/>
        <v>7.7</v>
      </c>
      <c r="AI209" s="102">
        <f t="shared" si="25"/>
        <v>7.8</v>
      </c>
      <c r="AJ209" s="102">
        <f t="shared" si="26"/>
        <v>42.3</v>
      </c>
      <c r="AK209" s="102">
        <f t="shared" si="27"/>
        <v>1.5</v>
      </c>
      <c r="AL209" s="102">
        <f t="shared" si="28"/>
        <v>27</v>
      </c>
      <c r="AM209" s="102">
        <f t="shared" si="29"/>
        <v>66</v>
      </c>
      <c r="AN209" s="102">
        <f t="shared" si="30"/>
        <v>1600</v>
      </c>
      <c r="AO209" s="102">
        <f t="shared" si="31"/>
        <v>170</v>
      </c>
      <c r="AP209" s="102">
        <f t="shared" si="32"/>
        <v>2300</v>
      </c>
      <c r="AQ209" s="102" t="str">
        <f t="shared" si="33"/>
        <v/>
      </c>
    </row>
    <row r="210" spans="1:43" s="102" customFormat="1" ht="12" customHeight="1">
      <c r="A210" s="118">
        <v>25</v>
      </c>
      <c r="B210" s="102" t="str">
        <f>RS!D142</f>
        <v>35  Klingavälsån, vid utlopp till Kävlingeån</v>
      </c>
      <c r="C210" s="206">
        <f>RS!E142</f>
        <v>45706</v>
      </c>
      <c r="D210" s="222">
        <f>RS!F142</f>
        <v>0.9</v>
      </c>
      <c r="E210" s="222">
        <f>RS!G142</f>
        <v>13.61</v>
      </c>
      <c r="F210" s="218">
        <f>RS!H142</f>
        <v>95</v>
      </c>
      <c r="G210" s="222">
        <f>RS!I142</f>
        <v>7.9</v>
      </c>
      <c r="H210" s="222">
        <f>RS!J142</f>
        <v>5.5</v>
      </c>
      <c r="I210" s="222">
        <f>RS!K142</f>
        <v>41.2</v>
      </c>
      <c r="J210" s="102">
        <f>RS!L142</f>
        <v>1.5</v>
      </c>
      <c r="K210" s="218">
        <f>RS!M142</f>
        <v>25</v>
      </c>
      <c r="L210" s="218">
        <f>RS!N142</f>
        <v>63</v>
      </c>
      <c r="M210" s="218">
        <f>RS!O142</f>
        <v>1100</v>
      </c>
      <c r="N210" s="218">
        <f>RS!P142</f>
        <v>110</v>
      </c>
      <c r="O210" s="218">
        <f>RS!Q142</f>
        <v>1900</v>
      </c>
      <c r="P210" s="222" t="str">
        <f>RS!R142</f>
        <v/>
      </c>
      <c r="Q210" s="222" t="str">
        <f>RS!S142</f>
        <v/>
      </c>
      <c r="R210" s="609" t="str">
        <f>RS!T142</f>
        <v/>
      </c>
      <c r="S210" s="428"/>
      <c r="T210" s="411"/>
      <c r="U210" s="422"/>
      <c r="V210" s="423"/>
      <c r="W210" s="424"/>
      <c r="X210" s="425"/>
      <c r="Y210" s="425"/>
      <c r="Z210" s="424"/>
      <c r="AA210" s="425"/>
      <c r="AB210" s="425"/>
      <c r="AC210" s="425"/>
      <c r="AD210" s="411"/>
      <c r="AE210" s="102">
        <f t="shared" si="21"/>
        <v>0.9</v>
      </c>
      <c r="AF210" s="102">
        <f t="shared" si="22"/>
        <v>13.61</v>
      </c>
      <c r="AG210" s="102">
        <f t="shared" si="23"/>
        <v>95</v>
      </c>
      <c r="AH210" s="102">
        <f t="shared" si="24"/>
        <v>7.9</v>
      </c>
      <c r="AI210" s="102">
        <f t="shared" si="25"/>
        <v>5.5</v>
      </c>
      <c r="AJ210" s="102">
        <f t="shared" si="26"/>
        <v>41.2</v>
      </c>
      <c r="AK210" s="102">
        <f t="shared" si="27"/>
        <v>1.5</v>
      </c>
      <c r="AL210" s="102">
        <f t="shared" si="28"/>
        <v>25</v>
      </c>
      <c r="AM210" s="102">
        <f t="shared" si="29"/>
        <v>63</v>
      </c>
      <c r="AN210" s="102">
        <f t="shared" si="30"/>
        <v>1100</v>
      </c>
      <c r="AO210" s="102">
        <f t="shared" si="31"/>
        <v>110</v>
      </c>
      <c r="AP210" s="102">
        <f t="shared" si="32"/>
        <v>1900</v>
      </c>
      <c r="AQ210" s="102" t="str">
        <f t="shared" si="33"/>
        <v/>
      </c>
    </row>
    <row r="211" spans="1:43" s="102" customFormat="1" ht="12" customHeight="1">
      <c r="A211" s="118">
        <v>25</v>
      </c>
      <c r="B211" s="102" t="str">
        <f>RS!D143</f>
        <v>35  Klingavälsån, vid utlopp till Kävlingeån</v>
      </c>
      <c r="C211" s="206">
        <f>RS!E143</f>
        <v>45728</v>
      </c>
      <c r="D211" s="222">
        <f>RS!F143</f>
        <v>5.7</v>
      </c>
      <c r="E211" s="222">
        <f>RS!G143</f>
        <v>12.3</v>
      </c>
      <c r="F211" s="218">
        <f>RS!H143</f>
        <v>98</v>
      </c>
      <c r="G211" s="222">
        <f>RS!I143</f>
        <v>8</v>
      </c>
      <c r="H211" s="222">
        <f>RS!J143</f>
        <v>5.6</v>
      </c>
      <c r="I211" s="222">
        <f>RS!K143</f>
        <v>42.7</v>
      </c>
      <c r="J211" s="102">
        <f>RS!L143</f>
        <v>2.7</v>
      </c>
      <c r="K211" s="218">
        <f>RS!M143</f>
        <v>9.6999999999999993</v>
      </c>
      <c r="L211" s="218">
        <f>RS!N143</f>
        <v>48</v>
      </c>
      <c r="M211" s="218">
        <f>RS!O143</f>
        <v>850</v>
      </c>
      <c r="N211" s="218">
        <f>RS!P143</f>
        <v>27</v>
      </c>
      <c r="O211" s="218">
        <f>RS!Q143</f>
        <v>1400</v>
      </c>
      <c r="P211" s="222" t="str">
        <f>RS!R143</f>
        <v/>
      </c>
      <c r="Q211" s="222" t="str">
        <f>RS!S143</f>
        <v/>
      </c>
      <c r="R211" s="609" t="str">
        <f>RS!T143</f>
        <v/>
      </c>
      <c r="S211" s="428"/>
      <c r="T211" s="411"/>
      <c r="U211" s="422"/>
      <c r="V211" s="423"/>
      <c r="W211" s="411"/>
      <c r="X211" s="411"/>
      <c r="Y211" s="411"/>
      <c r="Z211" s="411"/>
      <c r="AA211" s="411"/>
      <c r="AB211" s="411"/>
      <c r="AC211" s="411"/>
      <c r="AD211" s="411"/>
      <c r="AE211" s="102">
        <f t="shared" si="21"/>
        <v>5.7</v>
      </c>
      <c r="AF211" s="102">
        <f t="shared" si="22"/>
        <v>12.3</v>
      </c>
      <c r="AG211" s="102">
        <f t="shared" si="23"/>
        <v>98</v>
      </c>
      <c r="AH211" s="102">
        <f t="shared" si="24"/>
        <v>8</v>
      </c>
      <c r="AI211" s="102">
        <f t="shared" si="25"/>
        <v>5.6</v>
      </c>
      <c r="AJ211" s="102">
        <f t="shared" si="26"/>
        <v>42.7</v>
      </c>
      <c r="AK211" s="102">
        <f t="shared" si="27"/>
        <v>2.7</v>
      </c>
      <c r="AL211" s="102">
        <f t="shared" si="28"/>
        <v>9.6999999999999993</v>
      </c>
      <c r="AM211" s="102">
        <f t="shared" si="29"/>
        <v>48</v>
      </c>
      <c r="AN211" s="102">
        <f t="shared" si="30"/>
        <v>850</v>
      </c>
      <c r="AO211" s="102">
        <f t="shared" si="31"/>
        <v>27</v>
      </c>
      <c r="AP211" s="102">
        <f t="shared" si="32"/>
        <v>1400</v>
      </c>
      <c r="AQ211" s="102" t="str">
        <f t="shared" si="33"/>
        <v/>
      </c>
    </row>
    <row r="212" spans="1:43" s="102" customFormat="1" ht="12" customHeight="1">
      <c r="A212" s="118">
        <v>25</v>
      </c>
      <c r="B212" s="102" t="str">
        <f>RS!D144</f>
        <v>35  Klingavälsån, vid utlopp till Kävlingeån</v>
      </c>
      <c r="C212" s="206">
        <f>RS!E144</f>
        <v>45761</v>
      </c>
      <c r="D212" s="222">
        <f>RS!F144</f>
        <v>11.2</v>
      </c>
      <c r="E212" s="222">
        <f>RS!G144</f>
        <v>11.58</v>
      </c>
      <c r="F212" s="218">
        <f>RS!H144</f>
        <v>106</v>
      </c>
      <c r="G212" s="222">
        <f>RS!I144</f>
        <v>8</v>
      </c>
      <c r="H212" s="222">
        <f>RS!J144</f>
        <v>4.3</v>
      </c>
      <c r="I212" s="222">
        <f>RS!K144</f>
        <v>43.1</v>
      </c>
      <c r="J212" s="102">
        <f>RS!L144</f>
        <v>1.8</v>
      </c>
      <c r="K212" s="218">
        <f>RS!M144</f>
        <v>16</v>
      </c>
      <c r="L212" s="218">
        <f>RS!N144</f>
        <v>52</v>
      </c>
      <c r="M212" s="218">
        <f>RS!O144</f>
        <v>490</v>
      </c>
      <c r="N212" s="218">
        <f>RS!P144</f>
        <v>31</v>
      </c>
      <c r="O212" s="218">
        <f>RS!Q144</f>
        <v>1100</v>
      </c>
      <c r="P212" s="222" t="str">
        <f>RS!R144</f>
        <v/>
      </c>
      <c r="Q212" s="222" t="str">
        <f>RS!S144</f>
        <v/>
      </c>
      <c r="R212" s="609" t="str">
        <f>RS!T144</f>
        <v/>
      </c>
      <c r="S212" s="429"/>
      <c r="T212" s="430"/>
      <c r="U212" s="422"/>
      <c r="V212" s="423"/>
      <c r="W212" s="431"/>
      <c r="X212" s="432"/>
      <c r="Y212" s="421"/>
      <c r="Z212" s="421"/>
      <c r="AA212" s="421"/>
      <c r="AB212" s="411"/>
      <c r="AC212" s="411"/>
      <c r="AD212" s="411"/>
      <c r="AE212" s="102">
        <f t="shared" si="21"/>
        <v>11.2</v>
      </c>
      <c r="AF212" s="102">
        <f t="shared" si="22"/>
        <v>11.58</v>
      </c>
      <c r="AG212" s="102">
        <f t="shared" si="23"/>
        <v>106</v>
      </c>
      <c r="AH212" s="102">
        <f t="shared" si="24"/>
        <v>8</v>
      </c>
      <c r="AI212" s="102">
        <f t="shared" si="25"/>
        <v>4.3</v>
      </c>
      <c r="AJ212" s="102">
        <f t="shared" si="26"/>
        <v>43.1</v>
      </c>
      <c r="AK212" s="102">
        <f t="shared" si="27"/>
        <v>1.8</v>
      </c>
      <c r="AL212" s="102">
        <f t="shared" si="28"/>
        <v>16</v>
      </c>
      <c r="AM212" s="102">
        <f t="shared" si="29"/>
        <v>52</v>
      </c>
      <c r="AN212" s="102">
        <f t="shared" si="30"/>
        <v>490</v>
      </c>
      <c r="AO212" s="102">
        <f t="shared" si="31"/>
        <v>31</v>
      </c>
      <c r="AP212" s="102">
        <f t="shared" si="32"/>
        <v>1100</v>
      </c>
      <c r="AQ212" s="102" t="str">
        <f t="shared" si="33"/>
        <v/>
      </c>
    </row>
    <row r="213" spans="1:43" s="102" customFormat="1" ht="12" customHeight="1">
      <c r="A213" s="118">
        <v>25</v>
      </c>
      <c r="B213" s="102" t="str">
        <f>RS!D145</f>
        <v>35  Klingavälsån, vid utlopp till Kävlingeån</v>
      </c>
      <c r="C213" s="206">
        <f>RS!E145</f>
        <v>45826</v>
      </c>
      <c r="D213" s="222">
        <f>RS!F145</f>
        <v>19.600000000000001</v>
      </c>
      <c r="E213" s="222">
        <f>RS!G145</f>
        <v>9.08</v>
      </c>
      <c r="F213" s="218">
        <f>RS!H145</f>
        <v>99</v>
      </c>
      <c r="G213" s="222">
        <f>RS!I145</f>
        <v>8</v>
      </c>
      <c r="H213" s="222">
        <f>RS!J145</f>
        <v>5.5</v>
      </c>
      <c r="I213" s="222">
        <f>RS!K145</f>
        <v>44.7</v>
      </c>
      <c r="J213" s="102">
        <f>RS!L145</f>
        <v>1.3</v>
      </c>
      <c r="K213" s="218">
        <f>RS!M145</f>
        <v>22</v>
      </c>
      <c r="L213" s="218">
        <f>RS!N145</f>
        <v>55</v>
      </c>
      <c r="M213" s="218">
        <f>RS!O145</f>
        <v>340</v>
      </c>
      <c r="N213" s="218">
        <f>RS!P145</f>
        <v>67</v>
      </c>
      <c r="O213" s="218">
        <f>RS!Q145</f>
        <v>1100</v>
      </c>
      <c r="P213" s="222" t="str">
        <f>RS!R145</f>
        <v/>
      </c>
      <c r="Q213" s="222" t="str">
        <f>RS!S145</f>
        <v/>
      </c>
      <c r="R213" s="609" t="str">
        <f>RS!T145</f>
        <v/>
      </c>
      <c r="S213" s="428"/>
      <c r="T213" s="421"/>
      <c r="U213" s="422"/>
      <c r="V213" s="423"/>
      <c r="W213" s="421"/>
      <c r="X213" s="421"/>
      <c r="Y213" s="421"/>
      <c r="Z213" s="421"/>
      <c r="AA213" s="421"/>
      <c r="AB213" s="411"/>
      <c r="AC213" s="411"/>
      <c r="AD213" s="411"/>
      <c r="AE213" s="102">
        <f t="shared" si="21"/>
        <v>19.600000000000001</v>
      </c>
      <c r="AF213" s="102">
        <f t="shared" si="22"/>
        <v>9.08</v>
      </c>
      <c r="AG213" s="102">
        <f t="shared" si="23"/>
        <v>99</v>
      </c>
      <c r="AH213" s="102">
        <f t="shared" si="24"/>
        <v>8</v>
      </c>
      <c r="AI213" s="102">
        <f t="shared" si="25"/>
        <v>5.5</v>
      </c>
      <c r="AJ213" s="102">
        <f t="shared" si="26"/>
        <v>44.7</v>
      </c>
      <c r="AK213" s="102">
        <f t="shared" si="27"/>
        <v>1.3</v>
      </c>
      <c r="AL213" s="102">
        <f t="shared" si="28"/>
        <v>22</v>
      </c>
      <c r="AM213" s="102">
        <f t="shared" si="29"/>
        <v>55</v>
      </c>
      <c r="AN213" s="102">
        <f t="shared" si="30"/>
        <v>340</v>
      </c>
      <c r="AO213" s="102">
        <f t="shared" si="31"/>
        <v>67</v>
      </c>
      <c r="AP213" s="102">
        <f t="shared" si="32"/>
        <v>1100</v>
      </c>
      <c r="AQ213" s="102" t="str">
        <f t="shared" si="33"/>
        <v/>
      </c>
    </row>
    <row r="214" spans="1:43" s="102" customFormat="1" ht="12" customHeight="1">
      <c r="A214" s="118">
        <v>25</v>
      </c>
      <c r="B214" s="102" t="str">
        <f>RS!D146</f>
        <v>35  Klingavälsån, vid utlopp till Kävlingeån</v>
      </c>
      <c r="C214" s="206">
        <f>RS!E146</f>
        <v>45848</v>
      </c>
      <c r="D214" s="222">
        <f>RS!F146</f>
        <v>17.899999999999999</v>
      </c>
      <c r="E214" s="222">
        <f>RS!G146</f>
        <v>8.4700000000000006</v>
      </c>
      <c r="F214" s="218">
        <f>RS!H146</f>
        <v>89</v>
      </c>
      <c r="G214" s="222">
        <f>RS!I146</f>
        <v>7.8</v>
      </c>
      <c r="H214" s="222">
        <f>RS!J146</f>
        <v>3.5</v>
      </c>
      <c r="I214" s="222">
        <f>RS!K146</f>
        <v>43.1</v>
      </c>
      <c r="J214" s="102">
        <f>RS!L146</f>
        <v>1.1000000000000001</v>
      </c>
      <c r="K214" s="218">
        <f>RS!M146</f>
        <v>17</v>
      </c>
      <c r="L214" s="218">
        <f>RS!N146</f>
        <v>38</v>
      </c>
      <c r="M214" s="218">
        <f>RS!O146</f>
        <v>170</v>
      </c>
      <c r="N214" s="218">
        <f>RS!P146</f>
        <v>24</v>
      </c>
      <c r="O214" s="218">
        <f>RS!Q146</f>
        <v>650</v>
      </c>
      <c r="P214" s="222" t="str">
        <f>RS!R146</f>
        <v/>
      </c>
      <c r="Q214" s="222" t="str">
        <f>RS!S146</f>
        <v/>
      </c>
      <c r="R214" s="609" t="str">
        <f>RS!T146</f>
        <v/>
      </c>
      <c r="S214" s="428"/>
      <c r="T214" s="421"/>
      <c r="U214" s="422"/>
      <c r="V214" s="423"/>
      <c r="W214" s="421"/>
      <c r="X214" s="421"/>
      <c r="Y214" s="421"/>
      <c r="Z214" s="421"/>
      <c r="AA214" s="421"/>
      <c r="AB214" s="411"/>
      <c r="AC214" s="411"/>
      <c r="AD214" s="411"/>
      <c r="AE214" s="102">
        <f t="shared" si="21"/>
        <v>17.899999999999999</v>
      </c>
      <c r="AF214" s="102">
        <f t="shared" si="22"/>
        <v>8.4700000000000006</v>
      </c>
      <c r="AG214" s="102">
        <f t="shared" si="23"/>
        <v>89</v>
      </c>
      <c r="AH214" s="102">
        <f t="shared" si="24"/>
        <v>7.8</v>
      </c>
      <c r="AI214" s="102">
        <f t="shared" si="25"/>
        <v>3.5</v>
      </c>
      <c r="AJ214" s="102">
        <f t="shared" si="26"/>
        <v>43.1</v>
      </c>
      <c r="AK214" s="102">
        <f t="shared" si="27"/>
        <v>1.1000000000000001</v>
      </c>
      <c r="AL214" s="102">
        <f t="shared" si="28"/>
        <v>17</v>
      </c>
      <c r="AM214" s="102">
        <f t="shared" si="29"/>
        <v>38</v>
      </c>
      <c r="AN214" s="102">
        <f t="shared" si="30"/>
        <v>170</v>
      </c>
      <c r="AO214" s="102">
        <f t="shared" si="31"/>
        <v>24</v>
      </c>
      <c r="AP214" s="102">
        <f t="shared" si="32"/>
        <v>650</v>
      </c>
      <c r="AQ214" s="102" t="str">
        <f t="shared" si="33"/>
        <v/>
      </c>
    </row>
    <row r="215" spans="1:43" s="102" customFormat="1" ht="12" customHeight="1">
      <c r="A215" s="118">
        <v>25</v>
      </c>
      <c r="B215" s="102" t="str">
        <f>RS!D147</f>
        <v>35  Klingavälsån, vid utlopp till Kävlingeån</v>
      </c>
      <c r="C215" s="206" t="str">
        <f>RS!E147</f>
        <v/>
      </c>
      <c r="D215" s="222" t="str">
        <f>RS!F147</f>
        <v/>
      </c>
      <c r="E215" s="222" t="str">
        <f>RS!G147</f>
        <v/>
      </c>
      <c r="F215" s="218" t="str">
        <f>RS!H147</f>
        <v/>
      </c>
      <c r="G215" s="222" t="str">
        <f>RS!I147</f>
        <v/>
      </c>
      <c r="H215" s="222" t="str">
        <f>RS!J147</f>
        <v/>
      </c>
      <c r="I215" s="222" t="str">
        <f>RS!K147</f>
        <v/>
      </c>
      <c r="J215" s="102" t="str">
        <f>RS!L147</f>
        <v/>
      </c>
      <c r="K215" s="218" t="str">
        <f>RS!M147</f>
        <v/>
      </c>
      <c r="L215" s="218" t="str">
        <f>RS!N147</f>
        <v/>
      </c>
      <c r="M215" s="218" t="str">
        <f>RS!O147</f>
        <v/>
      </c>
      <c r="N215" s="218" t="str">
        <f>RS!P147</f>
        <v/>
      </c>
      <c r="O215" s="218" t="str">
        <f>RS!Q147</f>
        <v/>
      </c>
      <c r="P215" s="222" t="str">
        <f>RS!R147</f>
        <v/>
      </c>
      <c r="Q215" s="222" t="str">
        <f>RS!S147</f>
        <v/>
      </c>
      <c r="R215" s="609" t="str">
        <f>RS!T147</f>
        <v/>
      </c>
      <c r="S215" s="420"/>
      <c r="T215" s="421"/>
      <c r="U215" s="422"/>
      <c r="V215" s="423"/>
      <c r="W215" s="421"/>
      <c r="X215" s="421"/>
      <c r="Y215" s="421"/>
      <c r="Z215" s="421"/>
      <c r="AA215" s="421"/>
      <c r="AB215" s="411"/>
      <c r="AC215" s="411"/>
      <c r="AD215" s="411"/>
      <c r="AE215" s="102" t="str">
        <f t="shared" si="21"/>
        <v/>
      </c>
      <c r="AF215" s="102" t="str">
        <f t="shared" si="22"/>
        <v/>
      </c>
      <c r="AG215" s="102" t="str">
        <f t="shared" si="23"/>
        <v/>
      </c>
      <c r="AH215" s="102" t="str">
        <f t="shared" si="24"/>
        <v/>
      </c>
      <c r="AI215" s="102" t="str">
        <f t="shared" si="25"/>
        <v/>
      </c>
      <c r="AJ215" s="102" t="str">
        <f t="shared" si="26"/>
        <v/>
      </c>
      <c r="AK215" s="102" t="str">
        <f t="shared" si="27"/>
        <v/>
      </c>
      <c r="AL215" s="102" t="str">
        <f t="shared" si="28"/>
        <v/>
      </c>
      <c r="AM215" s="102" t="str">
        <f t="shared" si="29"/>
        <v/>
      </c>
      <c r="AN215" s="102" t="str">
        <f t="shared" si="30"/>
        <v/>
      </c>
      <c r="AO215" s="102" t="str">
        <f t="shared" si="31"/>
        <v/>
      </c>
      <c r="AP215" s="102" t="str">
        <f t="shared" si="32"/>
        <v/>
      </c>
      <c r="AQ215" s="102" t="str">
        <f t="shared" si="33"/>
        <v/>
      </c>
    </row>
    <row r="216" spans="1:43" s="102" customFormat="1" ht="12" customHeight="1">
      <c r="A216" s="118">
        <v>25</v>
      </c>
      <c r="B216" s="102" t="str">
        <f>RS!D148</f>
        <v>35  Klingavälsån, vid utlopp till Kävlingeån</v>
      </c>
      <c r="C216" s="206" t="str">
        <f>RS!E148</f>
        <v/>
      </c>
      <c r="D216" s="222" t="str">
        <f>RS!F148</f>
        <v/>
      </c>
      <c r="E216" s="222" t="str">
        <f>RS!G148</f>
        <v/>
      </c>
      <c r="F216" s="218" t="str">
        <f>RS!H148</f>
        <v/>
      </c>
      <c r="G216" s="222" t="str">
        <f>RS!I148</f>
        <v/>
      </c>
      <c r="H216" s="222" t="str">
        <f>RS!J148</f>
        <v/>
      </c>
      <c r="I216" s="222" t="str">
        <f>RS!K148</f>
        <v/>
      </c>
      <c r="J216" s="102" t="str">
        <f>RS!L148</f>
        <v/>
      </c>
      <c r="K216" s="218" t="str">
        <f>RS!M148</f>
        <v/>
      </c>
      <c r="L216" s="218" t="str">
        <f>RS!N148</f>
        <v/>
      </c>
      <c r="M216" s="218" t="str">
        <f>RS!O148</f>
        <v/>
      </c>
      <c r="N216" s="218" t="str">
        <f>RS!P148</f>
        <v/>
      </c>
      <c r="O216" s="218" t="str">
        <f>RS!Q148</f>
        <v/>
      </c>
      <c r="P216" s="222" t="str">
        <f>RS!R148</f>
        <v/>
      </c>
      <c r="Q216" s="222" t="str">
        <f>RS!S148</f>
        <v/>
      </c>
      <c r="R216" s="609" t="str">
        <f>RS!T148</f>
        <v/>
      </c>
      <c r="S216" s="420"/>
      <c r="T216" s="421"/>
      <c r="U216" s="422"/>
      <c r="V216" s="423"/>
      <c r="W216" s="421"/>
      <c r="X216" s="421"/>
      <c r="Y216" s="421"/>
      <c r="Z216" s="421"/>
      <c r="AA216" s="421"/>
      <c r="AB216" s="411"/>
      <c r="AC216" s="411"/>
      <c r="AD216" s="411"/>
      <c r="AE216" s="102" t="str">
        <f t="shared" si="21"/>
        <v/>
      </c>
      <c r="AF216" s="102" t="str">
        <f t="shared" si="22"/>
        <v/>
      </c>
      <c r="AG216" s="102" t="str">
        <f t="shared" si="23"/>
        <v/>
      </c>
      <c r="AH216" s="102" t="str">
        <f t="shared" si="24"/>
        <v/>
      </c>
      <c r="AI216" s="102" t="str">
        <f t="shared" si="25"/>
        <v/>
      </c>
      <c r="AJ216" s="102" t="str">
        <f t="shared" si="26"/>
        <v/>
      </c>
      <c r="AK216" s="102" t="str">
        <f t="shared" si="27"/>
        <v/>
      </c>
      <c r="AL216" s="102" t="str">
        <f t="shared" si="28"/>
        <v/>
      </c>
      <c r="AM216" s="102" t="str">
        <f t="shared" si="29"/>
        <v/>
      </c>
      <c r="AN216" s="102" t="str">
        <f t="shared" si="30"/>
        <v/>
      </c>
      <c r="AO216" s="102" t="str">
        <f t="shared" si="31"/>
        <v/>
      </c>
      <c r="AP216" s="102" t="str">
        <f t="shared" si="32"/>
        <v/>
      </c>
      <c r="AQ216" s="102" t="str">
        <f t="shared" si="33"/>
        <v/>
      </c>
    </row>
    <row r="217" spans="1:43" s="102" customFormat="1" ht="12" customHeight="1">
      <c r="A217" s="118">
        <v>25</v>
      </c>
      <c r="B217" s="102" t="str">
        <f>RS!D149</f>
        <v>35  Klingavälsån, vid utlopp till Kävlingeån</v>
      </c>
      <c r="C217" s="206" t="str">
        <f>RS!E149</f>
        <v/>
      </c>
      <c r="D217" s="222" t="str">
        <f>RS!F149</f>
        <v/>
      </c>
      <c r="E217" s="222" t="str">
        <f>RS!G149</f>
        <v/>
      </c>
      <c r="F217" s="218" t="str">
        <f>RS!H149</f>
        <v/>
      </c>
      <c r="G217" s="222" t="str">
        <f>RS!I149</f>
        <v/>
      </c>
      <c r="H217" s="222" t="str">
        <f>RS!J149</f>
        <v/>
      </c>
      <c r="I217" s="222" t="str">
        <f>RS!K149</f>
        <v/>
      </c>
      <c r="J217" s="102" t="str">
        <f>RS!L149</f>
        <v/>
      </c>
      <c r="K217" s="218" t="str">
        <f>RS!M149</f>
        <v/>
      </c>
      <c r="L217" s="218" t="str">
        <f>RS!N149</f>
        <v/>
      </c>
      <c r="M217" s="218" t="str">
        <f>RS!O149</f>
        <v/>
      </c>
      <c r="N217" s="218" t="str">
        <f>RS!P149</f>
        <v/>
      </c>
      <c r="O217" s="218" t="str">
        <f>RS!Q149</f>
        <v/>
      </c>
      <c r="P217" s="222" t="str">
        <f>RS!R149</f>
        <v/>
      </c>
      <c r="Q217" s="222" t="str">
        <f>RS!S149</f>
        <v/>
      </c>
      <c r="R217" s="609" t="str">
        <f>RS!T149</f>
        <v/>
      </c>
      <c r="S217" s="420"/>
      <c r="T217" s="421"/>
      <c r="U217" s="422"/>
      <c r="V217" s="423"/>
      <c r="W217" s="421"/>
      <c r="X217" s="421"/>
      <c r="Y217" s="421"/>
      <c r="Z217" s="421"/>
      <c r="AA217" s="421"/>
      <c r="AB217" s="411"/>
      <c r="AC217" s="411"/>
      <c r="AD217" s="411"/>
      <c r="AE217" s="102" t="str">
        <f t="shared" si="21"/>
        <v/>
      </c>
      <c r="AF217" s="102" t="str">
        <f t="shared" si="22"/>
        <v/>
      </c>
      <c r="AG217" s="102" t="str">
        <f t="shared" si="23"/>
        <v/>
      </c>
      <c r="AH217" s="102" t="str">
        <f t="shared" si="24"/>
        <v/>
      </c>
      <c r="AI217" s="102" t="str">
        <f t="shared" si="25"/>
        <v/>
      </c>
      <c r="AJ217" s="102" t="str">
        <f t="shared" si="26"/>
        <v/>
      </c>
      <c r="AK217" s="102" t="str">
        <f t="shared" si="27"/>
        <v/>
      </c>
      <c r="AL217" s="102" t="str">
        <f t="shared" si="28"/>
        <v/>
      </c>
      <c r="AM217" s="102" t="str">
        <f t="shared" si="29"/>
        <v/>
      </c>
      <c r="AN217" s="102" t="str">
        <f t="shared" si="30"/>
        <v/>
      </c>
      <c r="AO217" s="102" t="str">
        <f t="shared" si="31"/>
        <v/>
      </c>
      <c r="AP217" s="102" t="str">
        <f t="shared" si="32"/>
        <v/>
      </c>
      <c r="AQ217" s="102" t="str">
        <f t="shared" si="33"/>
        <v/>
      </c>
    </row>
    <row r="218" spans="1:43" s="102" customFormat="1" ht="12" customHeight="1">
      <c r="A218" s="118">
        <v>25</v>
      </c>
      <c r="B218" s="102" t="str">
        <f>RS!D150</f>
        <v>35  Klingavälsån, vid utlopp till Kävlingeån</v>
      </c>
      <c r="C218" s="206" t="str">
        <f>RS!E150</f>
        <v/>
      </c>
      <c r="D218" s="222" t="str">
        <f>RS!F150</f>
        <v/>
      </c>
      <c r="E218" s="222" t="str">
        <f>RS!G150</f>
        <v/>
      </c>
      <c r="F218" s="218" t="str">
        <f>RS!H150</f>
        <v/>
      </c>
      <c r="G218" s="222" t="str">
        <f>RS!I150</f>
        <v/>
      </c>
      <c r="H218" s="222" t="str">
        <f>RS!J150</f>
        <v/>
      </c>
      <c r="I218" s="222" t="str">
        <f>RS!K150</f>
        <v/>
      </c>
      <c r="J218" s="102" t="str">
        <f>RS!L150</f>
        <v/>
      </c>
      <c r="K218" s="218" t="str">
        <f>RS!M150</f>
        <v/>
      </c>
      <c r="L218" s="218" t="str">
        <f>RS!N150</f>
        <v/>
      </c>
      <c r="M218" s="218" t="str">
        <f>RS!O150</f>
        <v/>
      </c>
      <c r="N218" s="218" t="str">
        <f>RS!P150</f>
        <v/>
      </c>
      <c r="O218" s="218" t="str">
        <f>RS!Q150</f>
        <v/>
      </c>
      <c r="P218" s="222" t="str">
        <f>RS!R150</f>
        <v/>
      </c>
      <c r="Q218" s="222" t="str">
        <f>RS!S150</f>
        <v/>
      </c>
      <c r="R218" s="609" t="str">
        <f>RS!T150</f>
        <v/>
      </c>
      <c r="S218" s="420"/>
      <c r="T218" s="421"/>
      <c r="U218" s="422"/>
      <c r="V218" s="423"/>
      <c r="W218" s="421"/>
      <c r="X218" s="421"/>
      <c r="Y218" s="421"/>
      <c r="Z218" s="421"/>
      <c r="AA218" s="421"/>
      <c r="AB218" s="411"/>
      <c r="AC218" s="411"/>
      <c r="AD218" s="411"/>
      <c r="AE218" s="102" t="str">
        <f t="shared" si="21"/>
        <v/>
      </c>
      <c r="AF218" s="102" t="str">
        <f t="shared" si="22"/>
        <v/>
      </c>
      <c r="AG218" s="102" t="str">
        <f t="shared" si="23"/>
        <v/>
      </c>
      <c r="AH218" s="102" t="str">
        <f t="shared" si="24"/>
        <v/>
      </c>
      <c r="AI218" s="102" t="str">
        <f t="shared" si="25"/>
        <v/>
      </c>
      <c r="AJ218" s="102" t="str">
        <f t="shared" si="26"/>
        <v/>
      </c>
      <c r="AK218" s="102" t="str">
        <f t="shared" si="27"/>
        <v/>
      </c>
      <c r="AL218" s="102" t="str">
        <f t="shared" si="28"/>
        <v/>
      </c>
      <c r="AM218" s="102" t="str">
        <f t="shared" si="29"/>
        <v/>
      </c>
      <c r="AN218" s="102" t="str">
        <f t="shared" si="30"/>
        <v/>
      </c>
      <c r="AO218" s="102" t="str">
        <f t="shared" si="31"/>
        <v/>
      </c>
      <c r="AP218" s="102" t="str">
        <f t="shared" si="32"/>
        <v/>
      </c>
      <c r="AQ218" s="102" t="str">
        <f t="shared" si="33"/>
        <v/>
      </c>
    </row>
    <row r="219" spans="1:43" s="102" customFormat="1" ht="12" customHeight="1">
      <c r="A219" s="118">
        <v>25</v>
      </c>
      <c r="B219" s="102" t="str">
        <f>RS!D151</f>
        <v>35  Klingavälsån, vid utlopp till Kävlingeån</v>
      </c>
      <c r="C219" s="206" t="str">
        <f>RS!E151</f>
        <v/>
      </c>
      <c r="D219" s="222" t="str">
        <f>RS!F151</f>
        <v/>
      </c>
      <c r="E219" s="222" t="str">
        <f>RS!G151</f>
        <v/>
      </c>
      <c r="F219" s="218" t="str">
        <f>RS!H151</f>
        <v/>
      </c>
      <c r="G219" s="222" t="str">
        <f>RS!I151</f>
        <v/>
      </c>
      <c r="H219" s="222" t="str">
        <f>RS!J151</f>
        <v/>
      </c>
      <c r="I219" s="222" t="str">
        <f>RS!K151</f>
        <v/>
      </c>
      <c r="J219" s="102" t="str">
        <f>RS!L151</f>
        <v/>
      </c>
      <c r="K219" s="218" t="str">
        <f>RS!M151</f>
        <v/>
      </c>
      <c r="L219" s="218" t="str">
        <f>RS!N151</f>
        <v/>
      </c>
      <c r="M219" s="218" t="str">
        <f>RS!O151</f>
        <v/>
      </c>
      <c r="N219" s="218" t="str">
        <f>RS!P151</f>
        <v/>
      </c>
      <c r="O219" s="218" t="str">
        <f>RS!Q151</f>
        <v/>
      </c>
      <c r="P219" s="222" t="str">
        <f>RS!R151</f>
        <v/>
      </c>
      <c r="Q219" s="222" t="str">
        <f>RS!S151</f>
        <v/>
      </c>
      <c r="R219" s="609" t="str">
        <f>RS!T151</f>
        <v/>
      </c>
      <c r="S219" s="420"/>
      <c r="T219" s="421"/>
      <c r="U219" s="422"/>
      <c r="V219" s="423"/>
      <c r="W219" s="421"/>
      <c r="X219" s="421"/>
      <c r="Y219" s="421"/>
      <c r="Z219" s="421"/>
      <c r="AA219" s="421"/>
      <c r="AB219" s="411"/>
      <c r="AC219" s="411"/>
      <c r="AD219" s="411"/>
      <c r="AE219" s="102" t="str">
        <f t="shared" si="21"/>
        <v/>
      </c>
      <c r="AF219" s="102" t="str">
        <f t="shared" si="22"/>
        <v/>
      </c>
      <c r="AG219" s="102" t="str">
        <f t="shared" si="23"/>
        <v/>
      </c>
      <c r="AH219" s="102" t="str">
        <f t="shared" si="24"/>
        <v/>
      </c>
      <c r="AI219" s="102" t="str">
        <f t="shared" si="25"/>
        <v/>
      </c>
      <c r="AJ219" s="102" t="str">
        <f t="shared" si="26"/>
        <v/>
      </c>
      <c r="AK219" s="102" t="str">
        <f t="shared" si="27"/>
        <v/>
      </c>
      <c r="AL219" s="102" t="str">
        <f t="shared" si="28"/>
        <v/>
      </c>
      <c r="AM219" s="102" t="str">
        <f t="shared" si="29"/>
        <v/>
      </c>
      <c r="AN219" s="102" t="str">
        <f t="shared" si="30"/>
        <v/>
      </c>
      <c r="AO219" s="102" t="str">
        <f t="shared" si="31"/>
        <v/>
      </c>
      <c r="AP219" s="102" t="str">
        <f t="shared" si="32"/>
        <v/>
      </c>
      <c r="AQ219" s="102" t="str">
        <f t="shared" si="33"/>
        <v/>
      </c>
    </row>
    <row r="220" spans="1:43" s="102" customFormat="1" ht="12">
      <c r="A220" s="118">
        <v>25</v>
      </c>
      <c r="B220" s="102" t="str">
        <f>RS!D152</f>
        <v>35  Klingavälsån, vid utlopp till Kävlingeån</v>
      </c>
      <c r="C220" s="206" t="str">
        <f>RS!E152</f>
        <v>2025-05-13</v>
      </c>
      <c r="D220" s="222">
        <f>RS!F152</f>
        <v>13.1</v>
      </c>
      <c r="E220" s="222">
        <f>RS!G152</f>
        <v>9.8800000000000008</v>
      </c>
      <c r="F220" s="218">
        <f>RS!H152</f>
        <v>94</v>
      </c>
      <c r="G220" s="222">
        <f>RS!I152</f>
        <v>8</v>
      </c>
      <c r="H220" s="222">
        <f>RS!J152</f>
        <v>3.8</v>
      </c>
      <c r="I220" s="222">
        <f>RS!K152</f>
        <v>44.1</v>
      </c>
      <c r="J220" s="102">
        <f>RS!L152</f>
        <v>0.98</v>
      </c>
      <c r="K220" s="218">
        <f>RS!M152</f>
        <v>15</v>
      </c>
      <c r="L220" s="218">
        <f>RS!N152</f>
        <v>43</v>
      </c>
      <c r="M220" s="218">
        <f>RS!O152</f>
        <v>270</v>
      </c>
      <c r="N220" s="218">
        <f>RS!P152</f>
        <v>28</v>
      </c>
      <c r="O220" s="218">
        <f>RS!Q152</f>
        <v>930</v>
      </c>
      <c r="P220" s="222" t="str">
        <f>RS!R152</f>
        <v/>
      </c>
      <c r="Q220" s="222" t="str">
        <f>RS!S152</f>
        <v/>
      </c>
      <c r="R220" s="609" t="str">
        <f>RS!T152</f>
        <v/>
      </c>
      <c r="S220" s="420"/>
      <c r="T220" s="421"/>
      <c r="U220" s="422"/>
      <c r="V220" s="423"/>
      <c r="W220" s="421"/>
      <c r="X220" s="421"/>
      <c r="Y220" s="421"/>
      <c r="Z220" s="421"/>
      <c r="AA220" s="421"/>
      <c r="AB220" s="411"/>
      <c r="AC220" s="411"/>
      <c r="AD220" s="411"/>
      <c r="AE220" s="102">
        <f t="shared" si="21"/>
        <v>13.1</v>
      </c>
      <c r="AF220" s="102">
        <f t="shared" si="22"/>
        <v>9.8800000000000008</v>
      </c>
      <c r="AG220" s="102">
        <f t="shared" si="23"/>
        <v>94</v>
      </c>
      <c r="AH220" s="102">
        <f t="shared" si="24"/>
        <v>8</v>
      </c>
      <c r="AI220" s="102">
        <f t="shared" si="25"/>
        <v>3.8</v>
      </c>
      <c r="AJ220" s="102">
        <f t="shared" si="26"/>
        <v>44.1</v>
      </c>
      <c r="AK220" s="102">
        <f t="shared" si="27"/>
        <v>0.98</v>
      </c>
      <c r="AL220" s="102">
        <f t="shared" si="28"/>
        <v>15</v>
      </c>
      <c r="AM220" s="102">
        <f t="shared" si="29"/>
        <v>43</v>
      </c>
      <c r="AN220" s="102">
        <f t="shared" si="30"/>
        <v>270</v>
      </c>
      <c r="AO220" s="102">
        <f t="shared" si="31"/>
        <v>28</v>
      </c>
      <c r="AP220" s="102">
        <f t="shared" si="32"/>
        <v>930</v>
      </c>
      <c r="AQ220" s="102" t="str">
        <f t="shared" si="33"/>
        <v/>
      </c>
    </row>
    <row r="221" spans="1:43" s="102" customFormat="1" ht="12">
      <c r="A221" s="117"/>
      <c r="C221" s="610" t="s">
        <v>150</v>
      </c>
      <c r="D221" s="611">
        <f t="shared" ref="D221:O221" si="43">AVERAGE(AE209:AE220)</f>
        <v>9.9142857142857128</v>
      </c>
      <c r="E221" s="611">
        <f t="shared" si="43"/>
        <v>10.991428571428571</v>
      </c>
      <c r="F221" s="612">
        <f t="shared" si="43"/>
        <v>95</v>
      </c>
      <c r="G221" s="611">
        <f t="shared" si="43"/>
        <v>7.9142857142857137</v>
      </c>
      <c r="H221" s="611">
        <f t="shared" si="43"/>
        <v>5.1428571428571432</v>
      </c>
      <c r="I221" s="611">
        <f t="shared" si="43"/>
        <v>43.028571428571432</v>
      </c>
      <c r="J221" s="611">
        <f t="shared" si="43"/>
        <v>1.5542857142857145</v>
      </c>
      <c r="K221" s="612">
        <f t="shared" si="43"/>
        <v>18.814285714285713</v>
      </c>
      <c r="L221" s="612">
        <f t="shared" si="43"/>
        <v>52.142857142857146</v>
      </c>
      <c r="M221" s="612">
        <f t="shared" si="43"/>
        <v>688.57142857142856</v>
      </c>
      <c r="N221" s="612">
        <f t="shared" si="43"/>
        <v>65.285714285714292</v>
      </c>
      <c r="O221" s="612">
        <f t="shared" si="43"/>
        <v>1340</v>
      </c>
      <c r="P221" s="611"/>
      <c r="Q221" s="715"/>
      <c r="R221" s="307"/>
      <c r="S221" s="420"/>
      <c r="T221" s="421"/>
      <c r="U221" s="422"/>
      <c r="V221" s="423"/>
      <c r="W221" s="421"/>
      <c r="X221" s="421"/>
      <c r="Y221" s="421"/>
      <c r="Z221" s="421"/>
      <c r="AA221" s="421"/>
      <c r="AB221" s="411"/>
      <c r="AC221" s="411"/>
      <c r="AD221" s="411"/>
      <c r="AE221" s="102">
        <f t="shared" si="21"/>
        <v>9.9142857142857128</v>
      </c>
      <c r="AF221" s="102">
        <f t="shared" si="22"/>
        <v>10.991428571428571</v>
      </c>
      <c r="AG221" s="102">
        <f t="shared" si="23"/>
        <v>95</v>
      </c>
      <c r="AH221" s="102">
        <f t="shared" si="24"/>
        <v>7.9142857142857137</v>
      </c>
      <c r="AI221" s="102">
        <f t="shared" si="25"/>
        <v>5.1428571428571432</v>
      </c>
      <c r="AJ221" s="102">
        <f t="shared" si="26"/>
        <v>43.028571428571432</v>
      </c>
      <c r="AK221" s="102">
        <f t="shared" si="27"/>
        <v>1.5542857142857145</v>
      </c>
      <c r="AL221" s="102">
        <f t="shared" si="28"/>
        <v>18.814285714285713</v>
      </c>
      <c r="AM221" s="102">
        <f t="shared" si="29"/>
        <v>52.142857142857146</v>
      </c>
      <c r="AN221" s="102">
        <f t="shared" si="30"/>
        <v>688.57142857142856</v>
      </c>
      <c r="AO221" s="102">
        <f t="shared" si="31"/>
        <v>65.285714285714292</v>
      </c>
      <c r="AP221" s="102">
        <f t="shared" si="32"/>
        <v>1340</v>
      </c>
      <c r="AQ221" s="102">
        <f t="shared" si="33"/>
        <v>0</v>
      </c>
    </row>
    <row r="222" spans="1:43" s="102" customFormat="1" ht="12">
      <c r="A222" s="117"/>
      <c r="C222" s="613" t="s">
        <v>151</v>
      </c>
      <c r="D222" s="614">
        <f t="shared" ref="D222:O222" si="44">MAX(AE209:AE220)</f>
        <v>19.600000000000001</v>
      </c>
      <c r="E222" s="614">
        <f t="shared" si="44"/>
        <v>13.61</v>
      </c>
      <c r="F222" s="615">
        <f t="shared" si="44"/>
        <v>106</v>
      </c>
      <c r="G222" s="614">
        <f t="shared" si="44"/>
        <v>8</v>
      </c>
      <c r="H222" s="614">
        <f t="shared" si="44"/>
        <v>7.8</v>
      </c>
      <c r="I222" s="614">
        <f t="shared" si="44"/>
        <v>44.7</v>
      </c>
      <c r="J222" s="614">
        <f t="shared" si="44"/>
        <v>2.7</v>
      </c>
      <c r="K222" s="615">
        <f t="shared" si="44"/>
        <v>27</v>
      </c>
      <c r="L222" s="615">
        <f t="shared" si="44"/>
        <v>66</v>
      </c>
      <c r="M222" s="615">
        <f t="shared" si="44"/>
        <v>1600</v>
      </c>
      <c r="N222" s="615">
        <f t="shared" si="44"/>
        <v>170</v>
      </c>
      <c r="O222" s="615">
        <f t="shared" si="44"/>
        <v>2300</v>
      </c>
      <c r="P222" s="614"/>
      <c r="Q222" s="716"/>
      <c r="R222" s="307"/>
      <c r="S222" s="420"/>
      <c r="T222" s="421"/>
      <c r="U222" s="422"/>
      <c r="V222" s="423"/>
      <c r="W222" s="421"/>
      <c r="X222" s="421"/>
      <c r="Y222" s="421"/>
      <c r="Z222" s="421"/>
      <c r="AA222" s="421"/>
      <c r="AB222" s="411"/>
      <c r="AC222" s="411"/>
      <c r="AD222" s="411"/>
      <c r="AE222" s="102">
        <f t="shared" si="21"/>
        <v>19.600000000000001</v>
      </c>
      <c r="AF222" s="102">
        <f t="shared" si="22"/>
        <v>13.61</v>
      </c>
      <c r="AG222" s="102">
        <f t="shared" si="23"/>
        <v>106</v>
      </c>
      <c r="AH222" s="102">
        <f t="shared" si="24"/>
        <v>8</v>
      </c>
      <c r="AI222" s="102">
        <f t="shared" si="25"/>
        <v>7.8</v>
      </c>
      <c r="AJ222" s="102">
        <f t="shared" si="26"/>
        <v>44.7</v>
      </c>
      <c r="AK222" s="102">
        <f t="shared" si="27"/>
        <v>2.7</v>
      </c>
      <c r="AL222" s="102">
        <f t="shared" si="28"/>
        <v>27</v>
      </c>
      <c r="AM222" s="102">
        <f t="shared" si="29"/>
        <v>66</v>
      </c>
      <c r="AN222" s="102">
        <f t="shared" si="30"/>
        <v>1600</v>
      </c>
      <c r="AO222" s="102">
        <f t="shared" si="31"/>
        <v>170</v>
      </c>
      <c r="AP222" s="102">
        <f t="shared" si="32"/>
        <v>2300</v>
      </c>
      <c r="AQ222" s="102">
        <f t="shared" si="33"/>
        <v>0</v>
      </c>
    </row>
    <row r="223" spans="1:43" s="102" customFormat="1" ht="12">
      <c r="A223" s="117"/>
      <c r="C223" s="616" t="s">
        <v>152</v>
      </c>
      <c r="D223" s="617">
        <f t="shared" ref="D223:O223" si="45">MIN(AE209:AE220)</f>
        <v>0.9</v>
      </c>
      <c r="E223" s="617">
        <f t="shared" si="45"/>
        <v>8.4700000000000006</v>
      </c>
      <c r="F223" s="618">
        <f t="shared" si="45"/>
        <v>84</v>
      </c>
      <c r="G223" s="617">
        <f t="shared" si="45"/>
        <v>7.7</v>
      </c>
      <c r="H223" s="617">
        <f t="shared" si="45"/>
        <v>3.5</v>
      </c>
      <c r="I223" s="617">
        <f t="shared" si="45"/>
        <v>41.2</v>
      </c>
      <c r="J223" s="617">
        <f t="shared" si="45"/>
        <v>0.98</v>
      </c>
      <c r="K223" s="618">
        <f t="shared" si="45"/>
        <v>9.6999999999999993</v>
      </c>
      <c r="L223" s="618">
        <f t="shared" si="45"/>
        <v>38</v>
      </c>
      <c r="M223" s="618">
        <f t="shared" si="45"/>
        <v>170</v>
      </c>
      <c r="N223" s="618">
        <f t="shared" si="45"/>
        <v>24</v>
      </c>
      <c r="O223" s="618">
        <f t="shared" si="45"/>
        <v>650</v>
      </c>
      <c r="P223" s="617"/>
      <c r="Q223" s="717"/>
      <c r="R223" s="307"/>
      <c r="S223" s="420"/>
      <c r="T223" s="421"/>
      <c r="U223" s="422"/>
      <c r="V223" s="423"/>
      <c r="W223" s="421"/>
      <c r="X223" s="421"/>
      <c r="Y223" s="421"/>
      <c r="Z223" s="421"/>
      <c r="AA223" s="421"/>
      <c r="AB223" s="411"/>
      <c r="AC223" s="411"/>
      <c r="AD223" s="411"/>
      <c r="AE223" s="102">
        <f t="shared" si="21"/>
        <v>0.9</v>
      </c>
      <c r="AF223" s="102">
        <f t="shared" si="22"/>
        <v>8.4700000000000006</v>
      </c>
      <c r="AG223" s="102">
        <f t="shared" si="23"/>
        <v>84</v>
      </c>
      <c r="AH223" s="102">
        <f t="shared" si="24"/>
        <v>7.7</v>
      </c>
      <c r="AI223" s="102">
        <f t="shared" si="25"/>
        <v>3.5</v>
      </c>
      <c r="AJ223" s="102">
        <f t="shared" si="26"/>
        <v>41.2</v>
      </c>
      <c r="AK223" s="102">
        <f t="shared" si="27"/>
        <v>0.98</v>
      </c>
      <c r="AL223" s="102">
        <f t="shared" si="28"/>
        <v>9.6999999999999993</v>
      </c>
      <c r="AM223" s="102">
        <f t="shared" si="29"/>
        <v>38</v>
      </c>
      <c r="AN223" s="102">
        <f t="shared" si="30"/>
        <v>170</v>
      </c>
      <c r="AO223" s="102">
        <f t="shared" si="31"/>
        <v>24</v>
      </c>
      <c r="AP223" s="102">
        <f t="shared" si="32"/>
        <v>650</v>
      </c>
      <c r="AQ223" s="102">
        <f t="shared" si="33"/>
        <v>0</v>
      </c>
    </row>
    <row r="224" spans="1:43" s="102" customFormat="1" ht="12">
      <c r="A224" s="117"/>
      <c r="B224" s="411"/>
      <c r="C224" s="619"/>
      <c r="D224" s="620"/>
      <c r="E224" s="620"/>
      <c r="F224" s="621"/>
      <c r="G224" s="620"/>
      <c r="H224" s="620"/>
      <c r="I224" s="620"/>
      <c r="J224" s="622"/>
      <c r="K224" s="622"/>
      <c r="L224" s="622"/>
      <c r="M224" s="622"/>
      <c r="N224" s="622"/>
      <c r="O224" s="622"/>
      <c r="P224" s="620"/>
      <c r="Q224" s="620"/>
      <c r="R224" s="387"/>
      <c r="S224" s="420"/>
      <c r="T224" s="421"/>
      <c r="U224" s="422"/>
      <c r="V224" s="423"/>
      <c r="W224" s="421"/>
      <c r="X224" s="421"/>
      <c r="Y224" s="421"/>
      <c r="Z224" s="421"/>
      <c r="AA224" s="421"/>
      <c r="AB224" s="411"/>
      <c r="AC224" s="411"/>
      <c r="AD224" s="411"/>
    </row>
    <row r="225" spans="1:43" s="102" customFormat="1" ht="12" customHeight="1">
      <c r="A225" s="117">
        <v>27</v>
      </c>
      <c r="B225" s="102" t="str">
        <f>RS!D153</f>
        <v>50  Klingavälsån, vid Sövdesjöns utlopp</v>
      </c>
      <c r="C225" s="206">
        <f>RS!E153</f>
        <v>45671</v>
      </c>
      <c r="D225" s="222">
        <f>RS!F153</f>
        <v>2.2000000000000002</v>
      </c>
      <c r="E225" s="222">
        <f>RS!G153</f>
        <v>12.84</v>
      </c>
      <c r="F225" s="218">
        <f>RS!H153</f>
        <v>93</v>
      </c>
      <c r="G225" s="222">
        <f>RS!I153</f>
        <v>8.1</v>
      </c>
      <c r="H225" s="222">
        <f>RS!J153</f>
        <v>1.9</v>
      </c>
      <c r="I225" s="222">
        <f>RS!K153</f>
        <v>34.9</v>
      </c>
      <c r="J225" s="102">
        <f>RS!L153</f>
        <v>1.5</v>
      </c>
      <c r="K225" s="218">
        <f>RS!M153</f>
        <v>31</v>
      </c>
      <c r="L225" s="218">
        <f>RS!N153</f>
        <v>50</v>
      </c>
      <c r="M225" s="218">
        <f>RS!O153</f>
        <v>1100</v>
      </c>
      <c r="N225" s="218">
        <f>RS!P153</f>
        <v>140</v>
      </c>
      <c r="O225" s="218">
        <f>RS!Q153</f>
        <v>1800</v>
      </c>
      <c r="P225" s="222" t="str">
        <f>RS!R153</f>
        <v/>
      </c>
      <c r="Q225" s="222" t="str">
        <f>RS!S153</f>
        <v/>
      </c>
      <c r="R225" s="609" t="str">
        <f>RS!T153</f>
        <v/>
      </c>
      <c r="S225" s="426"/>
      <c r="T225" s="427"/>
      <c r="U225" s="422"/>
      <c r="V225" s="423"/>
      <c r="W225" s="424"/>
      <c r="X225" s="425"/>
      <c r="Y225" s="425"/>
      <c r="Z225" s="424"/>
      <c r="AA225" s="425"/>
      <c r="AB225" s="425"/>
      <c r="AC225" s="425"/>
      <c r="AD225" s="411"/>
      <c r="AE225" s="102">
        <f t="shared" ref="AE225:AE249" si="46">IF(OR(LEFT(D225,1)="&lt;",LEFT(D225,1)="&gt;"),VALUE(MID(D225,2,5)),D225)</f>
        <v>2.2000000000000002</v>
      </c>
      <c r="AF225" s="102">
        <f t="shared" ref="AF225:AF249" si="47">IF(OR(LEFT(E225,1)="&lt;",LEFT(E225,1)="&gt;"),VALUE(MID(E225,2,5)),E225)</f>
        <v>12.84</v>
      </c>
      <c r="AG225" s="102">
        <f t="shared" ref="AG225:AG249" si="48">IF(OR(LEFT(F225,1)="&lt;",LEFT(F225,1)="&gt;"),VALUE(MID(F225,2,5)),F225)</f>
        <v>93</v>
      </c>
      <c r="AH225" s="102">
        <f t="shared" ref="AH225:AH249" si="49">IF(OR(LEFT(G225,1)="&lt;",LEFT(G225,1)="&gt;"),VALUE(MID(G225,2,5)),G225)</f>
        <v>8.1</v>
      </c>
      <c r="AI225" s="102">
        <f t="shared" ref="AI225:AI249" si="50">IF(OR(LEFT(H225,1)="&lt;",LEFT(H225,1)="&gt;"),VALUE(MID(H225,2,5)),H225)</f>
        <v>1.9</v>
      </c>
      <c r="AJ225" s="102">
        <f t="shared" ref="AJ225:AJ249" si="51">IF(OR(LEFT(I225,1)="&lt;",LEFT(I225,1)="&gt;"),VALUE(MID(I225,2,5)),I225)</f>
        <v>34.9</v>
      </c>
      <c r="AK225" s="102">
        <f t="shared" ref="AK225:AK249" si="52">IF(OR(LEFT(J225,1)="&lt;",LEFT(J225,1)="&gt;"),VALUE(MID(J225,2,5)),J225)</f>
        <v>1.5</v>
      </c>
      <c r="AL225" s="102">
        <f t="shared" ref="AL225:AL249" si="53">IF(OR(LEFT(K225,1)="&lt;",LEFT(K225,1)="&gt;"),VALUE(MID(K225,2,5)),K225)</f>
        <v>31</v>
      </c>
      <c r="AM225" s="102">
        <f t="shared" ref="AM225:AM249" si="54">IF(OR(LEFT(L225,1)="&lt;",LEFT(L225,1)="&gt;"),VALUE(MID(L225,2,5)),L225)</f>
        <v>50</v>
      </c>
      <c r="AN225" s="102">
        <f t="shared" ref="AN225:AN249" si="55">IF(OR(LEFT(M225,1)="&lt;",LEFT(M225,1)="&gt;"),VALUE(MID(M225,2,5)),M225)</f>
        <v>1100</v>
      </c>
      <c r="AO225" s="102">
        <f t="shared" ref="AO225:AO249" si="56">IF(OR(LEFT(N225,1)="&lt;",LEFT(N225,1)="&gt;"),VALUE(MID(N225,2,5)),N225)</f>
        <v>140</v>
      </c>
      <c r="AP225" s="102">
        <f t="shared" ref="AP225:AP249" si="57">IF(OR(LEFT(O225,1)="&lt;",LEFT(O225,1)="&gt;"),VALUE(MID(O225,2,5)),O225)</f>
        <v>1800</v>
      </c>
      <c r="AQ225" s="102" t="str">
        <f t="shared" ref="AQ225:AQ249" si="58">IF(OR(LEFT(Q225,1)="&lt;",LEFT(Q225,1)="&gt;"),VALUE(MID(Q225,2,5)),Q225)</f>
        <v/>
      </c>
    </row>
    <row r="226" spans="1:43" s="102" customFormat="1" ht="12" customHeight="1">
      <c r="A226" s="117">
        <v>27</v>
      </c>
      <c r="B226" s="102" t="str">
        <f>RS!D154</f>
        <v>50  Klingavälsån, vid Sövdesjöns utlopp</v>
      </c>
      <c r="C226" s="206">
        <f>RS!E154</f>
        <v>45734</v>
      </c>
      <c r="D226" s="222">
        <f>RS!F154</f>
        <v>4.7</v>
      </c>
      <c r="E226" s="222">
        <f>RS!G154</f>
        <v>14.25</v>
      </c>
      <c r="F226" s="218">
        <f>RS!H154</f>
        <v>111</v>
      </c>
      <c r="G226" s="222">
        <f>RS!I154</f>
        <v>8.5</v>
      </c>
      <c r="H226" s="222">
        <f>RS!J154</f>
        <v>1.9</v>
      </c>
      <c r="I226" s="222">
        <f>RS!K154</f>
        <v>33.799999999999997</v>
      </c>
      <c r="J226" s="102">
        <f>RS!L154</f>
        <v>3</v>
      </c>
      <c r="K226" s="218" t="str">
        <f>RS!M154</f>
        <v>&lt;2</v>
      </c>
      <c r="L226" s="218">
        <f>RS!N154</f>
        <v>28</v>
      </c>
      <c r="M226" s="218">
        <f>RS!O154</f>
        <v>780</v>
      </c>
      <c r="N226" s="218">
        <f>RS!P154</f>
        <v>16</v>
      </c>
      <c r="O226" s="218">
        <f>RS!Q154</f>
        <v>1300</v>
      </c>
      <c r="P226" s="222" t="str">
        <f>RS!R154</f>
        <v/>
      </c>
      <c r="Q226" s="222" t="str">
        <f>RS!S154</f>
        <v/>
      </c>
      <c r="R226" s="609" t="str">
        <f>RS!T154</f>
        <v/>
      </c>
      <c r="S226" s="429"/>
      <c r="T226" s="430"/>
      <c r="U226" s="422"/>
      <c r="V226" s="423"/>
      <c r="W226" s="431"/>
      <c r="X226" s="432"/>
      <c r="Y226" s="421"/>
      <c r="Z226" s="421"/>
      <c r="AA226" s="421"/>
      <c r="AB226" s="411"/>
      <c r="AC226" s="411"/>
      <c r="AD226" s="411"/>
      <c r="AE226" s="102">
        <f t="shared" si="46"/>
        <v>4.7</v>
      </c>
      <c r="AF226" s="102">
        <f t="shared" si="47"/>
        <v>14.25</v>
      </c>
      <c r="AG226" s="102">
        <f t="shared" si="48"/>
        <v>111</v>
      </c>
      <c r="AH226" s="102">
        <f t="shared" si="49"/>
        <v>8.5</v>
      </c>
      <c r="AI226" s="102">
        <f t="shared" si="50"/>
        <v>1.9</v>
      </c>
      <c r="AJ226" s="102">
        <f t="shared" si="51"/>
        <v>33.799999999999997</v>
      </c>
      <c r="AK226" s="102">
        <f t="shared" si="52"/>
        <v>3</v>
      </c>
      <c r="AL226" s="102">
        <f t="shared" si="53"/>
        <v>2</v>
      </c>
      <c r="AM226" s="102">
        <f t="shared" si="54"/>
        <v>28</v>
      </c>
      <c r="AN226" s="102">
        <f t="shared" si="55"/>
        <v>780</v>
      </c>
      <c r="AO226" s="102">
        <f t="shared" si="56"/>
        <v>16</v>
      </c>
      <c r="AP226" s="102">
        <f t="shared" si="57"/>
        <v>1300</v>
      </c>
      <c r="AQ226" s="102" t="str">
        <f t="shared" si="58"/>
        <v/>
      </c>
    </row>
    <row r="227" spans="1:43" s="102" customFormat="1" ht="12" customHeight="1">
      <c r="A227" s="117">
        <v>27</v>
      </c>
      <c r="B227" s="102" t="str">
        <f>RS!D155</f>
        <v>50  Klingavälsån, vid Sövdesjöns utlopp</v>
      </c>
      <c r="C227" s="206">
        <f>RS!E155</f>
        <v>45848</v>
      </c>
      <c r="D227" s="222">
        <f>RS!F155</f>
        <v>20</v>
      </c>
      <c r="E227" s="222">
        <f>RS!G155</f>
        <v>7.88</v>
      </c>
      <c r="F227" s="218">
        <f>RS!H155</f>
        <v>87</v>
      </c>
      <c r="G227" s="222">
        <f>RS!I155</f>
        <v>8.1999999999999993</v>
      </c>
      <c r="H227" s="222">
        <f>RS!J155</f>
        <v>6.4</v>
      </c>
      <c r="I227" s="222">
        <f>RS!K155</f>
        <v>35.5</v>
      </c>
      <c r="J227" s="102">
        <f>RS!L155</f>
        <v>3.6</v>
      </c>
      <c r="K227" s="218">
        <f>RS!M155</f>
        <v>3.9</v>
      </c>
      <c r="L227" s="218">
        <f>RS!N155</f>
        <v>66</v>
      </c>
      <c r="M227" s="218">
        <f>RS!O155</f>
        <v>31</v>
      </c>
      <c r="N227" s="218">
        <f>RS!P155</f>
        <v>100</v>
      </c>
      <c r="O227" s="218">
        <f>RS!Q155</f>
        <v>970</v>
      </c>
      <c r="P227" s="222" t="str">
        <f>RS!R155</f>
        <v/>
      </c>
      <c r="Q227" s="222" t="str">
        <f>RS!S155</f>
        <v/>
      </c>
      <c r="R227" s="609" t="str">
        <f>RS!T155</f>
        <v/>
      </c>
      <c r="S227" s="420"/>
      <c r="T227" s="421"/>
      <c r="U227" s="422"/>
      <c r="V227" s="423"/>
      <c r="W227" s="421"/>
      <c r="X227" s="421"/>
      <c r="Y227" s="421"/>
      <c r="Z227" s="421"/>
      <c r="AA227" s="421"/>
      <c r="AB227" s="411"/>
      <c r="AC227" s="411"/>
      <c r="AD227" s="411"/>
      <c r="AE227" s="102">
        <f t="shared" si="46"/>
        <v>20</v>
      </c>
      <c r="AF227" s="102">
        <f t="shared" si="47"/>
        <v>7.88</v>
      </c>
      <c r="AG227" s="102">
        <f t="shared" si="48"/>
        <v>87</v>
      </c>
      <c r="AH227" s="102">
        <f t="shared" si="49"/>
        <v>8.1999999999999993</v>
      </c>
      <c r="AI227" s="102">
        <f t="shared" si="50"/>
        <v>6.4</v>
      </c>
      <c r="AJ227" s="102">
        <f t="shared" si="51"/>
        <v>35.5</v>
      </c>
      <c r="AK227" s="102">
        <f t="shared" si="52"/>
        <v>3.6</v>
      </c>
      <c r="AL227" s="102">
        <f t="shared" si="53"/>
        <v>3.9</v>
      </c>
      <c r="AM227" s="102">
        <f t="shared" si="54"/>
        <v>66</v>
      </c>
      <c r="AN227" s="102">
        <f t="shared" si="55"/>
        <v>31</v>
      </c>
      <c r="AO227" s="102">
        <f t="shared" si="56"/>
        <v>100</v>
      </c>
      <c r="AP227" s="102">
        <f t="shared" si="57"/>
        <v>970</v>
      </c>
      <c r="AQ227" s="102" t="str">
        <f t="shared" si="58"/>
        <v/>
      </c>
    </row>
    <row r="228" spans="1:43" s="102" customFormat="1" ht="12" customHeight="1">
      <c r="A228" s="117">
        <v>27</v>
      </c>
      <c r="B228" s="102" t="str">
        <f>RS!D156</f>
        <v>50  Klingavälsån, vid Sövdesjöns utlopp</v>
      </c>
      <c r="C228" s="206" t="str">
        <f>RS!E156</f>
        <v/>
      </c>
      <c r="D228" s="222" t="str">
        <f>RS!F156</f>
        <v/>
      </c>
      <c r="E228" s="222" t="str">
        <f>RS!G156</f>
        <v/>
      </c>
      <c r="F228" s="218" t="str">
        <f>RS!H156</f>
        <v/>
      </c>
      <c r="G228" s="222" t="str">
        <f>RS!I156</f>
        <v/>
      </c>
      <c r="H228" s="222" t="str">
        <f>RS!J156</f>
        <v/>
      </c>
      <c r="I228" s="222" t="str">
        <f>RS!K156</f>
        <v/>
      </c>
      <c r="J228" s="102" t="str">
        <f>RS!L156</f>
        <v/>
      </c>
      <c r="K228" s="218" t="str">
        <f>RS!M156</f>
        <v/>
      </c>
      <c r="L228" s="218" t="str">
        <f>RS!N156</f>
        <v/>
      </c>
      <c r="M228" s="218" t="str">
        <f>RS!O156</f>
        <v/>
      </c>
      <c r="N228" s="218" t="str">
        <f>RS!P156</f>
        <v/>
      </c>
      <c r="O228" s="218" t="str">
        <f>RS!Q156</f>
        <v/>
      </c>
      <c r="P228" s="222" t="str">
        <f>RS!R156</f>
        <v/>
      </c>
      <c r="Q228" s="222" t="str">
        <f>RS!S156</f>
        <v/>
      </c>
      <c r="R228" s="609" t="str">
        <f>RS!T156</f>
        <v/>
      </c>
      <c r="S228" s="420"/>
      <c r="T228" s="421"/>
      <c r="U228" s="422"/>
      <c r="V228" s="423"/>
      <c r="W228" s="421"/>
      <c r="X228" s="421"/>
      <c r="Y228" s="421"/>
      <c r="Z228" s="421"/>
      <c r="AA228" s="421"/>
      <c r="AB228" s="411"/>
      <c r="AC228" s="411"/>
      <c r="AD228" s="411"/>
      <c r="AE228" s="102" t="str">
        <f t="shared" si="46"/>
        <v/>
      </c>
      <c r="AF228" s="102" t="str">
        <f t="shared" si="47"/>
        <v/>
      </c>
      <c r="AG228" s="102" t="str">
        <f t="shared" si="48"/>
        <v/>
      </c>
      <c r="AH228" s="102" t="str">
        <f t="shared" si="49"/>
        <v/>
      </c>
      <c r="AI228" s="102" t="str">
        <f t="shared" si="50"/>
        <v/>
      </c>
      <c r="AJ228" s="102" t="str">
        <f t="shared" si="51"/>
        <v/>
      </c>
      <c r="AK228" s="102" t="str">
        <f t="shared" si="52"/>
        <v/>
      </c>
      <c r="AL228" s="102" t="str">
        <f t="shared" si="53"/>
        <v/>
      </c>
      <c r="AM228" s="102" t="str">
        <f t="shared" si="54"/>
        <v/>
      </c>
      <c r="AN228" s="102" t="str">
        <f t="shared" si="55"/>
        <v/>
      </c>
      <c r="AO228" s="102" t="str">
        <f t="shared" si="56"/>
        <v/>
      </c>
      <c r="AP228" s="102" t="str">
        <f t="shared" si="57"/>
        <v/>
      </c>
      <c r="AQ228" s="102" t="str">
        <f t="shared" si="58"/>
        <v/>
      </c>
    </row>
    <row r="229" spans="1:43" s="102" customFormat="1" ht="12" customHeight="1">
      <c r="A229" s="117">
        <v>27</v>
      </c>
      <c r="B229" s="102" t="str">
        <f>RS!D157</f>
        <v>50  Klingavälsån, vid Sövdesjöns utlopp</v>
      </c>
      <c r="C229" s="206" t="str">
        <f>RS!E157</f>
        <v/>
      </c>
      <c r="D229" s="222" t="str">
        <f>RS!F157</f>
        <v/>
      </c>
      <c r="E229" s="222" t="str">
        <f>RS!G157</f>
        <v/>
      </c>
      <c r="F229" s="218" t="str">
        <f>RS!H157</f>
        <v/>
      </c>
      <c r="G229" s="222" t="str">
        <f>RS!I157</f>
        <v/>
      </c>
      <c r="H229" s="222" t="str">
        <f>RS!J157</f>
        <v/>
      </c>
      <c r="I229" s="222" t="str">
        <f>RS!K157</f>
        <v/>
      </c>
      <c r="J229" s="102" t="str">
        <f>RS!L157</f>
        <v/>
      </c>
      <c r="K229" s="218" t="str">
        <f>RS!M157</f>
        <v/>
      </c>
      <c r="L229" s="218" t="str">
        <f>RS!N157</f>
        <v/>
      </c>
      <c r="M229" s="218" t="str">
        <f>RS!O157</f>
        <v/>
      </c>
      <c r="N229" s="218" t="str">
        <f>RS!P157</f>
        <v/>
      </c>
      <c r="O229" s="218" t="str">
        <f>RS!Q157</f>
        <v/>
      </c>
      <c r="P229" s="222" t="str">
        <f>RS!R157</f>
        <v/>
      </c>
      <c r="Q229" s="222" t="str">
        <f>RS!S157</f>
        <v/>
      </c>
      <c r="R229" s="609" t="str">
        <f>RS!T157</f>
        <v/>
      </c>
      <c r="S229" s="420"/>
      <c r="T229" s="421"/>
      <c r="U229" s="422"/>
      <c r="V229" s="423"/>
      <c r="W229" s="421"/>
      <c r="X229" s="421"/>
      <c r="Y229" s="421"/>
      <c r="Z229" s="421"/>
      <c r="AA229" s="421"/>
      <c r="AB229" s="411"/>
      <c r="AC229" s="411"/>
      <c r="AD229" s="411"/>
      <c r="AE229" s="102" t="str">
        <f t="shared" si="46"/>
        <v/>
      </c>
      <c r="AF229" s="102" t="str">
        <f t="shared" si="47"/>
        <v/>
      </c>
      <c r="AG229" s="102" t="str">
        <f t="shared" si="48"/>
        <v/>
      </c>
      <c r="AH229" s="102" t="str">
        <f t="shared" si="49"/>
        <v/>
      </c>
      <c r="AI229" s="102" t="str">
        <f t="shared" si="50"/>
        <v/>
      </c>
      <c r="AJ229" s="102" t="str">
        <f t="shared" si="51"/>
        <v/>
      </c>
      <c r="AK229" s="102" t="str">
        <f t="shared" si="52"/>
        <v/>
      </c>
      <c r="AL229" s="102" t="str">
        <f t="shared" si="53"/>
        <v/>
      </c>
      <c r="AM229" s="102" t="str">
        <f t="shared" si="54"/>
        <v/>
      </c>
      <c r="AN229" s="102" t="str">
        <f t="shared" si="55"/>
        <v/>
      </c>
      <c r="AO229" s="102" t="str">
        <f t="shared" si="56"/>
        <v/>
      </c>
      <c r="AP229" s="102" t="str">
        <f t="shared" si="57"/>
        <v/>
      </c>
      <c r="AQ229" s="102" t="str">
        <f t="shared" si="58"/>
        <v/>
      </c>
    </row>
    <row r="230" spans="1:43" s="102" customFormat="1" ht="12">
      <c r="A230" s="117">
        <v>27</v>
      </c>
      <c r="B230" s="102" t="str">
        <f>RS!D158</f>
        <v>50  Klingavälsån, vid Sövdesjöns utlopp</v>
      </c>
      <c r="C230" s="206" t="str">
        <f>RS!E158</f>
        <v>2025-05-13</v>
      </c>
      <c r="D230" s="222">
        <f>RS!F158</f>
        <v>15.2</v>
      </c>
      <c r="E230" s="222">
        <f>RS!G158</f>
        <v>10.3</v>
      </c>
      <c r="F230" s="218">
        <f>RS!H158</f>
        <v>103</v>
      </c>
      <c r="G230" s="222">
        <f>RS!I158</f>
        <v>8.1999999999999993</v>
      </c>
      <c r="H230" s="222">
        <f>RS!J158</f>
        <v>2.8</v>
      </c>
      <c r="I230" s="222">
        <f>RS!K158</f>
        <v>36.200000000000003</v>
      </c>
      <c r="J230" s="102">
        <f>RS!L158</f>
        <v>2</v>
      </c>
      <c r="K230" s="218">
        <f>RS!M158</f>
        <v>6.5</v>
      </c>
      <c r="L230" s="218">
        <f>RS!N158</f>
        <v>30</v>
      </c>
      <c r="M230" s="218">
        <f>RS!O158</f>
        <v>57</v>
      </c>
      <c r="N230" s="218">
        <f>RS!P158</f>
        <v>61</v>
      </c>
      <c r="O230" s="218">
        <f>RS!Q158</f>
        <v>970</v>
      </c>
      <c r="P230" s="222" t="str">
        <f>RS!R158</f>
        <v/>
      </c>
      <c r="Q230" s="222" t="str">
        <f>RS!S158</f>
        <v/>
      </c>
      <c r="R230" s="609" t="str">
        <f>RS!T158</f>
        <v/>
      </c>
      <c r="S230" s="420"/>
      <c r="T230" s="421"/>
      <c r="U230" s="422"/>
      <c r="V230" s="423"/>
      <c r="W230" s="421"/>
      <c r="X230" s="421"/>
      <c r="Y230" s="421"/>
      <c r="Z230" s="421"/>
      <c r="AA230" s="421"/>
      <c r="AB230" s="411"/>
      <c r="AC230" s="411"/>
      <c r="AD230" s="411"/>
      <c r="AE230" s="102">
        <f t="shared" si="46"/>
        <v>15.2</v>
      </c>
      <c r="AF230" s="102">
        <f t="shared" si="47"/>
        <v>10.3</v>
      </c>
      <c r="AG230" s="102">
        <f t="shared" si="48"/>
        <v>103</v>
      </c>
      <c r="AH230" s="102">
        <f t="shared" si="49"/>
        <v>8.1999999999999993</v>
      </c>
      <c r="AI230" s="102">
        <f t="shared" si="50"/>
        <v>2.8</v>
      </c>
      <c r="AJ230" s="102">
        <f t="shared" si="51"/>
        <v>36.200000000000003</v>
      </c>
      <c r="AK230" s="102">
        <f t="shared" si="52"/>
        <v>2</v>
      </c>
      <c r="AL230" s="102">
        <f t="shared" si="53"/>
        <v>6.5</v>
      </c>
      <c r="AM230" s="102">
        <f t="shared" si="54"/>
        <v>30</v>
      </c>
      <c r="AN230" s="102">
        <f t="shared" si="55"/>
        <v>57</v>
      </c>
      <c r="AO230" s="102">
        <f t="shared" si="56"/>
        <v>61</v>
      </c>
      <c r="AP230" s="102">
        <f t="shared" si="57"/>
        <v>970</v>
      </c>
      <c r="AQ230" s="102" t="str">
        <f t="shared" si="58"/>
        <v/>
      </c>
    </row>
    <row r="231" spans="1:43" s="102" customFormat="1" ht="12">
      <c r="A231" s="117"/>
      <c r="C231" s="610" t="s">
        <v>150</v>
      </c>
      <c r="D231" s="611">
        <f t="shared" ref="D231:O231" si="59">AVERAGE(AE225:AE230)</f>
        <v>10.524999999999999</v>
      </c>
      <c r="E231" s="611">
        <f t="shared" si="59"/>
        <v>11.317499999999999</v>
      </c>
      <c r="F231" s="612">
        <f t="shared" si="59"/>
        <v>98.5</v>
      </c>
      <c r="G231" s="611">
        <f t="shared" si="59"/>
        <v>8.25</v>
      </c>
      <c r="H231" s="611">
        <f t="shared" si="59"/>
        <v>3.25</v>
      </c>
      <c r="I231" s="611">
        <f t="shared" si="59"/>
        <v>35.099999999999994</v>
      </c>
      <c r="J231" s="611">
        <f t="shared" si="59"/>
        <v>2.5249999999999999</v>
      </c>
      <c r="K231" s="612">
        <f t="shared" si="59"/>
        <v>10.85</v>
      </c>
      <c r="L231" s="612">
        <f t="shared" si="59"/>
        <v>43.5</v>
      </c>
      <c r="M231" s="612">
        <f t="shared" si="59"/>
        <v>492</v>
      </c>
      <c r="N231" s="612">
        <f t="shared" si="59"/>
        <v>79.25</v>
      </c>
      <c r="O231" s="612">
        <f t="shared" si="59"/>
        <v>1260</v>
      </c>
      <c r="P231" s="611"/>
      <c r="Q231" s="715"/>
      <c r="R231" s="307"/>
      <c r="S231" s="420"/>
      <c r="T231" s="421"/>
      <c r="U231" s="422"/>
      <c r="V231" s="423"/>
      <c r="W231" s="421"/>
      <c r="X231" s="421"/>
      <c r="Y231" s="421"/>
      <c r="Z231" s="421"/>
      <c r="AA231" s="421"/>
      <c r="AB231" s="411"/>
      <c r="AC231" s="411"/>
      <c r="AD231" s="411"/>
      <c r="AE231" s="102">
        <f t="shared" si="46"/>
        <v>10.524999999999999</v>
      </c>
      <c r="AF231" s="102">
        <f t="shared" si="47"/>
        <v>11.317499999999999</v>
      </c>
      <c r="AG231" s="102">
        <f t="shared" si="48"/>
        <v>98.5</v>
      </c>
      <c r="AH231" s="102">
        <f t="shared" si="49"/>
        <v>8.25</v>
      </c>
      <c r="AI231" s="102">
        <f t="shared" si="50"/>
        <v>3.25</v>
      </c>
      <c r="AJ231" s="102">
        <f t="shared" si="51"/>
        <v>35.099999999999994</v>
      </c>
      <c r="AK231" s="102">
        <f t="shared" si="52"/>
        <v>2.5249999999999999</v>
      </c>
      <c r="AL231" s="102">
        <f t="shared" si="53"/>
        <v>10.85</v>
      </c>
      <c r="AM231" s="102">
        <f t="shared" si="54"/>
        <v>43.5</v>
      </c>
      <c r="AN231" s="102">
        <f t="shared" si="55"/>
        <v>492</v>
      </c>
      <c r="AO231" s="102">
        <f t="shared" si="56"/>
        <v>79.25</v>
      </c>
      <c r="AP231" s="102">
        <f t="shared" si="57"/>
        <v>1260</v>
      </c>
      <c r="AQ231" s="102">
        <f t="shared" si="58"/>
        <v>0</v>
      </c>
    </row>
    <row r="232" spans="1:43" s="102" customFormat="1" ht="12">
      <c r="A232" s="117"/>
      <c r="C232" s="613" t="s">
        <v>151</v>
      </c>
      <c r="D232" s="614">
        <f t="shared" ref="D232:O232" si="60">MAX(AE225:AE230)</f>
        <v>20</v>
      </c>
      <c r="E232" s="614">
        <f t="shared" si="60"/>
        <v>14.25</v>
      </c>
      <c r="F232" s="615">
        <f t="shared" si="60"/>
        <v>111</v>
      </c>
      <c r="G232" s="614">
        <f t="shared" si="60"/>
        <v>8.5</v>
      </c>
      <c r="H232" s="614">
        <f t="shared" si="60"/>
        <v>6.4</v>
      </c>
      <c r="I232" s="614">
        <f t="shared" si="60"/>
        <v>36.200000000000003</v>
      </c>
      <c r="J232" s="614">
        <f t="shared" si="60"/>
        <v>3.6</v>
      </c>
      <c r="K232" s="615">
        <f t="shared" si="60"/>
        <v>31</v>
      </c>
      <c r="L232" s="615">
        <f t="shared" si="60"/>
        <v>66</v>
      </c>
      <c r="M232" s="615">
        <f t="shared" si="60"/>
        <v>1100</v>
      </c>
      <c r="N232" s="615">
        <f t="shared" si="60"/>
        <v>140</v>
      </c>
      <c r="O232" s="615">
        <f t="shared" si="60"/>
        <v>1800</v>
      </c>
      <c r="P232" s="614"/>
      <c r="Q232" s="716"/>
      <c r="R232" s="307"/>
      <c r="S232" s="420"/>
      <c r="T232" s="421"/>
      <c r="U232" s="422"/>
      <c r="V232" s="423"/>
      <c r="W232" s="421"/>
      <c r="X232" s="421"/>
      <c r="Y232" s="421"/>
      <c r="Z232" s="421"/>
      <c r="AA232" s="421"/>
      <c r="AB232" s="411"/>
      <c r="AC232" s="411"/>
      <c r="AD232" s="411"/>
      <c r="AE232" s="102">
        <f t="shared" si="46"/>
        <v>20</v>
      </c>
      <c r="AF232" s="102">
        <f t="shared" si="47"/>
        <v>14.25</v>
      </c>
      <c r="AG232" s="102">
        <f t="shared" si="48"/>
        <v>111</v>
      </c>
      <c r="AH232" s="102">
        <f t="shared" si="49"/>
        <v>8.5</v>
      </c>
      <c r="AI232" s="102">
        <f t="shared" si="50"/>
        <v>6.4</v>
      </c>
      <c r="AJ232" s="102">
        <f t="shared" si="51"/>
        <v>36.200000000000003</v>
      </c>
      <c r="AK232" s="102">
        <f t="shared" si="52"/>
        <v>3.6</v>
      </c>
      <c r="AL232" s="102">
        <f t="shared" si="53"/>
        <v>31</v>
      </c>
      <c r="AM232" s="102">
        <f t="shared" si="54"/>
        <v>66</v>
      </c>
      <c r="AN232" s="102">
        <f t="shared" si="55"/>
        <v>1100</v>
      </c>
      <c r="AO232" s="102">
        <f t="shared" si="56"/>
        <v>140</v>
      </c>
      <c r="AP232" s="102">
        <f t="shared" si="57"/>
        <v>1800</v>
      </c>
      <c r="AQ232" s="102">
        <f t="shared" si="58"/>
        <v>0</v>
      </c>
    </row>
    <row r="233" spans="1:43" s="102" customFormat="1" ht="12">
      <c r="A233" s="117"/>
      <c r="C233" s="616" t="s">
        <v>152</v>
      </c>
      <c r="D233" s="617">
        <f t="shared" ref="D233:O233" si="61">MIN(AE225:AE230)</f>
        <v>2.2000000000000002</v>
      </c>
      <c r="E233" s="617">
        <f t="shared" si="61"/>
        <v>7.88</v>
      </c>
      <c r="F233" s="618">
        <f t="shared" si="61"/>
        <v>87</v>
      </c>
      <c r="G233" s="617">
        <f t="shared" si="61"/>
        <v>8.1</v>
      </c>
      <c r="H233" s="617">
        <f t="shared" si="61"/>
        <v>1.9</v>
      </c>
      <c r="I233" s="617">
        <f t="shared" si="61"/>
        <v>33.799999999999997</v>
      </c>
      <c r="J233" s="617">
        <f t="shared" si="61"/>
        <v>1.5</v>
      </c>
      <c r="K233" s="618">
        <f t="shared" si="61"/>
        <v>2</v>
      </c>
      <c r="L233" s="618">
        <f t="shared" si="61"/>
        <v>28</v>
      </c>
      <c r="M233" s="618">
        <f t="shared" si="61"/>
        <v>31</v>
      </c>
      <c r="N233" s="618">
        <f t="shared" si="61"/>
        <v>16</v>
      </c>
      <c r="O233" s="618">
        <f t="shared" si="61"/>
        <v>970</v>
      </c>
      <c r="P233" s="617"/>
      <c r="Q233" s="717"/>
      <c r="R233" s="307"/>
      <c r="S233" s="420"/>
      <c r="T233" s="421"/>
      <c r="U233" s="422"/>
      <c r="V233" s="423"/>
      <c r="W233" s="421"/>
      <c r="X233" s="421"/>
      <c r="Y233" s="421"/>
      <c r="Z233" s="421"/>
      <c r="AA233" s="421"/>
      <c r="AB233" s="411"/>
      <c r="AC233" s="411"/>
      <c r="AD233" s="411"/>
      <c r="AE233" s="102">
        <f t="shared" si="46"/>
        <v>2.2000000000000002</v>
      </c>
      <c r="AF233" s="102">
        <f t="shared" si="47"/>
        <v>7.88</v>
      </c>
      <c r="AG233" s="102">
        <f t="shared" si="48"/>
        <v>87</v>
      </c>
      <c r="AH233" s="102">
        <f t="shared" si="49"/>
        <v>8.1</v>
      </c>
      <c r="AI233" s="102">
        <f t="shared" si="50"/>
        <v>1.9</v>
      </c>
      <c r="AJ233" s="102">
        <f t="shared" si="51"/>
        <v>33.799999999999997</v>
      </c>
      <c r="AK233" s="102">
        <f t="shared" si="52"/>
        <v>1.5</v>
      </c>
      <c r="AL233" s="102">
        <f t="shared" si="53"/>
        <v>2</v>
      </c>
      <c r="AM233" s="102">
        <f t="shared" si="54"/>
        <v>28</v>
      </c>
      <c r="AN233" s="102">
        <f t="shared" si="55"/>
        <v>31</v>
      </c>
      <c r="AO233" s="102">
        <f t="shared" si="56"/>
        <v>16</v>
      </c>
      <c r="AP233" s="102">
        <f t="shared" si="57"/>
        <v>970</v>
      </c>
      <c r="AQ233" s="102">
        <f t="shared" si="58"/>
        <v>0</v>
      </c>
    </row>
    <row r="234" spans="1:43" s="102" customFormat="1" ht="12">
      <c r="A234" s="117"/>
      <c r="B234" s="411"/>
      <c r="C234" s="619"/>
      <c r="D234" s="620"/>
      <c r="E234" s="620"/>
      <c r="F234" s="621"/>
      <c r="G234" s="620"/>
      <c r="H234" s="620"/>
      <c r="I234" s="620"/>
      <c r="J234" s="622"/>
      <c r="K234" s="622"/>
      <c r="L234" s="622"/>
      <c r="M234" s="622"/>
      <c r="N234" s="622"/>
      <c r="O234" s="622"/>
      <c r="P234" s="620"/>
      <c r="Q234" s="620"/>
      <c r="R234" s="387"/>
      <c r="S234" s="420"/>
      <c r="T234" s="421"/>
      <c r="U234" s="422"/>
      <c r="V234" s="423"/>
      <c r="W234" s="421"/>
      <c r="X234" s="421"/>
      <c r="Y234" s="421"/>
      <c r="Z234" s="421"/>
      <c r="AA234" s="421"/>
      <c r="AB234" s="411"/>
      <c r="AC234" s="411"/>
      <c r="AD234" s="411"/>
      <c r="AE234" s="102">
        <f t="shared" si="46"/>
        <v>0</v>
      </c>
      <c r="AF234" s="102">
        <f t="shared" si="47"/>
        <v>0</v>
      </c>
      <c r="AG234" s="102">
        <f t="shared" si="48"/>
        <v>0</v>
      </c>
      <c r="AH234" s="102">
        <f t="shared" si="49"/>
        <v>0</v>
      </c>
      <c r="AI234" s="102">
        <f t="shared" si="50"/>
        <v>0</v>
      </c>
      <c r="AJ234" s="102">
        <f t="shared" si="51"/>
        <v>0</v>
      </c>
      <c r="AK234" s="102">
        <f t="shared" si="52"/>
        <v>0</v>
      </c>
      <c r="AL234" s="102">
        <f t="shared" si="53"/>
        <v>0</v>
      </c>
      <c r="AM234" s="102">
        <f t="shared" si="54"/>
        <v>0</v>
      </c>
      <c r="AN234" s="102">
        <f t="shared" si="55"/>
        <v>0</v>
      </c>
      <c r="AO234" s="102">
        <f t="shared" si="56"/>
        <v>0</v>
      </c>
      <c r="AP234" s="102">
        <f t="shared" si="57"/>
        <v>0</v>
      </c>
      <c r="AQ234" s="102">
        <f t="shared" si="58"/>
        <v>0</v>
      </c>
    </row>
    <row r="235" spans="1:43" s="102" customFormat="1" ht="12" customHeight="1">
      <c r="A235" s="118">
        <v>29</v>
      </c>
      <c r="B235" s="102" t="str">
        <f>RS!D159</f>
        <v>18  Vombsjön, djuphålan, yta</v>
      </c>
      <c r="C235" s="206">
        <f>RS!E159</f>
        <v>45670</v>
      </c>
      <c r="D235" s="222">
        <f>RS!F159</f>
        <v>1.5</v>
      </c>
      <c r="E235" s="222">
        <f>RS!G159</f>
        <v>13.74</v>
      </c>
      <c r="F235" s="218">
        <f>RS!H159</f>
        <v>98</v>
      </c>
      <c r="G235" s="222">
        <f>RS!I159</f>
        <v>8.1999999999999993</v>
      </c>
      <c r="H235" s="222">
        <f>RS!J159</f>
        <v>6.4</v>
      </c>
      <c r="I235" s="222">
        <f>RS!K159</f>
        <v>41</v>
      </c>
      <c r="J235" s="102" t="str">
        <f>RS!L159</f>
        <v/>
      </c>
      <c r="K235" s="218">
        <f>RS!M159</f>
        <v>44</v>
      </c>
      <c r="L235" s="218">
        <f>RS!N159</f>
        <v>82</v>
      </c>
      <c r="M235" s="218">
        <f>RS!O159</f>
        <v>3700</v>
      </c>
      <c r="N235" s="218">
        <f>RS!P159</f>
        <v>18</v>
      </c>
      <c r="O235" s="218">
        <f>RS!Q159</f>
        <v>4000</v>
      </c>
      <c r="P235" s="222" t="str">
        <f>RS!R159</f>
        <v/>
      </c>
      <c r="Q235" s="222">
        <f>RS!S159</f>
        <v>1.5</v>
      </c>
      <c r="R235" s="609" t="str">
        <f>RS!T159</f>
        <v>Istäckt</v>
      </c>
      <c r="S235" s="421"/>
      <c r="T235" s="411"/>
      <c r="U235" s="423"/>
      <c r="V235" s="423"/>
      <c r="W235" s="424"/>
      <c r="X235" s="425"/>
      <c r="Y235" s="425"/>
      <c r="Z235" s="411"/>
      <c r="AA235" s="411"/>
      <c r="AB235" s="411"/>
      <c r="AC235" s="411"/>
      <c r="AD235" s="411"/>
      <c r="AE235" s="102">
        <f t="shared" si="46"/>
        <v>1.5</v>
      </c>
      <c r="AF235" s="102">
        <f t="shared" si="47"/>
        <v>13.74</v>
      </c>
      <c r="AG235" s="102">
        <f t="shared" si="48"/>
        <v>98</v>
      </c>
      <c r="AH235" s="102">
        <f t="shared" si="49"/>
        <v>8.1999999999999993</v>
      </c>
      <c r="AI235" s="102">
        <f t="shared" si="50"/>
        <v>6.4</v>
      </c>
      <c r="AJ235" s="102">
        <f t="shared" si="51"/>
        <v>41</v>
      </c>
      <c r="AK235" s="102" t="str">
        <f t="shared" si="52"/>
        <v/>
      </c>
      <c r="AL235" s="102">
        <f t="shared" si="53"/>
        <v>44</v>
      </c>
      <c r="AM235" s="102">
        <f t="shared" si="54"/>
        <v>82</v>
      </c>
      <c r="AN235" s="102">
        <f t="shared" si="55"/>
        <v>3700</v>
      </c>
      <c r="AO235" s="102">
        <f t="shared" si="56"/>
        <v>18</v>
      </c>
      <c r="AP235" s="102">
        <f t="shared" si="57"/>
        <v>4000</v>
      </c>
      <c r="AQ235" s="102">
        <f t="shared" si="58"/>
        <v>1.5</v>
      </c>
    </row>
    <row r="236" spans="1:43" s="102" customFormat="1" ht="12" customHeight="1">
      <c r="A236" s="118">
        <v>29</v>
      </c>
      <c r="B236" s="102" t="str">
        <f>RS!D160</f>
        <v>18  Vombsjön, djuphålan, yta</v>
      </c>
      <c r="C236" s="206">
        <f>RS!E160</f>
        <v>45728</v>
      </c>
      <c r="D236" s="222">
        <f>RS!F160</f>
        <v>4.3</v>
      </c>
      <c r="E236" s="222">
        <f>RS!G160</f>
        <v>14.6</v>
      </c>
      <c r="F236" s="218">
        <f>RS!H160</f>
        <v>112</v>
      </c>
      <c r="G236" s="222">
        <f>RS!I160</f>
        <v>8.4</v>
      </c>
      <c r="H236" s="222">
        <f>RS!J160</f>
        <v>2.7</v>
      </c>
      <c r="I236" s="222">
        <f>RS!K160</f>
        <v>42.2</v>
      </c>
      <c r="J236" s="102" t="str">
        <f>RS!L160</f>
        <v/>
      </c>
      <c r="K236" s="218">
        <f>RS!M160</f>
        <v>4.8</v>
      </c>
      <c r="L236" s="218">
        <f>RS!N160</f>
        <v>48</v>
      </c>
      <c r="M236" s="218">
        <f>RS!O160</f>
        <v>3100</v>
      </c>
      <c r="N236" s="218" t="str">
        <f>RS!P160</f>
        <v>&lt;10</v>
      </c>
      <c r="O236" s="218">
        <f>RS!Q160</f>
        <v>3700</v>
      </c>
      <c r="P236" s="222" t="str">
        <f>RS!R160</f>
        <v/>
      </c>
      <c r="Q236" s="222">
        <f>RS!S160</f>
        <v>1.6</v>
      </c>
      <c r="R236" s="609" t="str">
        <f>RS!T160</f>
        <v/>
      </c>
      <c r="S236" s="428"/>
      <c r="T236" s="411"/>
      <c r="U236" s="422"/>
      <c r="V236" s="423"/>
      <c r="W236" s="424"/>
      <c r="X236" s="425"/>
      <c r="Y236" s="425"/>
      <c r="Z236" s="424"/>
      <c r="AA236" s="425"/>
      <c r="AB236" s="425"/>
      <c r="AC236" s="425"/>
      <c r="AD236" s="411"/>
      <c r="AE236" s="102">
        <f t="shared" si="46"/>
        <v>4.3</v>
      </c>
      <c r="AF236" s="102">
        <f t="shared" si="47"/>
        <v>14.6</v>
      </c>
      <c r="AG236" s="102">
        <f t="shared" si="48"/>
        <v>112</v>
      </c>
      <c r="AH236" s="102">
        <f t="shared" si="49"/>
        <v>8.4</v>
      </c>
      <c r="AI236" s="102">
        <f t="shared" si="50"/>
        <v>2.7</v>
      </c>
      <c r="AJ236" s="102">
        <f t="shared" si="51"/>
        <v>42.2</v>
      </c>
      <c r="AK236" s="102" t="str">
        <f t="shared" si="52"/>
        <v/>
      </c>
      <c r="AL236" s="102">
        <f t="shared" si="53"/>
        <v>4.8</v>
      </c>
      <c r="AM236" s="102">
        <f t="shared" si="54"/>
        <v>48</v>
      </c>
      <c r="AN236" s="102">
        <f t="shared" si="55"/>
        <v>3100</v>
      </c>
      <c r="AO236" s="102">
        <f t="shared" si="56"/>
        <v>10</v>
      </c>
      <c r="AP236" s="102">
        <f t="shared" si="57"/>
        <v>3700</v>
      </c>
      <c r="AQ236" s="102">
        <f t="shared" si="58"/>
        <v>1.6</v>
      </c>
    </row>
    <row r="237" spans="1:43" s="102" customFormat="1" ht="12" customHeight="1">
      <c r="A237" s="118">
        <v>29</v>
      </c>
      <c r="B237" s="102" t="str">
        <f>RS!D161</f>
        <v>18  Vombsjön, djuphålan, yta</v>
      </c>
      <c r="C237" s="206">
        <f>RS!E161</f>
        <v>45761</v>
      </c>
      <c r="D237" s="222">
        <f>RS!F161</f>
        <v>9.4</v>
      </c>
      <c r="E237" s="222">
        <f>RS!G161</f>
        <v>11.78</v>
      </c>
      <c r="F237" s="218">
        <f>RS!H161</f>
        <v>103</v>
      </c>
      <c r="G237" s="222">
        <f>RS!I161</f>
        <v>8.6999999999999993</v>
      </c>
      <c r="H237" s="222">
        <f>RS!J161</f>
        <v>1.6</v>
      </c>
      <c r="I237" s="222">
        <f>RS!K161</f>
        <v>41.2</v>
      </c>
      <c r="J237" s="102" t="str">
        <f>RS!L161</f>
        <v/>
      </c>
      <c r="K237" s="218" t="str">
        <f>RS!M161</f>
        <v>&lt;2</v>
      </c>
      <c r="L237" s="218">
        <f>RS!N161</f>
        <v>23</v>
      </c>
      <c r="M237" s="218">
        <f>RS!O161</f>
        <v>2400</v>
      </c>
      <c r="N237" s="218">
        <f>RS!P161</f>
        <v>52</v>
      </c>
      <c r="O237" s="218">
        <f>RS!Q161</f>
        <v>2900</v>
      </c>
      <c r="P237" s="222">
        <f>RS!R161</f>
        <v>2.2999999999999998</v>
      </c>
      <c r="Q237" s="222">
        <f>RS!S161</f>
        <v>3.4</v>
      </c>
      <c r="R237" s="609" t="str">
        <f>RS!T161</f>
        <v/>
      </c>
      <c r="S237" s="428"/>
      <c r="T237" s="411"/>
      <c r="U237" s="422"/>
      <c r="V237" s="423"/>
      <c r="W237" s="411"/>
      <c r="X237" s="411"/>
      <c r="Y237" s="411"/>
      <c r="Z237" s="411"/>
      <c r="AA237" s="411"/>
      <c r="AB237" s="411"/>
      <c r="AC237" s="411"/>
      <c r="AD237" s="411"/>
      <c r="AE237" s="102">
        <f t="shared" si="46"/>
        <v>9.4</v>
      </c>
      <c r="AF237" s="102">
        <f t="shared" si="47"/>
        <v>11.78</v>
      </c>
      <c r="AG237" s="102">
        <f t="shared" si="48"/>
        <v>103</v>
      </c>
      <c r="AH237" s="102">
        <f t="shared" si="49"/>
        <v>8.6999999999999993</v>
      </c>
      <c r="AI237" s="102">
        <f t="shared" si="50"/>
        <v>1.6</v>
      </c>
      <c r="AJ237" s="102">
        <f t="shared" si="51"/>
        <v>41.2</v>
      </c>
      <c r="AK237" s="102" t="str">
        <f t="shared" si="52"/>
        <v/>
      </c>
      <c r="AL237" s="102">
        <f t="shared" si="53"/>
        <v>2</v>
      </c>
      <c r="AM237" s="102">
        <f t="shared" si="54"/>
        <v>23</v>
      </c>
      <c r="AN237" s="102">
        <f t="shared" si="55"/>
        <v>2400</v>
      </c>
      <c r="AO237" s="102">
        <f t="shared" si="56"/>
        <v>52</v>
      </c>
      <c r="AP237" s="102">
        <f t="shared" si="57"/>
        <v>2900</v>
      </c>
      <c r="AQ237" s="102">
        <f t="shared" si="58"/>
        <v>3.4</v>
      </c>
    </row>
    <row r="238" spans="1:43" s="102" customFormat="1" ht="12" customHeight="1">
      <c r="A238" s="118">
        <v>29</v>
      </c>
      <c r="B238" s="102" t="str">
        <f>RS!D162</f>
        <v>18  Vombsjön, djuphålan, yta</v>
      </c>
      <c r="C238" s="206" t="str">
        <f>RS!E162</f>
        <v/>
      </c>
      <c r="D238" s="222" t="str">
        <f>RS!F162</f>
        <v/>
      </c>
      <c r="E238" s="222" t="str">
        <f>RS!G162</f>
        <v/>
      </c>
      <c r="F238" s="218" t="str">
        <f>RS!H162</f>
        <v/>
      </c>
      <c r="G238" s="222" t="str">
        <f>RS!I162</f>
        <v/>
      </c>
      <c r="H238" s="222" t="str">
        <f>RS!J162</f>
        <v/>
      </c>
      <c r="I238" s="222" t="str">
        <f>RS!K162</f>
        <v/>
      </c>
      <c r="J238" s="102" t="str">
        <f>RS!L162</f>
        <v/>
      </c>
      <c r="K238" s="218" t="str">
        <f>RS!M162</f>
        <v/>
      </c>
      <c r="L238" s="218" t="str">
        <f>RS!N162</f>
        <v/>
      </c>
      <c r="M238" s="218" t="str">
        <f>RS!O162</f>
        <v/>
      </c>
      <c r="N238" s="218" t="str">
        <f>RS!P162</f>
        <v/>
      </c>
      <c r="O238" s="218" t="str">
        <f>RS!Q162</f>
        <v/>
      </c>
      <c r="P238" s="222" t="str">
        <f>RS!R162</f>
        <v/>
      </c>
      <c r="Q238" s="222" t="str">
        <f>RS!S162</f>
        <v/>
      </c>
      <c r="R238" s="609" t="str">
        <f>RS!T162</f>
        <v>istäckt,  inte möjligt att provta</v>
      </c>
      <c r="S238" s="429"/>
      <c r="T238" s="430"/>
      <c r="U238" s="422"/>
      <c r="V238" s="423"/>
      <c r="W238" s="431"/>
      <c r="X238" s="432"/>
      <c r="Y238" s="421"/>
      <c r="Z238" s="421"/>
      <c r="AA238" s="421"/>
      <c r="AB238" s="411"/>
      <c r="AC238" s="411"/>
      <c r="AD238" s="411"/>
      <c r="AE238" s="102" t="str">
        <f t="shared" si="46"/>
        <v/>
      </c>
      <c r="AF238" s="102" t="str">
        <f t="shared" si="47"/>
        <v/>
      </c>
      <c r="AG238" s="102" t="str">
        <f t="shared" si="48"/>
        <v/>
      </c>
      <c r="AH238" s="102" t="str">
        <f t="shared" si="49"/>
        <v/>
      </c>
      <c r="AI238" s="102" t="str">
        <f t="shared" si="50"/>
        <v/>
      </c>
      <c r="AJ238" s="102" t="str">
        <f t="shared" si="51"/>
        <v/>
      </c>
      <c r="AK238" s="102" t="str">
        <f t="shared" si="52"/>
        <v/>
      </c>
      <c r="AL238" s="102" t="str">
        <f t="shared" si="53"/>
        <v/>
      </c>
      <c r="AM238" s="102" t="str">
        <f t="shared" si="54"/>
        <v/>
      </c>
      <c r="AN238" s="102" t="str">
        <f t="shared" si="55"/>
        <v/>
      </c>
      <c r="AO238" s="102" t="str">
        <f t="shared" si="56"/>
        <v/>
      </c>
      <c r="AP238" s="102" t="str">
        <f t="shared" si="57"/>
        <v/>
      </c>
      <c r="AQ238" s="102" t="str">
        <f t="shared" si="58"/>
        <v/>
      </c>
    </row>
    <row r="239" spans="1:43" s="102" customFormat="1" ht="12" customHeight="1">
      <c r="A239" s="118">
        <v>29</v>
      </c>
      <c r="B239" s="102" t="str">
        <f>RS!D163</f>
        <v>18  Vombsjön, djuphålan, yta</v>
      </c>
      <c r="C239" s="206" t="str">
        <f>RS!E163</f>
        <v/>
      </c>
      <c r="D239" s="222" t="str">
        <f>RS!F163</f>
        <v/>
      </c>
      <c r="E239" s="222" t="str">
        <f>RS!G163</f>
        <v/>
      </c>
      <c r="F239" s="218" t="str">
        <f>RS!H163</f>
        <v/>
      </c>
      <c r="G239" s="222" t="str">
        <f>RS!I163</f>
        <v/>
      </c>
      <c r="H239" s="222" t="str">
        <f>RS!J163</f>
        <v/>
      </c>
      <c r="I239" s="222" t="str">
        <f>RS!K163</f>
        <v/>
      </c>
      <c r="J239" s="102" t="str">
        <f>RS!L163</f>
        <v/>
      </c>
      <c r="K239" s="218" t="str">
        <f>RS!M163</f>
        <v/>
      </c>
      <c r="L239" s="218" t="str">
        <f>RS!N163</f>
        <v/>
      </c>
      <c r="M239" s="218" t="str">
        <f>RS!O163</f>
        <v/>
      </c>
      <c r="N239" s="218" t="str">
        <f>RS!P163</f>
        <v/>
      </c>
      <c r="O239" s="218" t="str">
        <f>RS!Q163</f>
        <v/>
      </c>
      <c r="P239" s="222" t="str">
        <f>RS!R163</f>
        <v/>
      </c>
      <c r="Q239" s="222" t="str">
        <f>RS!S163</f>
        <v/>
      </c>
      <c r="R239" s="609" t="str">
        <f>RS!T163</f>
        <v>Pga kraftiga vindar var provtagning ej möjlig</v>
      </c>
      <c r="S239" s="428"/>
      <c r="T239" s="421"/>
      <c r="U239" s="422"/>
      <c r="V239" s="423"/>
      <c r="W239" s="421"/>
      <c r="X239" s="421"/>
      <c r="Y239" s="421"/>
      <c r="Z239" s="421"/>
      <c r="AA239" s="421"/>
      <c r="AB239" s="411"/>
      <c r="AC239" s="411"/>
      <c r="AD239" s="411"/>
      <c r="AE239" s="102" t="str">
        <f t="shared" si="46"/>
        <v/>
      </c>
      <c r="AF239" s="102" t="str">
        <f t="shared" si="47"/>
        <v/>
      </c>
      <c r="AG239" s="102" t="str">
        <f t="shared" si="48"/>
        <v/>
      </c>
      <c r="AH239" s="102" t="str">
        <f t="shared" si="49"/>
        <v/>
      </c>
      <c r="AI239" s="102" t="str">
        <f t="shared" si="50"/>
        <v/>
      </c>
      <c r="AJ239" s="102" t="str">
        <f t="shared" si="51"/>
        <v/>
      </c>
      <c r="AK239" s="102" t="str">
        <f t="shared" si="52"/>
        <v/>
      </c>
      <c r="AL239" s="102" t="str">
        <f t="shared" si="53"/>
        <v/>
      </c>
      <c r="AM239" s="102" t="str">
        <f t="shared" si="54"/>
        <v/>
      </c>
      <c r="AN239" s="102" t="str">
        <f t="shared" si="55"/>
        <v/>
      </c>
      <c r="AO239" s="102" t="str">
        <f t="shared" si="56"/>
        <v/>
      </c>
      <c r="AP239" s="102" t="str">
        <f t="shared" si="57"/>
        <v/>
      </c>
      <c r="AQ239" s="102" t="str">
        <f t="shared" si="58"/>
        <v/>
      </c>
    </row>
    <row r="240" spans="1:43" s="102" customFormat="1" ht="12" customHeight="1">
      <c r="A240" s="118">
        <v>29</v>
      </c>
      <c r="B240" s="102" t="str">
        <f>RS!D164</f>
        <v>18  Vombsjön, djuphålan, yta</v>
      </c>
      <c r="C240" s="206" t="str">
        <f>RS!E164</f>
        <v/>
      </c>
      <c r="D240" s="222" t="str">
        <f>RS!F164</f>
        <v/>
      </c>
      <c r="E240" s="222" t="str">
        <f>RS!G164</f>
        <v/>
      </c>
      <c r="F240" s="218" t="str">
        <f>RS!H164</f>
        <v/>
      </c>
      <c r="G240" s="222" t="str">
        <f>RS!I164</f>
        <v/>
      </c>
      <c r="H240" s="222" t="str">
        <f>RS!J164</f>
        <v/>
      </c>
      <c r="I240" s="222" t="str">
        <f>RS!K164</f>
        <v/>
      </c>
      <c r="J240" s="102" t="str">
        <f>RS!L164</f>
        <v/>
      </c>
      <c r="K240" s="218" t="str">
        <f>RS!M164</f>
        <v/>
      </c>
      <c r="L240" s="218" t="str">
        <f>RS!N164</f>
        <v/>
      </c>
      <c r="M240" s="218" t="str">
        <f>RS!O164</f>
        <v/>
      </c>
      <c r="N240" s="218" t="str">
        <f>RS!P164</f>
        <v/>
      </c>
      <c r="O240" s="218" t="str">
        <f>RS!Q164</f>
        <v/>
      </c>
      <c r="P240" s="222" t="str">
        <f>RS!R164</f>
        <v/>
      </c>
      <c r="Q240" s="222" t="str">
        <f>RS!S164</f>
        <v/>
      </c>
      <c r="R240" s="609" t="str">
        <f>RS!T164</f>
        <v>Pga kraftiga vindar var provtagning ej möjlig</v>
      </c>
      <c r="S240" s="428"/>
      <c r="T240" s="421"/>
      <c r="U240" s="422"/>
      <c r="V240" s="423"/>
      <c r="W240" s="421"/>
      <c r="X240" s="421"/>
      <c r="Y240" s="421"/>
      <c r="Z240" s="421"/>
      <c r="AA240" s="421"/>
      <c r="AB240" s="411"/>
      <c r="AC240" s="411"/>
      <c r="AD240" s="411"/>
      <c r="AE240" s="102" t="str">
        <f t="shared" si="46"/>
        <v/>
      </c>
      <c r="AF240" s="102" t="str">
        <f t="shared" si="47"/>
        <v/>
      </c>
      <c r="AG240" s="102" t="str">
        <f t="shared" si="48"/>
        <v/>
      </c>
      <c r="AH240" s="102" t="str">
        <f t="shared" si="49"/>
        <v/>
      </c>
      <c r="AI240" s="102" t="str">
        <f t="shared" si="50"/>
        <v/>
      </c>
      <c r="AJ240" s="102" t="str">
        <f t="shared" si="51"/>
        <v/>
      </c>
      <c r="AK240" s="102" t="str">
        <f t="shared" si="52"/>
        <v/>
      </c>
      <c r="AL240" s="102" t="str">
        <f t="shared" si="53"/>
        <v/>
      </c>
      <c r="AM240" s="102" t="str">
        <f t="shared" si="54"/>
        <v/>
      </c>
      <c r="AN240" s="102" t="str">
        <f t="shared" si="55"/>
        <v/>
      </c>
      <c r="AO240" s="102" t="str">
        <f t="shared" si="56"/>
        <v/>
      </c>
      <c r="AP240" s="102" t="str">
        <f t="shared" si="57"/>
        <v/>
      </c>
      <c r="AQ240" s="102" t="str">
        <f t="shared" si="58"/>
        <v/>
      </c>
    </row>
    <row r="241" spans="1:43" s="102" customFormat="1" ht="12" customHeight="1">
      <c r="A241" s="118">
        <v>29</v>
      </c>
      <c r="B241" s="102" t="str">
        <f>RS!D165</f>
        <v>18  Vombsjön, djuphålan, yta</v>
      </c>
      <c r="C241" s="206" t="str">
        <f>RS!E165</f>
        <v/>
      </c>
      <c r="D241" s="222" t="str">
        <f>RS!F165</f>
        <v/>
      </c>
      <c r="E241" s="222" t="str">
        <f>RS!G165</f>
        <v/>
      </c>
      <c r="F241" s="218" t="str">
        <f>RS!H165</f>
        <v/>
      </c>
      <c r="G241" s="222" t="str">
        <f>RS!I165</f>
        <v/>
      </c>
      <c r="H241" s="222" t="str">
        <f>RS!J165</f>
        <v/>
      </c>
      <c r="I241" s="222" t="str">
        <f>RS!K165</f>
        <v/>
      </c>
      <c r="J241" s="102" t="str">
        <f>RS!L165</f>
        <v/>
      </c>
      <c r="K241" s="218" t="str">
        <f>RS!M165</f>
        <v/>
      </c>
      <c r="L241" s="218" t="str">
        <f>RS!N165</f>
        <v/>
      </c>
      <c r="M241" s="218" t="str">
        <f>RS!O165</f>
        <v/>
      </c>
      <c r="N241" s="218" t="str">
        <f>RS!P165</f>
        <v/>
      </c>
      <c r="O241" s="218" t="str">
        <f>RS!Q165</f>
        <v/>
      </c>
      <c r="P241" s="222" t="str">
        <f>RS!R165</f>
        <v/>
      </c>
      <c r="Q241" s="222" t="str">
        <f>RS!S165</f>
        <v/>
      </c>
      <c r="R241" s="609" t="str">
        <f>RS!T165</f>
        <v/>
      </c>
      <c r="S241" s="420"/>
      <c r="T241" s="421"/>
      <c r="U241" s="422"/>
      <c r="V241" s="423"/>
      <c r="W241" s="421"/>
      <c r="X241" s="421"/>
      <c r="Y241" s="421"/>
      <c r="Z241" s="421"/>
      <c r="AA241" s="421"/>
      <c r="AB241" s="411"/>
      <c r="AC241" s="411"/>
      <c r="AD241" s="411"/>
      <c r="AE241" s="102" t="str">
        <f t="shared" si="46"/>
        <v/>
      </c>
      <c r="AF241" s="102" t="str">
        <f t="shared" si="47"/>
        <v/>
      </c>
      <c r="AG241" s="102" t="str">
        <f t="shared" si="48"/>
        <v/>
      </c>
      <c r="AH241" s="102" t="str">
        <f t="shared" si="49"/>
        <v/>
      </c>
      <c r="AI241" s="102" t="str">
        <f t="shared" si="50"/>
        <v/>
      </c>
      <c r="AJ241" s="102" t="str">
        <f t="shared" si="51"/>
        <v/>
      </c>
      <c r="AK241" s="102" t="str">
        <f t="shared" si="52"/>
        <v/>
      </c>
      <c r="AL241" s="102" t="str">
        <f t="shared" si="53"/>
        <v/>
      </c>
      <c r="AM241" s="102" t="str">
        <f t="shared" si="54"/>
        <v/>
      </c>
      <c r="AN241" s="102" t="str">
        <f t="shared" si="55"/>
        <v/>
      </c>
      <c r="AO241" s="102" t="str">
        <f t="shared" si="56"/>
        <v/>
      </c>
      <c r="AP241" s="102" t="str">
        <f t="shared" si="57"/>
        <v/>
      </c>
      <c r="AQ241" s="102" t="str">
        <f t="shared" si="58"/>
        <v/>
      </c>
    </row>
    <row r="242" spans="1:43" s="102" customFormat="1" ht="12" customHeight="1">
      <c r="A242" s="118">
        <v>29</v>
      </c>
      <c r="B242" s="102" t="str">
        <f>RS!D166</f>
        <v>18  Vombsjön, djuphålan, yta</v>
      </c>
      <c r="C242" s="206" t="str">
        <f>RS!E166</f>
        <v/>
      </c>
      <c r="D242" s="222" t="str">
        <f>RS!F166</f>
        <v/>
      </c>
      <c r="E242" s="222" t="str">
        <f>RS!G166</f>
        <v/>
      </c>
      <c r="F242" s="218" t="str">
        <f>RS!H166</f>
        <v/>
      </c>
      <c r="G242" s="222" t="str">
        <f>RS!I166</f>
        <v/>
      </c>
      <c r="H242" s="222" t="str">
        <f>RS!J166</f>
        <v/>
      </c>
      <c r="I242" s="222" t="str">
        <f>RS!K166</f>
        <v/>
      </c>
      <c r="J242" s="102" t="str">
        <f>RS!L166</f>
        <v/>
      </c>
      <c r="K242" s="218" t="str">
        <f>RS!M166</f>
        <v/>
      </c>
      <c r="L242" s="218" t="str">
        <f>RS!N166</f>
        <v/>
      </c>
      <c r="M242" s="218" t="str">
        <f>RS!O166</f>
        <v/>
      </c>
      <c r="N242" s="218" t="str">
        <f>RS!P166</f>
        <v/>
      </c>
      <c r="O242" s="218" t="str">
        <f>RS!Q166</f>
        <v/>
      </c>
      <c r="P242" s="222" t="str">
        <f>RS!R166</f>
        <v/>
      </c>
      <c r="Q242" s="222" t="str">
        <f>RS!S166</f>
        <v/>
      </c>
      <c r="R242" s="609" t="str">
        <f>RS!T166</f>
        <v/>
      </c>
      <c r="S242" s="420"/>
      <c r="T242" s="421"/>
      <c r="U242" s="422"/>
      <c r="V242" s="423"/>
      <c r="W242" s="421"/>
      <c r="X242" s="421"/>
      <c r="Y242" s="421"/>
      <c r="Z242" s="421"/>
      <c r="AA242" s="421"/>
      <c r="AB242" s="411"/>
      <c r="AC242" s="411"/>
      <c r="AD242" s="411"/>
      <c r="AE242" s="102" t="str">
        <f t="shared" si="46"/>
        <v/>
      </c>
      <c r="AF242" s="102" t="str">
        <f t="shared" si="47"/>
        <v/>
      </c>
      <c r="AG242" s="102" t="str">
        <f t="shared" si="48"/>
        <v/>
      </c>
      <c r="AH242" s="102" t="str">
        <f t="shared" si="49"/>
        <v/>
      </c>
      <c r="AI242" s="102" t="str">
        <f t="shared" si="50"/>
        <v/>
      </c>
      <c r="AJ242" s="102" t="str">
        <f t="shared" si="51"/>
        <v/>
      </c>
      <c r="AK242" s="102" t="str">
        <f t="shared" si="52"/>
        <v/>
      </c>
      <c r="AL242" s="102" t="str">
        <f t="shared" si="53"/>
        <v/>
      </c>
      <c r="AM242" s="102" t="str">
        <f t="shared" si="54"/>
        <v/>
      </c>
      <c r="AN242" s="102" t="str">
        <f t="shared" si="55"/>
        <v/>
      </c>
      <c r="AO242" s="102" t="str">
        <f t="shared" si="56"/>
        <v/>
      </c>
      <c r="AP242" s="102" t="str">
        <f t="shared" si="57"/>
        <v/>
      </c>
      <c r="AQ242" s="102" t="str">
        <f t="shared" si="58"/>
        <v/>
      </c>
    </row>
    <row r="243" spans="1:43" s="102" customFormat="1" ht="12" customHeight="1">
      <c r="A243" s="118">
        <v>29</v>
      </c>
      <c r="B243" s="102" t="str">
        <f>RS!D167</f>
        <v>18  Vombsjön, djuphålan, yta</v>
      </c>
      <c r="C243" s="206" t="str">
        <f>RS!E167</f>
        <v/>
      </c>
      <c r="D243" s="222" t="str">
        <f>RS!F167</f>
        <v/>
      </c>
      <c r="E243" s="222" t="str">
        <f>RS!G167</f>
        <v/>
      </c>
      <c r="F243" s="218" t="str">
        <f>RS!H167</f>
        <v/>
      </c>
      <c r="G243" s="222" t="str">
        <f>RS!I167</f>
        <v/>
      </c>
      <c r="H243" s="222" t="str">
        <f>RS!J167</f>
        <v/>
      </c>
      <c r="I243" s="222" t="str">
        <f>RS!K167</f>
        <v/>
      </c>
      <c r="J243" s="102" t="str">
        <f>RS!L167</f>
        <v/>
      </c>
      <c r="K243" s="218" t="str">
        <f>RS!M167</f>
        <v/>
      </c>
      <c r="L243" s="218" t="str">
        <f>RS!N167</f>
        <v/>
      </c>
      <c r="M243" s="218" t="str">
        <f>RS!O167</f>
        <v/>
      </c>
      <c r="N243" s="218" t="str">
        <f>RS!P167</f>
        <v/>
      </c>
      <c r="O243" s="218" t="str">
        <f>RS!Q167</f>
        <v/>
      </c>
      <c r="P243" s="222" t="str">
        <f>RS!R167</f>
        <v/>
      </c>
      <c r="Q243" s="222" t="str">
        <f>RS!S167</f>
        <v/>
      </c>
      <c r="R243" s="609" t="str">
        <f>RS!T167</f>
        <v/>
      </c>
      <c r="S243" s="420"/>
      <c r="T243" s="421"/>
      <c r="U243" s="422"/>
      <c r="V243" s="423"/>
      <c r="W243" s="421"/>
      <c r="X243" s="421"/>
      <c r="Y243" s="421"/>
      <c r="Z243" s="421"/>
      <c r="AA243" s="421"/>
      <c r="AB243" s="411"/>
      <c r="AC243" s="411"/>
      <c r="AD243" s="411"/>
      <c r="AE243" s="102" t="str">
        <f t="shared" si="46"/>
        <v/>
      </c>
      <c r="AF243" s="102" t="str">
        <f t="shared" si="47"/>
        <v/>
      </c>
      <c r="AG243" s="102" t="str">
        <f t="shared" si="48"/>
        <v/>
      </c>
      <c r="AH243" s="102" t="str">
        <f t="shared" si="49"/>
        <v/>
      </c>
      <c r="AI243" s="102" t="str">
        <f t="shared" si="50"/>
        <v/>
      </c>
      <c r="AJ243" s="102" t="str">
        <f t="shared" si="51"/>
        <v/>
      </c>
      <c r="AK243" s="102" t="str">
        <f t="shared" si="52"/>
        <v/>
      </c>
      <c r="AL243" s="102" t="str">
        <f t="shared" si="53"/>
        <v/>
      </c>
      <c r="AM243" s="102" t="str">
        <f t="shared" si="54"/>
        <v/>
      </c>
      <c r="AN243" s="102" t="str">
        <f t="shared" si="55"/>
        <v/>
      </c>
      <c r="AO243" s="102" t="str">
        <f t="shared" si="56"/>
        <v/>
      </c>
      <c r="AP243" s="102" t="str">
        <f t="shared" si="57"/>
        <v/>
      </c>
      <c r="AQ243" s="102" t="str">
        <f t="shared" si="58"/>
        <v/>
      </c>
    </row>
    <row r="244" spans="1:43" s="102" customFormat="1" ht="12" customHeight="1">
      <c r="A244" s="118">
        <v>29</v>
      </c>
      <c r="B244" s="102" t="str">
        <f>RS!D168</f>
        <v>18  Vombsjön, djuphålan, yta</v>
      </c>
      <c r="C244" s="206" t="str">
        <f>RS!E168</f>
        <v/>
      </c>
      <c r="D244" s="222" t="str">
        <f>RS!F168</f>
        <v/>
      </c>
      <c r="E244" s="222" t="str">
        <f>RS!G168</f>
        <v/>
      </c>
      <c r="F244" s="218" t="str">
        <f>RS!H168</f>
        <v/>
      </c>
      <c r="G244" s="222" t="str">
        <f>RS!I168</f>
        <v/>
      </c>
      <c r="H244" s="222" t="str">
        <f>RS!J168</f>
        <v/>
      </c>
      <c r="I244" s="222" t="str">
        <f>RS!K168</f>
        <v/>
      </c>
      <c r="J244" s="102" t="str">
        <f>RS!L168</f>
        <v/>
      </c>
      <c r="K244" s="218" t="str">
        <f>RS!M168</f>
        <v/>
      </c>
      <c r="L244" s="218" t="str">
        <f>RS!N168</f>
        <v/>
      </c>
      <c r="M244" s="218" t="str">
        <f>RS!O168</f>
        <v/>
      </c>
      <c r="N244" s="218" t="str">
        <f>RS!P168</f>
        <v/>
      </c>
      <c r="O244" s="218" t="str">
        <f>RS!Q168</f>
        <v/>
      </c>
      <c r="P244" s="222" t="str">
        <f>RS!R168</f>
        <v/>
      </c>
      <c r="Q244" s="222" t="str">
        <f>RS!S168</f>
        <v/>
      </c>
      <c r="R244" s="609" t="str">
        <f>RS!T168</f>
        <v/>
      </c>
      <c r="S244" s="420"/>
      <c r="T244" s="421"/>
      <c r="U244" s="422"/>
      <c r="V244" s="423"/>
      <c r="W244" s="421"/>
      <c r="X244" s="421"/>
      <c r="Y244" s="421"/>
      <c r="Z244" s="421"/>
      <c r="AA244" s="421"/>
      <c r="AB244" s="411"/>
      <c r="AC244" s="411"/>
      <c r="AD244" s="411"/>
      <c r="AE244" s="102" t="str">
        <f t="shared" si="46"/>
        <v/>
      </c>
      <c r="AF244" s="102" t="str">
        <f t="shared" si="47"/>
        <v/>
      </c>
      <c r="AG244" s="102" t="str">
        <f t="shared" si="48"/>
        <v/>
      </c>
      <c r="AH244" s="102" t="str">
        <f t="shared" si="49"/>
        <v/>
      </c>
      <c r="AI244" s="102" t="str">
        <f t="shared" si="50"/>
        <v/>
      </c>
      <c r="AJ244" s="102" t="str">
        <f t="shared" si="51"/>
        <v/>
      </c>
      <c r="AK244" s="102" t="str">
        <f t="shared" si="52"/>
        <v/>
      </c>
      <c r="AL244" s="102" t="str">
        <f t="shared" si="53"/>
        <v/>
      </c>
      <c r="AM244" s="102" t="str">
        <f t="shared" si="54"/>
        <v/>
      </c>
      <c r="AN244" s="102" t="str">
        <f t="shared" si="55"/>
        <v/>
      </c>
      <c r="AO244" s="102" t="str">
        <f t="shared" si="56"/>
        <v/>
      </c>
      <c r="AP244" s="102" t="str">
        <f t="shared" si="57"/>
        <v/>
      </c>
      <c r="AQ244" s="102" t="str">
        <f t="shared" si="58"/>
        <v/>
      </c>
    </row>
    <row r="245" spans="1:43" s="102" customFormat="1" ht="12" customHeight="1">
      <c r="A245" s="118">
        <v>29</v>
      </c>
      <c r="B245" s="102" t="str">
        <f>RS!D169</f>
        <v>18  Vombsjön, djuphålan, yta</v>
      </c>
      <c r="C245" s="206" t="str">
        <f>RS!E169</f>
        <v/>
      </c>
      <c r="D245" s="222" t="str">
        <f>RS!F169</f>
        <v/>
      </c>
      <c r="E245" s="222" t="str">
        <f>RS!G169</f>
        <v/>
      </c>
      <c r="F245" s="218" t="str">
        <f>RS!H169</f>
        <v/>
      </c>
      <c r="G245" s="222" t="str">
        <f>RS!I169</f>
        <v/>
      </c>
      <c r="H245" s="222" t="str">
        <f>RS!J169</f>
        <v/>
      </c>
      <c r="I245" s="222" t="str">
        <f>RS!K169</f>
        <v/>
      </c>
      <c r="J245" s="102" t="str">
        <f>RS!L169</f>
        <v/>
      </c>
      <c r="K245" s="218" t="str">
        <f>RS!M169</f>
        <v/>
      </c>
      <c r="L245" s="218" t="str">
        <f>RS!N169</f>
        <v/>
      </c>
      <c r="M245" s="218" t="str">
        <f>RS!O169</f>
        <v/>
      </c>
      <c r="N245" s="218" t="str">
        <f>RS!P169</f>
        <v/>
      </c>
      <c r="O245" s="218" t="str">
        <f>RS!Q169</f>
        <v/>
      </c>
      <c r="P245" s="222" t="str">
        <f>RS!R169</f>
        <v/>
      </c>
      <c r="Q245" s="222" t="str">
        <f>RS!S169</f>
        <v/>
      </c>
      <c r="R245" s="609" t="str">
        <f>RS!T169</f>
        <v/>
      </c>
      <c r="S245" s="420"/>
      <c r="T245" s="421"/>
      <c r="U245" s="422"/>
      <c r="V245" s="423"/>
      <c r="W245" s="421"/>
      <c r="X245" s="421"/>
      <c r="Y245" s="421"/>
      <c r="Z245" s="421"/>
      <c r="AA245" s="421"/>
      <c r="AB245" s="411"/>
      <c r="AC245" s="411"/>
      <c r="AD245" s="411"/>
      <c r="AE245" s="102" t="str">
        <f t="shared" si="46"/>
        <v/>
      </c>
      <c r="AF245" s="102" t="str">
        <f t="shared" si="47"/>
        <v/>
      </c>
      <c r="AG245" s="102" t="str">
        <f t="shared" si="48"/>
        <v/>
      </c>
      <c r="AH245" s="102" t="str">
        <f t="shared" si="49"/>
        <v/>
      </c>
      <c r="AI245" s="102" t="str">
        <f t="shared" si="50"/>
        <v/>
      </c>
      <c r="AJ245" s="102" t="str">
        <f t="shared" si="51"/>
        <v/>
      </c>
      <c r="AK245" s="102" t="str">
        <f t="shared" si="52"/>
        <v/>
      </c>
      <c r="AL245" s="102" t="str">
        <f t="shared" si="53"/>
        <v/>
      </c>
      <c r="AM245" s="102" t="str">
        <f t="shared" si="54"/>
        <v/>
      </c>
      <c r="AN245" s="102" t="str">
        <f t="shared" si="55"/>
        <v/>
      </c>
      <c r="AO245" s="102" t="str">
        <f t="shared" si="56"/>
        <v/>
      </c>
      <c r="AP245" s="102" t="str">
        <f t="shared" si="57"/>
        <v/>
      </c>
      <c r="AQ245" s="102" t="str">
        <f t="shared" si="58"/>
        <v/>
      </c>
    </row>
    <row r="246" spans="1:43" s="102" customFormat="1" ht="12">
      <c r="A246" s="118">
        <v>29</v>
      </c>
      <c r="B246" s="102" t="str">
        <f>RS!D170</f>
        <v>18  Vombsjön, djuphålan, yta</v>
      </c>
      <c r="C246" s="206" t="str">
        <f>RS!E170</f>
        <v>2025-05-15</v>
      </c>
      <c r="D246" s="222">
        <f>RS!F170</f>
        <v>12</v>
      </c>
      <c r="E246" s="222">
        <f>RS!G170</f>
        <v>10.79</v>
      </c>
      <c r="F246" s="218">
        <f>RS!H170</f>
        <v>100</v>
      </c>
      <c r="G246" s="222">
        <f>RS!I170</f>
        <v>8.6</v>
      </c>
      <c r="H246" s="222">
        <f>RS!J170</f>
        <v>1.9</v>
      </c>
      <c r="I246" s="222">
        <f>RS!K170</f>
        <v>40.5</v>
      </c>
      <c r="J246" s="102" t="str">
        <f>RS!L170</f>
        <v/>
      </c>
      <c r="K246" s="218" t="str">
        <f>RS!M170</f>
        <v>&lt;2</v>
      </c>
      <c r="L246" s="218">
        <f>RS!N170</f>
        <v>22</v>
      </c>
      <c r="M246" s="218">
        <f>RS!O170</f>
        <v>1800</v>
      </c>
      <c r="N246" s="218">
        <f>RS!P170</f>
        <v>39</v>
      </c>
      <c r="O246" s="218">
        <f>RS!Q170</f>
        <v>2600</v>
      </c>
      <c r="P246" s="222">
        <f>RS!R170</f>
        <v>13</v>
      </c>
      <c r="Q246" s="222">
        <f>RS!S170</f>
        <v>1.8</v>
      </c>
      <c r="R246" s="609" t="str">
        <f>RS!T170</f>
        <v/>
      </c>
      <c r="S246" s="420"/>
      <c r="T246" s="421"/>
      <c r="U246" s="422"/>
      <c r="V246" s="423"/>
      <c r="W246" s="421"/>
      <c r="X246" s="421"/>
      <c r="Y246" s="421"/>
      <c r="Z246" s="421"/>
      <c r="AA246" s="421"/>
      <c r="AB246" s="411"/>
      <c r="AC246" s="411"/>
      <c r="AD246" s="411"/>
      <c r="AE246" s="102">
        <f t="shared" si="46"/>
        <v>12</v>
      </c>
      <c r="AF246" s="102">
        <f t="shared" si="47"/>
        <v>10.79</v>
      </c>
      <c r="AG246" s="102">
        <f t="shared" si="48"/>
        <v>100</v>
      </c>
      <c r="AH246" s="102">
        <f t="shared" si="49"/>
        <v>8.6</v>
      </c>
      <c r="AI246" s="102">
        <f t="shared" si="50"/>
        <v>1.9</v>
      </c>
      <c r="AJ246" s="102">
        <f t="shared" si="51"/>
        <v>40.5</v>
      </c>
      <c r="AK246" s="102" t="str">
        <f t="shared" si="52"/>
        <v/>
      </c>
      <c r="AL246" s="102">
        <f t="shared" si="53"/>
        <v>2</v>
      </c>
      <c r="AM246" s="102">
        <f t="shared" si="54"/>
        <v>22</v>
      </c>
      <c r="AN246" s="102">
        <f t="shared" si="55"/>
        <v>1800</v>
      </c>
      <c r="AO246" s="102">
        <f t="shared" si="56"/>
        <v>39</v>
      </c>
      <c r="AP246" s="102">
        <f t="shared" si="57"/>
        <v>2600</v>
      </c>
      <c r="AQ246" s="102">
        <f t="shared" si="58"/>
        <v>1.8</v>
      </c>
    </row>
    <row r="247" spans="1:43" s="102" customFormat="1" ht="12">
      <c r="A247" s="117"/>
      <c r="C247" s="610" t="s">
        <v>150</v>
      </c>
      <c r="D247" s="611">
        <f t="shared" ref="D247:I247" si="62">AVERAGE(AE235:AE246)</f>
        <v>6.8</v>
      </c>
      <c r="E247" s="611">
        <f t="shared" si="62"/>
        <v>12.727499999999999</v>
      </c>
      <c r="F247" s="612">
        <f t="shared" si="62"/>
        <v>103.25</v>
      </c>
      <c r="G247" s="611">
        <f t="shared" si="62"/>
        <v>8.4749999999999996</v>
      </c>
      <c r="H247" s="611">
        <f t="shared" si="62"/>
        <v>3.1500000000000004</v>
      </c>
      <c r="I247" s="611">
        <f t="shared" si="62"/>
        <v>41.225000000000001</v>
      </c>
      <c r="J247" s="611"/>
      <c r="K247" s="612">
        <f>AVERAGE(AL235:AL246)</f>
        <v>13.2</v>
      </c>
      <c r="L247" s="612">
        <f>AVERAGE(AM235:AM246)</f>
        <v>43.75</v>
      </c>
      <c r="M247" s="612">
        <f>AVERAGE(AN235:AN246)</f>
        <v>2750</v>
      </c>
      <c r="N247" s="612">
        <f>AVERAGE(AO235:AO246)</f>
        <v>29.75</v>
      </c>
      <c r="O247" s="612">
        <f>AVERAGE(AP235:AP246)</f>
        <v>3300</v>
      </c>
      <c r="P247" s="611"/>
      <c r="Q247" s="715">
        <f>AVERAGE(AQ235:AQ246)</f>
        <v>2.0750000000000002</v>
      </c>
      <c r="R247" s="307"/>
      <c r="S247" s="420"/>
      <c r="T247" s="421"/>
      <c r="U247" s="422"/>
      <c r="V247" s="423"/>
      <c r="W247" s="421"/>
      <c r="X247" s="421"/>
      <c r="Y247" s="421"/>
      <c r="Z247" s="421"/>
      <c r="AA247" s="421"/>
      <c r="AB247" s="411"/>
      <c r="AC247" s="411"/>
      <c r="AD247" s="411"/>
      <c r="AE247" s="102">
        <f t="shared" si="46"/>
        <v>6.8</v>
      </c>
      <c r="AF247" s="102">
        <f t="shared" si="47"/>
        <v>12.727499999999999</v>
      </c>
      <c r="AG247" s="102">
        <f t="shared" si="48"/>
        <v>103.25</v>
      </c>
      <c r="AH247" s="102">
        <f t="shared" si="49"/>
        <v>8.4749999999999996</v>
      </c>
      <c r="AI247" s="102">
        <f t="shared" si="50"/>
        <v>3.1500000000000004</v>
      </c>
      <c r="AJ247" s="102">
        <f t="shared" si="51"/>
        <v>41.225000000000001</v>
      </c>
      <c r="AK247" s="102">
        <f t="shared" si="52"/>
        <v>0</v>
      </c>
      <c r="AL247" s="102">
        <f t="shared" si="53"/>
        <v>13.2</v>
      </c>
      <c r="AM247" s="102">
        <f t="shared" si="54"/>
        <v>43.75</v>
      </c>
      <c r="AN247" s="102">
        <f t="shared" si="55"/>
        <v>2750</v>
      </c>
      <c r="AO247" s="102">
        <f t="shared" si="56"/>
        <v>29.75</v>
      </c>
      <c r="AP247" s="102">
        <f t="shared" si="57"/>
        <v>3300</v>
      </c>
      <c r="AQ247" s="102">
        <f t="shared" si="58"/>
        <v>2.0750000000000002</v>
      </c>
    </row>
    <row r="248" spans="1:43" s="102" customFormat="1" ht="12">
      <c r="A248" s="117"/>
      <c r="C248" s="613" t="s">
        <v>151</v>
      </c>
      <c r="D248" s="614">
        <f t="shared" ref="D248:I248" si="63">MAX(AE235:AE246)</f>
        <v>12</v>
      </c>
      <c r="E248" s="614">
        <f t="shared" si="63"/>
        <v>14.6</v>
      </c>
      <c r="F248" s="615">
        <f t="shared" si="63"/>
        <v>112</v>
      </c>
      <c r="G248" s="614">
        <f t="shared" si="63"/>
        <v>8.6999999999999993</v>
      </c>
      <c r="H248" s="614">
        <f t="shared" si="63"/>
        <v>6.4</v>
      </c>
      <c r="I248" s="614">
        <f t="shared" si="63"/>
        <v>42.2</v>
      </c>
      <c r="J248" s="614"/>
      <c r="K248" s="615">
        <f>MAX(AL235:AL246)</f>
        <v>44</v>
      </c>
      <c r="L248" s="615">
        <f>MAX(AM235:AM246)</f>
        <v>82</v>
      </c>
      <c r="M248" s="615">
        <f>MAX(AN235:AN246)</f>
        <v>3700</v>
      </c>
      <c r="N248" s="615">
        <f>MAX(AO235:AO246)</f>
        <v>52</v>
      </c>
      <c r="O248" s="615">
        <f>MAX(AP235:AP246)</f>
        <v>4000</v>
      </c>
      <c r="P248" s="614"/>
      <c r="Q248" s="716">
        <f>MAX(AQ235:AQ246)</f>
        <v>3.4</v>
      </c>
      <c r="R248" s="307"/>
      <c r="S248" s="420"/>
      <c r="T248" s="421"/>
      <c r="U248" s="422"/>
      <c r="V248" s="423"/>
      <c r="W248" s="421"/>
      <c r="X248" s="421"/>
      <c r="Y248" s="421"/>
      <c r="Z248" s="421"/>
      <c r="AA248" s="421"/>
      <c r="AB248" s="411"/>
      <c r="AC248" s="411"/>
      <c r="AD248" s="411"/>
      <c r="AE248" s="102">
        <f t="shared" si="46"/>
        <v>12</v>
      </c>
      <c r="AF248" s="102">
        <f t="shared" si="47"/>
        <v>14.6</v>
      </c>
      <c r="AG248" s="102">
        <f t="shared" si="48"/>
        <v>112</v>
      </c>
      <c r="AH248" s="102">
        <f t="shared" si="49"/>
        <v>8.6999999999999993</v>
      </c>
      <c r="AI248" s="102">
        <f t="shared" si="50"/>
        <v>6.4</v>
      </c>
      <c r="AJ248" s="102">
        <f t="shared" si="51"/>
        <v>42.2</v>
      </c>
      <c r="AK248" s="102">
        <f t="shared" si="52"/>
        <v>0</v>
      </c>
      <c r="AL248" s="102">
        <f t="shared" si="53"/>
        <v>44</v>
      </c>
      <c r="AM248" s="102">
        <f t="shared" si="54"/>
        <v>82</v>
      </c>
      <c r="AN248" s="102">
        <f t="shared" si="55"/>
        <v>3700</v>
      </c>
      <c r="AO248" s="102">
        <f t="shared" si="56"/>
        <v>52</v>
      </c>
      <c r="AP248" s="102">
        <f t="shared" si="57"/>
        <v>4000</v>
      </c>
      <c r="AQ248" s="102">
        <f t="shared" si="58"/>
        <v>3.4</v>
      </c>
    </row>
    <row r="249" spans="1:43" s="102" customFormat="1" ht="12">
      <c r="A249" s="117"/>
      <c r="C249" s="616" t="s">
        <v>152</v>
      </c>
      <c r="D249" s="617">
        <f t="shared" ref="D249:I249" si="64">MIN(AE235:AE246)</f>
        <v>1.5</v>
      </c>
      <c r="E249" s="617">
        <f t="shared" si="64"/>
        <v>10.79</v>
      </c>
      <c r="F249" s="618">
        <f t="shared" si="64"/>
        <v>98</v>
      </c>
      <c r="G249" s="617">
        <f t="shared" si="64"/>
        <v>8.1999999999999993</v>
      </c>
      <c r="H249" s="617">
        <f t="shared" si="64"/>
        <v>1.6</v>
      </c>
      <c r="I249" s="617">
        <f t="shared" si="64"/>
        <v>40.5</v>
      </c>
      <c r="J249" s="617"/>
      <c r="K249" s="618">
        <f>MIN(AL235:AL246)</f>
        <v>2</v>
      </c>
      <c r="L249" s="618">
        <f>MIN(AM235:AM246)</f>
        <v>22</v>
      </c>
      <c r="M249" s="618">
        <f>MIN(AN235:AN246)</f>
        <v>1800</v>
      </c>
      <c r="N249" s="618">
        <f>MIN(AO235:AO246)</f>
        <v>10</v>
      </c>
      <c r="O249" s="618">
        <f>MIN(AP235:AP246)</f>
        <v>2600</v>
      </c>
      <c r="P249" s="617"/>
      <c r="Q249" s="717">
        <f>MIN(AQ235:AQ246)</f>
        <v>1.5</v>
      </c>
      <c r="R249" s="307"/>
      <c r="S249" s="420"/>
      <c r="T249" s="421"/>
      <c r="U249" s="422"/>
      <c r="V249" s="423"/>
      <c r="W249" s="421"/>
      <c r="X249" s="421"/>
      <c r="Y249" s="421"/>
      <c r="Z249" s="421"/>
      <c r="AA249" s="421"/>
      <c r="AB249" s="411"/>
      <c r="AC249" s="411"/>
      <c r="AD249" s="411"/>
      <c r="AE249" s="102">
        <f t="shared" si="46"/>
        <v>1.5</v>
      </c>
      <c r="AF249" s="102">
        <f t="shared" si="47"/>
        <v>10.79</v>
      </c>
      <c r="AG249" s="102">
        <f t="shared" si="48"/>
        <v>98</v>
      </c>
      <c r="AH249" s="102">
        <f t="shared" si="49"/>
        <v>8.1999999999999993</v>
      </c>
      <c r="AI249" s="102">
        <f t="shared" si="50"/>
        <v>1.6</v>
      </c>
      <c r="AJ249" s="102">
        <f t="shared" si="51"/>
        <v>40.5</v>
      </c>
      <c r="AK249" s="102">
        <f t="shared" si="52"/>
        <v>0</v>
      </c>
      <c r="AL249" s="102">
        <f t="shared" si="53"/>
        <v>2</v>
      </c>
      <c r="AM249" s="102">
        <f t="shared" si="54"/>
        <v>22</v>
      </c>
      <c r="AN249" s="102">
        <f t="shared" si="55"/>
        <v>1800</v>
      </c>
      <c r="AO249" s="102">
        <f t="shared" si="56"/>
        <v>10</v>
      </c>
      <c r="AP249" s="102">
        <f t="shared" si="57"/>
        <v>2600</v>
      </c>
      <c r="AQ249" s="102">
        <f t="shared" si="58"/>
        <v>1.5</v>
      </c>
    </row>
    <row r="250" spans="1:43">
      <c r="A250" s="155"/>
      <c r="B250" s="398"/>
      <c r="C250" s="405"/>
      <c r="D250" s="398"/>
      <c r="E250" s="400"/>
      <c r="F250" s="401"/>
      <c r="G250" s="398"/>
      <c r="H250" s="400"/>
      <c r="I250" s="398"/>
      <c r="J250" s="398"/>
      <c r="K250" s="398"/>
      <c r="L250" s="398"/>
      <c r="M250" s="398"/>
      <c r="N250" s="398"/>
      <c r="O250" s="398"/>
      <c r="P250" s="718"/>
      <c r="Q250" s="718"/>
      <c r="R250" s="402"/>
      <c r="S250" s="398"/>
      <c r="T250" s="398"/>
      <c r="U250" s="398"/>
      <c r="V250" s="398"/>
      <c r="W250" s="398"/>
      <c r="X250" s="398"/>
      <c r="Y250" s="398"/>
      <c r="Z250" s="398"/>
      <c r="AA250" s="398"/>
      <c r="AB250" s="398"/>
      <c r="AC250" s="398"/>
      <c r="AD250" s="398"/>
    </row>
    <row r="251" spans="1:43" s="102" customFormat="1" ht="12" customHeight="1">
      <c r="A251" s="118">
        <v>30</v>
      </c>
      <c r="B251" s="102" t="str">
        <f>RS!D171</f>
        <v>18  Vombsjön, djuphålan, botten</v>
      </c>
      <c r="C251" s="206">
        <f>RS!E171</f>
        <v>45670</v>
      </c>
      <c r="D251" s="222">
        <f>RS!F171</f>
        <v>2</v>
      </c>
      <c r="E251" s="222">
        <f>RS!G171</f>
        <v>13.24</v>
      </c>
      <c r="F251" s="218">
        <f>RS!H171</f>
        <v>96</v>
      </c>
      <c r="G251" s="222" t="str">
        <f>RS!I171</f>
        <v/>
      </c>
      <c r="H251" s="222" t="str">
        <f>RS!J171</f>
        <v/>
      </c>
      <c r="I251" s="222" t="str">
        <f>RS!K171</f>
        <v/>
      </c>
      <c r="J251" s="102" t="str">
        <f>RS!L171</f>
        <v/>
      </c>
      <c r="K251" s="218">
        <f>RS!M171</f>
        <v>34</v>
      </c>
      <c r="L251" s="218">
        <f>RS!N171</f>
        <v>84</v>
      </c>
      <c r="M251" s="218">
        <f>RS!O171</f>
        <v>3100</v>
      </c>
      <c r="N251" s="218">
        <f>RS!P171</f>
        <v>17</v>
      </c>
      <c r="O251" s="218">
        <f>RS!Q171</f>
        <v>3500</v>
      </c>
      <c r="P251" s="222" t="str">
        <f>RS!R171</f>
        <v/>
      </c>
      <c r="Q251" s="222" t="str">
        <f>RS!S171</f>
        <v/>
      </c>
      <c r="R251" s="609" t="str">
        <f>RS!T171</f>
        <v xml:space="preserve">Istäckt, nära djuphålan </v>
      </c>
      <c r="S251" s="421"/>
      <c r="T251" s="411"/>
      <c r="U251" s="423"/>
      <c r="V251" s="423"/>
      <c r="W251" s="424"/>
      <c r="X251" s="425"/>
      <c r="Y251" s="425"/>
      <c r="Z251" s="411"/>
      <c r="AA251" s="411"/>
      <c r="AB251" s="411"/>
      <c r="AC251" s="411"/>
      <c r="AD251" s="411"/>
      <c r="AE251" s="102">
        <f t="shared" ref="AE251:AE265" si="65">IF(OR(LEFT(D251,1)="&lt;",LEFT(D251,1)="&gt;"),VALUE(MID(D251,2,5)),D251)</f>
        <v>2</v>
      </c>
      <c r="AF251" s="102">
        <f t="shared" ref="AF251:AF265" si="66">IF(OR(LEFT(E251,1)="&lt;",LEFT(E251,1)="&gt;"),VALUE(MID(E251,2,5)),E251)</f>
        <v>13.24</v>
      </c>
      <c r="AG251" s="102">
        <f t="shared" ref="AG251:AG265" si="67">IF(OR(LEFT(F251,1)="&lt;",LEFT(F251,1)="&gt;"),VALUE(MID(F251,2,5)),F251)</f>
        <v>96</v>
      </c>
      <c r="AH251" s="102" t="str">
        <f t="shared" ref="AH251:AH265" si="68">IF(OR(LEFT(G251,1)="&lt;",LEFT(G251,1)="&gt;"),VALUE(MID(G251,2,5)),G251)</f>
        <v/>
      </c>
      <c r="AI251" s="102" t="str">
        <f t="shared" ref="AI251:AI265" si="69">IF(OR(LEFT(H251,1)="&lt;",LEFT(H251,1)="&gt;"),VALUE(MID(H251,2,5)),H251)</f>
        <v/>
      </c>
      <c r="AJ251" s="102" t="str">
        <f t="shared" ref="AJ251:AJ265" si="70">IF(OR(LEFT(I251,1)="&lt;",LEFT(I251,1)="&gt;"),VALUE(MID(I251,2,5)),I251)</f>
        <v/>
      </c>
      <c r="AK251" s="102" t="str">
        <f t="shared" ref="AK251:AK265" si="71">IF(OR(LEFT(J251,1)="&lt;",LEFT(J251,1)="&gt;"),VALUE(MID(J251,2,5)),J251)</f>
        <v/>
      </c>
      <c r="AL251" s="102">
        <f t="shared" ref="AL251:AL265" si="72">IF(OR(LEFT(K251,1)="&lt;",LEFT(K251,1)="&gt;"),VALUE(MID(K251,2,5)),K251)</f>
        <v>34</v>
      </c>
      <c r="AM251" s="102">
        <f t="shared" ref="AM251:AM265" si="73">IF(OR(LEFT(L251,1)="&lt;",LEFT(L251,1)="&gt;"),VALUE(MID(L251,2,5)),L251)</f>
        <v>84</v>
      </c>
      <c r="AN251" s="102">
        <f t="shared" ref="AN251:AN265" si="74">IF(OR(LEFT(M251,1)="&lt;",LEFT(M251,1)="&gt;"),VALUE(MID(M251,2,5)),M251)</f>
        <v>3100</v>
      </c>
      <c r="AO251" s="102">
        <f t="shared" ref="AO251:AO265" si="75">IF(OR(LEFT(N251,1)="&lt;",LEFT(N251,1)="&gt;"),VALUE(MID(N251,2,5)),N251)</f>
        <v>17</v>
      </c>
      <c r="AP251" s="102">
        <f t="shared" ref="AP251:AP265" si="76">IF(OR(LEFT(O251,1)="&lt;",LEFT(O251,1)="&gt;"),VALUE(MID(O251,2,5)),O251)</f>
        <v>3500</v>
      </c>
      <c r="AQ251" s="102" t="str">
        <f t="shared" ref="AQ251:AQ265" si="77">IF(OR(LEFT(Q251,1)="&lt;",LEFT(Q251,1)="&gt;"),VALUE(MID(Q251,2,5)),Q251)</f>
        <v/>
      </c>
    </row>
    <row r="252" spans="1:43" s="102" customFormat="1" ht="12" customHeight="1">
      <c r="A252" s="118">
        <v>30</v>
      </c>
      <c r="B252" s="102" t="str">
        <f>RS!D172</f>
        <v>18  Vombsjön, djuphålan, botten</v>
      </c>
      <c r="C252" s="206">
        <f>RS!E172</f>
        <v>45728</v>
      </c>
      <c r="D252" s="222">
        <f>RS!F172</f>
        <v>4.7</v>
      </c>
      <c r="E252" s="222">
        <f>RS!G172</f>
        <v>14.55</v>
      </c>
      <c r="F252" s="218">
        <f>RS!H172</f>
        <v>113</v>
      </c>
      <c r="G252" s="222" t="str">
        <f>RS!I172</f>
        <v/>
      </c>
      <c r="H252" s="222" t="str">
        <f>RS!J172</f>
        <v/>
      </c>
      <c r="I252" s="222" t="str">
        <f>RS!K172</f>
        <v/>
      </c>
      <c r="J252" s="102" t="str">
        <f>RS!L172</f>
        <v/>
      </c>
      <c r="K252" s="218">
        <f>RS!M172</f>
        <v>9.6999999999999993</v>
      </c>
      <c r="L252" s="218">
        <f>RS!N172</f>
        <v>51</v>
      </c>
      <c r="M252" s="218">
        <f>RS!O172</f>
        <v>3100</v>
      </c>
      <c r="N252" s="218" t="str">
        <f>RS!P172</f>
        <v>&lt;10</v>
      </c>
      <c r="O252" s="218">
        <f>RS!Q172</f>
        <v>3800</v>
      </c>
      <c r="P252" s="222" t="str">
        <f>RS!R172</f>
        <v/>
      </c>
      <c r="Q252" s="222" t="str">
        <f>RS!S172</f>
        <v/>
      </c>
      <c r="R252" s="609" t="str">
        <f>RS!T172</f>
        <v/>
      </c>
      <c r="S252" s="428"/>
      <c r="T252" s="411"/>
      <c r="U252" s="422"/>
      <c r="V252" s="423"/>
      <c r="W252" s="424"/>
      <c r="X252" s="425"/>
      <c r="Y252" s="425"/>
      <c r="Z252" s="424"/>
      <c r="AA252" s="425"/>
      <c r="AB252" s="425"/>
      <c r="AC252" s="425"/>
      <c r="AD252" s="411"/>
      <c r="AE252" s="102">
        <f t="shared" si="65"/>
        <v>4.7</v>
      </c>
      <c r="AF252" s="102">
        <f t="shared" si="66"/>
        <v>14.55</v>
      </c>
      <c r="AG252" s="102">
        <f t="shared" si="67"/>
        <v>113</v>
      </c>
      <c r="AH252" s="102" t="str">
        <f t="shared" si="68"/>
        <v/>
      </c>
      <c r="AI252" s="102" t="str">
        <f t="shared" si="69"/>
        <v/>
      </c>
      <c r="AJ252" s="102" t="str">
        <f t="shared" si="70"/>
        <v/>
      </c>
      <c r="AK252" s="102" t="str">
        <f t="shared" si="71"/>
        <v/>
      </c>
      <c r="AL252" s="102">
        <f t="shared" si="72"/>
        <v>9.6999999999999993</v>
      </c>
      <c r="AM252" s="102">
        <f t="shared" si="73"/>
        <v>51</v>
      </c>
      <c r="AN252" s="102">
        <f t="shared" si="74"/>
        <v>3100</v>
      </c>
      <c r="AO252" s="102">
        <f t="shared" si="75"/>
        <v>10</v>
      </c>
      <c r="AP252" s="102">
        <f t="shared" si="76"/>
        <v>3800</v>
      </c>
      <c r="AQ252" s="102" t="str">
        <f t="shared" si="77"/>
        <v/>
      </c>
    </row>
    <row r="253" spans="1:43" s="102" customFormat="1" ht="12" customHeight="1">
      <c r="A253" s="118">
        <v>30</v>
      </c>
      <c r="B253" s="102" t="str">
        <f>RS!D173</f>
        <v>18  Vombsjön, djuphålan, botten</v>
      </c>
      <c r="C253" s="206">
        <f>RS!E173</f>
        <v>45761</v>
      </c>
      <c r="D253" s="222">
        <f>RS!F173</f>
        <v>9.5</v>
      </c>
      <c r="E253" s="222">
        <f>RS!G173</f>
        <v>11.41</v>
      </c>
      <c r="F253" s="218">
        <f>RS!H173</f>
        <v>100</v>
      </c>
      <c r="G253" s="222" t="str">
        <f>RS!I173</f>
        <v/>
      </c>
      <c r="H253" s="222" t="str">
        <f>RS!J173</f>
        <v/>
      </c>
      <c r="I253" s="222" t="str">
        <f>RS!K173</f>
        <v/>
      </c>
      <c r="J253" s="102" t="str">
        <f>RS!L173</f>
        <v/>
      </c>
      <c r="K253" s="218" t="str">
        <f>RS!M173</f>
        <v>&lt;2</v>
      </c>
      <c r="L253" s="218">
        <f>RS!N173</f>
        <v>26</v>
      </c>
      <c r="M253" s="218">
        <f>RS!O173</f>
        <v>2300</v>
      </c>
      <c r="N253" s="218">
        <f>RS!P173</f>
        <v>72</v>
      </c>
      <c r="O253" s="218">
        <f>RS!Q173</f>
        <v>3000</v>
      </c>
      <c r="P253" s="222" t="str">
        <f>RS!R173</f>
        <v/>
      </c>
      <c r="Q253" s="222" t="str">
        <f>RS!S173</f>
        <v/>
      </c>
      <c r="R253" s="609" t="str">
        <f>RS!T173</f>
        <v/>
      </c>
      <c r="S253" s="428"/>
      <c r="T253" s="411"/>
      <c r="U253" s="422"/>
      <c r="V253" s="423"/>
      <c r="W253" s="411"/>
      <c r="X253" s="411"/>
      <c r="Y253" s="411"/>
      <c r="Z253" s="411"/>
      <c r="AA253" s="411"/>
      <c r="AB253" s="411"/>
      <c r="AC253" s="411"/>
      <c r="AD253" s="411"/>
      <c r="AE253" s="102">
        <f t="shared" si="65"/>
        <v>9.5</v>
      </c>
      <c r="AF253" s="102">
        <f t="shared" si="66"/>
        <v>11.41</v>
      </c>
      <c r="AG253" s="102">
        <f t="shared" si="67"/>
        <v>100</v>
      </c>
      <c r="AH253" s="102" t="str">
        <f t="shared" si="68"/>
        <v/>
      </c>
      <c r="AI253" s="102" t="str">
        <f t="shared" si="69"/>
        <v/>
      </c>
      <c r="AJ253" s="102" t="str">
        <f t="shared" si="70"/>
        <v/>
      </c>
      <c r="AK253" s="102" t="str">
        <f t="shared" si="71"/>
        <v/>
      </c>
      <c r="AL253" s="102">
        <f t="shared" si="72"/>
        <v>2</v>
      </c>
      <c r="AM253" s="102">
        <f t="shared" si="73"/>
        <v>26</v>
      </c>
      <c r="AN253" s="102">
        <f t="shared" si="74"/>
        <v>2300</v>
      </c>
      <c r="AO253" s="102">
        <f t="shared" si="75"/>
        <v>72</v>
      </c>
      <c r="AP253" s="102">
        <f t="shared" si="76"/>
        <v>3000</v>
      </c>
      <c r="AQ253" s="102" t="str">
        <f t="shared" si="77"/>
        <v/>
      </c>
    </row>
    <row r="254" spans="1:43" s="102" customFormat="1" ht="12" customHeight="1">
      <c r="A254" s="118">
        <v>30</v>
      </c>
      <c r="B254" s="102" t="str">
        <f>RS!D174</f>
        <v>18  Vombsjön, djuphålan, botten</v>
      </c>
      <c r="C254" s="206" t="str">
        <f>RS!E174</f>
        <v/>
      </c>
      <c r="D254" s="222" t="str">
        <f>RS!F174</f>
        <v/>
      </c>
      <c r="E254" s="222" t="str">
        <f>RS!G174</f>
        <v/>
      </c>
      <c r="F254" s="218" t="str">
        <f>RS!H174</f>
        <v/>
      </c>
      <c r="G254" s="222" t="str">
        <f>RS!I174</f>
        <v/>
      </c>
      <c r="H254" s="222" t="str">
        <f>RS!J174</f>
        <v/>
      </c>
      <c r="I254" s="222" t="str">
        <f>RS!K174</f>
        <v/>
      </c>
      <c r="J254" s="102" t="str">
        <f>RS!L174</f>
        <v/>
      </c>
      <c r="K254" s="218" t="str">
        <f>RS!M174</f>
        <v/>
      </c>
      <c r="L254" s="218" t="str">
        <f>RS!N174</f>
        <v/>
      </c>
      <c r="M254" s="218" t="str">
        <f>RS!O174</f>
        <v/>
      </c>
      <c r="N254" s="218" t="str">
        <f>RS!P174</f>
        <v/>
      </c>
      <c r="O254" s="218" t="str">
        <f>RS!Q174</f>
        <v/>
      </c>
      <c r="P254" s="222" t="str">
        <f>RS!R174</f>
        <v/>
      </c>
      <c r="Q254" s="222" t="str">
        <f>RS!S174</f>
        <v/>
      </c>
      <c r="R254" s="609" t="str">
        <f>RS!T174</f>
        <v>istäckt,  inte möjligt att provta</v>
      </c>
      <c r="S254" s="429"/>
      <c r="T254" s="430"/>
      <c r="U254" s="422"/>
      <c r="V254" s="423"/>
      <c r="W254" s="431"/>
      <c r="X254" s="432"/>
      <c r="Y254" s="421"/>
      <c r="Z254" s="421"/>
      <c r="AA254" s="421"/>
      <c r="AB254" s="411"/>
      <c r="AC254" s="411"/>
      <c r="AD254" s="411"/>
      <c r="AE254" s="102" t="str">
        <f t="shared" si="65"/>
        <v/>
      </c>
      <c r="AF254" s="102" t="str">
        <f t="shared" si="66"/>
        <v/>
      </c>
      <c r="AG254" s="102" t="str">
        <f t="shared" si="67"/>
        <v/>
      </c>
      <c r="AH254" s="102" t="str">
        <f t="shared" si="68"/>
        <v/>
      </c>
      <c r="AI254" s="102" t="str">
        <f t="shared" si="69"/>
        <v/>
      </c>
      <c r="AJ254" s="102" t="str">
        <f t="shared" si="70"/>
        <v/>
      </c>
      <c r="AK254" s="102" t="str">
        <f t="shared" si="71"/>
        <v/>
      </c>
      <c r="AL254" s="102" t="str">
        <f t="shared" si="72"/>
        <v/>
      </c>
      <c r="AM254" s="102" t="str">
        <f t="shared" si="73"/>
        <v/>
      </c>
      <c r="AN254" s="102" t="str">
        <f t="shared" si="74"/>
        <v/>
      </c>
      <c r="AO254" s="102" t="str">
        <f t="shared" si="75"/>
        <v/>
      </c>
      <c r="AP254" s="102" t="str">
        <f t="shared" si="76"/>
        <v/>
      </c>
      <c r="AQ254" s="102" t="str">
        <f t="shared" si="77"/>
        <v/>
      </c>
    </row>
    <row r="255" spans="1:43" s="102" customFormat="1" ht="12" customHeight="1">
      <c r="A255" s="118">
        <v>30</v>
      </c>
      <c r="B255" s="102" t="str">
        <f>RS!D175</f>
        <v>18  Vombsjön, djuphålan, botten</v>
      </c>
      <c r="C255" s="206" t="str">
        <f>RS!E175</f>
        <v/>
      </c>
      <c r="D255" s="222" t="str">
        <f>RS!F175</f>
        <v/>
      </c>
      <c r="E255" s="222" t="str">
        <f>RS!G175</f>
        <v/>
      </c>
      <c r="F255" s="218" t="str">
        <f>RS!H175</f>
        <v/>
      </c>
      <c r="G255" s="222" t="str">
        <f>RS!I175</f>
        <v/>
      </c>
      <c r="H255" s="222" t="str">
        <f>RS!J175</f>
        <v/>
      </c>
      <c r="I255" s="222" t="str">
        <f>RS!K175</f>
        <v/>
      </c>
      <c r="J255" s="102" t="str">
        <f>RS!L175</f>
        <v/>
      </c>
      <c r="K255" s="218" t="str">
        <f>RS!M175</f>
        <v/>
      </c>
      <c r="L255" s="218" t="str">
        <f>RS!N175</f>
        <v/>
      </c>
      <c r="M255" s="218" t="str">
        <f>RS!O175</f>
        <v/>
      </c>
      <c r="N255" s="218" t="str">
        <f>RS!P175</f>
        <v/>
      </c>
      <c r="O255" s="218" t="str">
        <f>RS!Q175</f>
        <v/>
      </c>
      <c r="P255" s="222" t="str">
        <f>RS!R175</f>
        <v/>
      </c>
      <c r="Q255" s="222" t="str">
        <f>RS!S175</f>
        <v/>
      </c>
      <c r="R255" s="609" t="str">
        <f>RS!T175</f>
        <v>Pga kraftiga vindar var provtagning ej möjlig</v>
      </c>
      <c r="S255" s="428"/>
      <c r="T255" s="421"/>
      <c r="U255" s="422"/>
      <c r="V255" s="423"/>
      <c r="W255" s="421"/>
      <c r="X255" s="421"/>
      <c r="Y255" s="421"/>
      <c r="Z255" s="421"/>
      <c r="AA255" s="421"/>
      <c r="AB255" s="411"/>
      <c r="AC255" s="411"/>
      <c r="AD255" s="411"/>
      <c r="AE255" s="102" t="str">
        <f t="shared" si="65"/>
        <v/>
      </c>
      <c r="AF255" s="102" t="str">
        <f t="shared" si="66"/>
        <v/>
      </c>
      <c r="AG255" s="102" t="str">
        <f t="shared" si="67"/>
        <v/>
      </c>
      <c r="AH255" s="102" t="str">
        <f t="shared" si="68"/>
        <v/>
      </c>
      <c r="AI255" s="102" t="str">
        <f t="shared" si="69"/>
        <v/>
      </c>
      <c r="AJ255" s="102" t="str">
        <f t="shared" si="70"/>
        <v/>
      </c>
      <c r="AK255" s="102" t="str">
        <f t="shared" si="71"/>
        <v/>
      </c>
      <c r="AL255" s="102" t="str">
        <f t="shared" si="72"/>
        <v/>
      </c>
      <c r="AM255" s="102" t="str">
        <f t="shared" si="73"/>
        <v/>
      </c>
      <c r="AN255" s="102" t="str">
        <f t="shared" si="74"/>
        <v/>
      </c>
      <c r="AO255" s="102" t="str">
        <f t="shared" si="75"/>
        <v/>
      </c>
      <c r="AP255" s="102" t="str">
        <f t="shared" si="76"/>
        <v/>
      </c>
      <c r="AQ255" s="102" t="str">
        <f t="shared" si="77"/>
        <v/>
      </c>
    </row>
    <row r="256" spans="1:43" s="102" customFormat="1" ht="12" customHeight="1">
      <c r="A256" s="118">
        <v>30</v>
      </c>
      <c r="B256" s="102" t="str">
        <f>RS!D176</f>
        <v>18  Vombsjön, djuphålan, botten</v>
      </c>
      <c r="C256" s="206" t="str">
        <f>RS!E176</f>
        <v/>
      </c>
      <c r="D256" s="222" t="str">
        <f>RS!F176</f>
        <v/>
      </c>
      <c r="E256" s="222" t="str">
        <f>RS!G176</f>
        <v/>
      </c>
      <c r="F256" s="218" t="str">
        <f>RS!H176</f>
        <v/>
      </c>
      <c r="G256" s="222" t="str">
        <f>RS!I176</f>
        <v/>
      </c>
      <c r="H256" s="222" t="str">
        <f>RS!J176</f>
        <v/>
      </c>
      <c r="I256" s="222" t="str">
        <f>RS!K176</f>
        <v/>
      </c>
      <c r="J256" s="102" t="str">
        <f>RS!L176</f>
        <v/>
      </c>
      <c r="K256" s="218" t="str">
        <f>RS!M176</f>
        <v/>
      </c>
      <c r="L256" s="218" t="str">
        <f>RS!N176</f>
        <v/>
      </c>
      <c r="M256" s="218" t="str">
        <f>RS!O176</f>
        <v/>
      </c>
      <c r="N256" s="218" t="str">
        <f>RS!P176</f>
        <v/>
      </c>
      <c r="O256" s="218" t="str">
        <f>RS!Q176</f>
        <v/>
      </c>
      <c r="P256" s="222" t="str">
        <f>RS!R176</f>
        <v/>
      </c>
      <c r="Q256" s="222" t="str">
        <f>RS!S176</f>
        <v/>
      </c>
      <c r="R256" s="609" t="str">
        <f>RS!T176</f>
        <v>Pga kraftiga vindar var provtagning ej möjlig</v>
      </c>
      <c r="S256" s="428"/>
      <c r="T256" s="421"/>
      <c r="U256" s="422"/>
      <c r="V256" s="423"/>
      <c r="W256" s="421"/>
      <c r="X256" s="421"/>
      <c r="Y256" s="421"/>
      <c r="Z256" s="421"/>
      <c r="AA256" s="421"/>
      <c r="AB256" s="411"/>
      <c r="AC256" s="411"/>
      <c r="AD256" s="411"/>
      <c r="AE256" s="102" t="str">
        <f t="shared" si="65"/>
        <v/>
      </c>
      <c r="AF256" s="102" t="str">
        <f t="shared" si="66"/>
        <v/>
      </c>
      <c r="AG256" s="102" t="str">
        <f t="shared" si="67"/>
        <v/>
      </c>
      <c r="AH256" s="102" t="str">
        <f t="shared" si="68"/>
        <v/>
      </c>
      <c r="AI256" s="102" t="str">
        <f t="shared" si="69"/>
        <v/>
      </c>
      <c r="AJ256" s="102" t="str">
        <f t="shared" si="70"/>
        <v/>
      </c>
      <c r="AK256" s="102" t="str">
        <f t="shared" si="71"/>
        <v/>
      </c>
      <c r="AL256" s="102" t="str">
        <f t="shared" si="72"/>
        <v/>
      </c>
      <c r="AM256" s="102" t="str">
        <f t="shared" si="73"/>
        <v/>
      </c>
      <c r="AN256" s="102" t="str">
        <f t="shared" si="74"/>
        <v/>
      </c>
      <c r="AO256" s="102" t="str">
        <f t="shared" si="75"/>
        <v/>
      </c>
      <c r="AP256" s="102" t="str">
        <f t="shared" si="76"/>
        <v/>
      </c>
      <c r="AQ256" s="102" t="str">
        <f t="shared" si="77"/>
        <v/>
      </c>
    </row>
    <row r="257" spans="1:43" s="102" customFormat="1" ht="12" customHeight="1">
      <c r="A257" s="118">
        <v>30</v>
      </c>
      <c r="B257" s="102" t="str">
        <f>RS!D177</f>
        <v>18  Vombsjön, djuphålan, botten</v>
      </c>
      <c r="C257" s="206" t="str">
        <f>RS!E177</f>
        <v/>
      </c>
      <c r="D257" s="222" t="str">
        <f>RS!F177</f>
        <v/>
      </c>
      <c r="E257" s="222" t="str">
        <f>RS!G177</f>
        <v/>
      </c>
      <c r="F257" s="218" t="str">
        <f>RS!H177</f>
        <v/>
      </c>
      <c r="G257" s="222" t="str">
        <f>RS!I177</f>
        <v/>
      </c>
      <c r="H257" s="222" t="str">
        <f>RS!J177</f>
        <v/>
      </c>
      <c r="I257" s="222" t="str">
        <f>RS!K177</f>
        <v/>
      </c>
      <c r="J257" s="102" t="str">
        <f>RS!L177</f>
        <v/>
      </c>
      <c r="K257" s="218" t="str">
        <f>RS!M177</f>
        <v/>
      </c>
      <c r="L257" s="218" t="str">
        <f>RS!N177</f>
        <v/>
      </c>
      <c r="M257" s="218" t="str">
        <f>RS!O177</f>
        <v/>
      </c>
      <c r="N257" s="218" t="str">
        <f>RS!P177</f>
        <v/>
      </c>
      <c r="O257" s="218" t="str">
        <f>RS!Q177</f>
        <v/>
      </c>
      <c r="P257" s="222" t="str">
        <f>RS!R177</f>
        <v/>
      </c>
      <c r="Q257" s="222" t="str">
        <f>RS!S177</f>
        <v/>
      </c>
      <c r="R257" s="609" t="str">
        <f>RS!T177</f>
        <v/>
      </c>
      <c r="S257" s="420"/>
      <c r="T257" s="421"/>
      <c r="U257" s="422"/>
      <c r="V257" s="423"/>
      <c r="W257" s="421"/>
      <c r="X257" s="421"/>
      <c r="Y257" s="421"/>
      <c r="Z257" s="421"/>
      <c r="AA257" s="421"/>
      <c r="AB257" s="411"/>
      <c r="AC257" s="411"/>
      <c r="AD257" s="411"/>
      <c r="AE257" s="102" t="str">
        <f t="shared" si="65"/>
        <v/>
      </c>
      <c r="AF257" s="102" t="str">
        <f t="shared" si="66"/>
        <v/>
      </c>
      <c r="AG257" s="102" t="str">
        <f t="shared" si="67"/>
        <v/>
      </c>
      <c r="AH257" s="102" t="str">
        <f t="shared" si="68"/>
        <v/>
      </c>
      <c r="AI257" s="102" t="str">
        <f t="shared" si="69"/>
        <v/>
      </c>
      <c r="AJ257" s="102" t="str">
        <f t="shared" si="70"/>
        <v/>
      </c>
      <c r="AK257" s="102" t="str">
        <f t="shared" si="71"/>
        <v/>
      </c>
      <c r="AL257" s="102" t="str">
        <f t="shared" si="72"/>
        <v/>
      </c>
      <c r="AM257" s="102" t="str">
        <f t="shared" si="73"/>
        <v/>
      </c>
      <c r="AN257" s="102" t="str">
        <f t="shared" si="74"/>
        <v/>
      </c>
      <c r="AO257" s="102" t="str">
        <f t="shared" si="75"/>
        <v/>
      </c>
      <c r="AP257" s="102" t="str">
        <f t="shared" si="76"/>
        <v/>
      </c>
      <c r="AQ257" s="102" t="str">
        <f t="shared" si="77"/>
        <v/>
      </c>
    </row>
    <row r="258" spans="1:43" s="102" customFormat="1" ht="12" customHeight="1">
      <c r="A258" s="118">
        <v>30</v>
      </c>
      <c r="B258" s="102" t="str">
        <f>RS!D178</f>
        <v>18  Vombsjön, djuphålan, botten</v>
      </c>
      <c r="C258" s="206" t="str">
        <f>RS!E178</f>
        <v/>
      </c>
      <c r="D258" s="222" t="str">
        <f>RS!F178</f>
        <v/>
      </c>
      <c r="E258" s="222" t="str">
        <f>RS!G178</f>
        <v/>
      </c>
      <c r="F258" s="218" t="str">
        <f>RS!H178</f>
        <v/>
      </c>
      <c r="G258" s="222" t="str">
        <f>RS!I178</f>
        <v/>
      </c>
      <c r="H258" s="222" t="str">
        <f>RS!J178</f>
        <v/>
      </c>
      <c r="I258" s="222" t="str">
        <f>RS!K178</f>
        <v/>
      </c>
      <c r="J258" s="102" t="str">
        <f>RS!L178</f>
        <v/>
      </c>
      <c r="K258" s="218" t="str">
        <f>RS!M178</f>
        <v/>
      </c>
      <c r="L258" s="218" t="str">
        <f>RS!N178</f>
        <v/>
      </c>
      <c r="M258" s="218" t="str">
        <f>RS!O178</f>
        <v/>
      </c>
      <c r="N258" s="218" t="str">
        <f>RS!P178</f>
        <v/>
      </c>
      <c r="O258" s="218" t="str">
        <f>RS!Q178</f>
        <v/>
      </c>
      <c r="P258" s="222" t="str">
        <f>RS!R178</f>
        <v/>
      </c>
      <c r="Q258" s="222" t="str">
        <f>RS!S178</f>
        <v/>
      </c>
      <c r="R258" s="609" t="str">
        <f>RS!T178</f>
        <v/>
      </c>
      <c r="S258" s="420"/>
      <c r="T258" s="421"/>
      <c r="U258" s="422"/>
      <c r="V258" s="423"/>
      <c r="W258" s="421"/>
      <c r="X258" s="421"/>
      <c r="Y258" s="421"/>
      <c r="Z258" s="421"/>
      <c r="AA258" s="421"/>
      <c r="AB258" s="411"/>
      <c r="AC258" s="411"/>
      <c r="AD258" s="411"/>
      <c r="AE258" s="102" t="str">
        <f t="shared" si="65"/>
        <v/>
      </c>
      <c r="AF258" s="102" t="str">
        <f t="shared" si="66"/>
        <v/>
      </c>
      <c r="AG258" s="102" t="str">
        <f t="shared" si="67"/>
        <v/>
      </c>
      <c r="AH258" s="102" t="str">
        <f t="shared" si="68"/>
        <v/>
      </c>
      <c r="AI258" s="102" t="str">
        <f t="shared" si="69"/>
        <v/>
      </c>
      <c r="AJ258" s="102" t="str">
        <f t="shared" si="70"/>
        <v/>
      </c>
      <c r="AK258" s="102" t="str">
        <f t="shared" si="71"/>
        <v/>
      </c>
      <c r="AL258" s="102" t="str">
        <f t="shared" si="72"/>
        <v/>
      </c>
      <c r="AM258" s="102" t="str">
        <f t="shared" si="73"/>
        <v/>
      </c>
      <c r="AN258" s="102" t="str">
        <f t="shared" si="74"/>
        <v/>
      </c>
      <c r="AO258" s="102" t="str">
        <f t="shared" si="75"/>
        <v/>
      </c>
      <c r="AP258" s="102" t="str">
        <f t="shared" si="76"/>
        <v/>
      </c>
      <c r="AQ258" s="102" t="str">
        <f t="shared" si="77"/>
        <v/>
      </c>
    </row>
    <row r="259" spans="1:43" s="102" customFormat="1" ht="12" customHeight="1">
      <c r="A259" s="118">
        <v>30</v>
      </c>
      <c r="B259" s="102" t="str">
        <f>RS!D179</f>
        <v>18  Vombsjön, djuphålan, botten</v>
      </c>
      <c r="C259" s="206" t="str">
        <f>RS!E179</f>
        <v/>
      </c>
      <c r="D259" s="222" t="str">
        <f>RS!F179</f>
        <v/>
      </c>
      <c r="E259" s="222" t="str">
        <f>RS!G179</f>
        <v/>
      </c>
      <c r="F259" s="218" t="str">
        <f>RS!H179</f>
        <v/>
      </c>
      <c r="G259" s="222" t="str">
        <f>RS!I179</f>
        <v/>
      </c>
      <c r="H259" s="222" t="str">
        <f>RS!J179</f>
        <v/>
      </c>
      <c r="I259" s="222" t="str">
        <f>RS!K179</f>
        <v/>
      </c>
      <c r="J259" s="102" t="str">
        <f>RS!L179</f>
        <v/>
      </c>
      <c r="K259" s="218" t="str">
        <f>RS!M179</f>
        <v/>
      </c>
      <c r="L259" s="218" t="str">
        <f>RS!N179</f>
        <v/>
      </c>
      <c r="M259" s="218" t="str">
        <f>RS!O179</f>
        <v/>
      </c>
      <c r="N259" s="218" t="str">
        <f>RS!P179</f>
        <v/>
      </c>
      <c r="O259" s="218" t="str">
        <f>RS!Q179</f>
        <v/>
      </c>
      <c r="P259" s="222" t="str">
        <f>RS!R179</f>
        <v/>
      </c>
      <c r="Q259" s="222" t="str">
        <f>RS!S179</f>
        <v/>
      </c>
      <c r="R259" s="609" t="str">
        <f>RS!T179</f>
        <v/>
      </c>
      <c r="S259" s="420"/>
      <c r="T259" s="421"/>
      <c r="U259" s="422"/>
      <c r="V259" s="423"/>
      <c r="W259" s="421"/>
      <c r="X259" s="421"/>
      <c r="Y259" s="421"/>
      <c r="Z259" s="421"/>
      <c r="AA259" s="421"/>
      <c r="AB259" s="411"/>
      <c r="AC259" s="411"/>
      <c r="AD259" s="411"/>
      <c r="AE259" s="102" t="str">
        <f t="shared" si="65"/>
        <v/>
      </c>
      <c r="AF259" s="102" t="str">
        <f t="shared" si="66"/>
        <v/>
      </c>
      <c r="AG259" s="102" t="str">
        <f t="shared" si="67"/>
        <v/>
      </c>
      <c r="AH259" s="102" t="str">
        <f t="shared" si="68"/>
        <v/>
      </c>
      <c r="AI259" s="102" t="str">
        <f t="shared" si="69"/>
        <v/>
      </c>
      <c r="AJ259" s="102" t="str">
        <f t="shared" si="70"/>
        <v/>
      </c>
      <c r="AK259" s="102" t="str">
        <f t="shared" si="71"/>
        <v/>
      </c>
      <c r="AL259" s="102" t="str">
        <f t="shared" si="72"/>
        <v/>
      </c>
      <c r="AM259" s="102" t="str">
        <f t="shared" si="73"/>
        <v/>
      </c>
      <c r="AN259" s="102" t="str">
        <f t="shared" si="74"/>
        <v/>
      </c>
      <c r="AO259" s="102" t="str">
        <f t="shared" si="75"/>
        <v/>
      </c>
      <c r="AP259" s="102" t="str">
        <f t="shared" si="76"/>
        <v/>
      </c>
      <c r="AQ259" s="102" t="str">
        <f t="shared" si="77"/>
        <v/>
      </c>
    </row>
    <row r="260" spans="1:43" s="102" customFormat="1" ht="12" customHeight="1">
      <c r="A260" s="118">
        <v>30</v>
      </c>
      <c r="B260" s="102" t="str">
        <f>RS!D180</f>
        <v>18  Vombsjön, djuphålan, botten</v>
      </c>
      <c r="C260" s="206" t="str">
        <f>RS!E180</f>
        <v/>
      </c>
      <c r="D260" s="222" t="str">
        <f>RS!F180</f>
        <v/>
      </c>
      <c r="E260" s="222" t="str">
        <f>RS!G180</f>
        <v/>
      </c>
      <c r="F260" s="218" t="str">
        <f>RS!H180</f>
        <v/>
      </c>
      <c r="G260" s="222" t="str">
        <f>RS!I180</f>
        <v/>
      </c>
      <c r="H260" s="222" t="str">
        <f>RS!J180</f>
        <v/>
      </c>
      <c r="I260" s="222" t="str">
        <f>RS!K180</f>
        <v/>
      </c>
      <c r="J260" s="102" t="str">
        <f>RS!L180</f>
        <v/>
      </c>
      <c r="K260" s="218" t="str">
        <f>RS!M180</f>
        <v/>
      </c>
      <c r="L260" s="218" t="str">
        <f>RS!N180</f>
        <v/>
      </c>
      <c r="M260" s="218" t="str">
        <f>RS!O180</f>
        <v/>
      </c>
      <c r="N260" s="218" t="str">
        <f>RS!P180</f>
        <v/>
      </c>
      <c r="O260" s="218" t="str">
        <f>RS!Q180</f>
        <v/>
      </c>
      <c r="P260" s="222" t="str">
        <f>RS!R180</f>
        <v/>
      </c>
      <c r="Q260" s="222" t="str">
        <f>RS!S180</f>
        <v/>
      </c>
      <c r="R260" s="609" t="str">
        <f>RS!T180</f>
        <v/>
      </c>
      <c r="S260" s="420"/>
      <c r="T260" s="421"/>
      <c r="U260" s="422"/>
      <c r="V260" s="423"/>
      <c r="W260" s="421"/>
      <c r="X260" s="421"/>
      <c r="Y260" s="421"/>
      <c r="Z260" s="421"/>
      <c r="AA260" s="421"/>
      <c r="AB260" s="411"/>
      <c r="AC260" s="411"/>
      <c r="AD260" s="411"/>
      <c r="AE260" s="102" t="str">
        <f t="shared" si="65"/>
        <v/>
      </c>
      <c r="AF260" s="102" t="str">
        <f t="shared" si="66"/>
        <v/>
      </c>
      <c r="AG260" s="102" t="str">
        <f t="shared" si="67"/>
        <v/>
      </c>
      <c r="AH260" s="102" t="str">
        <f t="shared" si="68"/>
        <v/>
      </c>
      <c r="AI260" s="102" t="str">
        <f t="shared" si="69"/>
        <v/>
      </c>
      <c r="AJ260" s="102" t="str">
        <f t="shared" si="70"/>
        <v/>
      </c>
      <c r="AK260" s="102" t="str">
        <f t="shared" si="71"/>
        <v/>
      </c>
      <c r="AL260" s="102" t="str">
        <f t="shared" si="72"/>
        <v/>
      </c>
      <c r="AM260" s="102" t="str">
        <f t="shared" si="73"/>
        <v/>
      </c>
      <c r="AN260" s="102" t="str">
        <f t="shared" si="74"/>
        <v/>
      </c>
      <c r="AO260" s="102" t="str">
        <f t="shared" si="75"/>
        <v/>
      </c>
      <c r="AP260" s="102" t="str">
        <f t="shared" si="76"/>
        <v/>
      </c>
      <c r="AQ260" s="102" t="str">
        <f t="shared" si="77"/>
        <v/>
      </c>
    </row>
    <row r="261" spans="1:43" s="102" customFormat="1" ht="12" customHeight="1">
      <c r="A261" s="118">
        <v>30</v>
      </c>
      <c r="B261" s="102" t="str">
        <f>RS!D181</f>
        <v>18  Vombsjön, djuphålan, botten</v>
      </c>
      <c r="C261" s="206" t="str">
        <f>RS!E181</f>
        <v/>
      </c>
      <c r="D261" s="222" t="str">
        <f>RS!F181</f>
        <v/>
      </c>
      <c r="E261" s="222" t="str">
        <f>RS!G181</f>
        <v/>
      </c>
      <c r="F261" s="218" t="str">
        <f>RS!H181</f>
        <v/>
      </c>
      <c r="G261" s="222" t="str">
        <f>RS!I181</f>
        <v/>
      </c>
      <c r="H261" s="222" t="str">
        <f>RS!J181</f>
        <v/>
      </c>
      <c r="I261" s="222" t="str">
        <f>RS!K181</f>
        <v/>
      </c>
      <c r="J261" s="102" t="str">
        <f>RS!L181</f>
        <v/>
      </c>
      <c r="K261" s="218" t="str">
        <f>RS!M181</f>
        <v/>
      </c>
      <c r="L261" s="218" t="str">
        <f>RS!N181</f>
        <v/>
      </c>
      <c r="M261" s="218" t="str">
        <f>RS!O181</f>
        <v/>
      </c>
      <c r="N261" s="218" t="str">
        <f>RS!P181</f>
        <v/>
      </c>
      <c r="O261" s="218" t="str">
        <f>RS!Q181</f>
        <v/>
      </c>
      <c r="P261" s="222" t="str">
        <f>RS!R181</f>
        <v/>
      </c>
      <c r="Q261" s="222" t="str">
        <f>RS!S181</f>
        <v/>
      </c>
      <c r="R261" s="609" t="str">
        <f>RS!T181</f>
        <v/>
      </c>
      <c r="S261" s="420"/>
      <c r="T261" s="421"/>
      <c r="U261" s="422"/>
      <c r="V261" s="423"/>
      <c r="W261" s="421"/>
      <c r="X261" s="421"/>
      <c r="Y261" s="421"/>
      <c r="Z261" s="421"/>
      <c r="AA261" s="421"/>
      <c r="AB261" s="411"/>
      <c r="AC261" s="411"/>
      <c r="AD261" s="411"/>
      <c r="AE261" s="102" t="str">
        <f t="shared" si="65"/>
        <v/>
      </c>
      <c r="AF261" s="102" t="str">
        <f t="shared" si="66"/>
        <v/>
      </c>
      <c r="AG261" s="102" t="str">
        <f t="shared" si="67"/>
        <v/>
      </c>
      <c r="AH261" s="102" t="str">
        <f t="shared" si="68"/>
        <v/>
      </c>
      <c r="AI261" s="102" t="str">
        <f t="shared" si="69"/>
        <v/>
      </c>
      <c r="AJ261" s="102" t="str">
        <f t="shared" si="70"/>
        <v/>
      </c>
      <c r="AK261" s="102" t="str">
        <f t="shared" si="71"/>
        <v/>
      </c>
      <c r="AL261" s="102" t="str">
        <f t="shared" si="72"/>
        <v/>
      </c>
      <c r="AM261" s="102" t="str">
        <f t="shared" si="73"/>
        <v/>
      </c>
      <c r="AN261" s="102" t="str">
        <f t="shared" si="74"/>
        <v/>
      </c>
      <c r="AO261" s="102" t="str">
        <f t="shared" si="75"/>
        <v/>
      </c>
      <c r="AP261" s="102" t="str">
        <f t="shared" si="76"/>
        <v/>
      </c>
      <c r="AQ261" s="102" t="str">
        <f t="shared" si="77"/>
        <v/>
      </c>
    </row>
    <row r="262" spans="1:43" s="102" customFormat="1" ht="12">
      <c r="A262" s="118">
        <v>30</v>
      </c>
      <c r="B262" s="102" t="str">
        <f>RS!D182</f>
        <v>18  Vombsjön, djuphålan, botten</v>
      </c>
      <c r="C262" s="206" t="str">
        <f>RS!E182</f>
        <v>2025-05-15</v>
      </c>
      <c r="D262" s="222">
        <f>RS!F182</f>
        <v>11.4</v>
      </c>
      <c r="E262" s="222">
        <f>RS!G182</f>
        <v>10.52</v>
      </c>
      <c r="F262" s="218">
        <f>RS!H182</f>
        <v>97</v>
      </c>
      <c r="G262" s="222" t="str">
        <f>RS!I182</f>
        <v/>
      </c>
      <c r="H262" s="222" t="str">
        <f>RS!J182</f>
        <v/>
      </c>
      <c r="I262" s="222" t="str">
        <f>RS!K182</f>
        <v/>
      </c>
      <c r="J262" s="102" t="str">
        <f>RS!L182</f>
        <v/>
      </c>
      <c r="K262" s="218" t="str">
        <f>RS!M182</f>
        <v>&lt;2</v>
      </c>
      <c r="L262" s="218">
        <f>RS!N182</f>
        <v>25</v>
      </c>
      <c r="M262" s="218">
        <f>RS!O182</f>
        <v>2000</v>
      </c>
      <c r="N262" s="218">
        <f>RS!P182</f>
        <v>44</v>
      </c>
      <c r="O262" s="218">
        <f>RS!Q182</f>
        <v>2500</v>
      </c>
      <c r="P262" s="222" t="str">
        <f>RS!R182</f>
        <v/>
      </c>
      <c r="Q262" s="222" t="str">
        <f>RS!S182</f>
        <v/>
      </c>
      <c r="R262" s="609" t="str">
        <f>RS!T182</f>
        <v>Pga kraftiga vindar togs provet på 8,5 m djup</v>
      </c>
      <c r="S262" s="420"/>
      <c r="T262" s="421"/>
      <c r="U262" s="422"/>
      <c r="V262" s="423"/>
      <c r="W262" s="421"/>
      <c r="X262" s="421"/>
      <c r="Y262" s="421"/>
      <c r="Z262" s="421"/>
      <c r="AA262" s="421"/>
      <c r="AB262" s="411"/>
      <c r="AC262" s="411"/>
      <c r="AD262" s="411"/>
      <c r="AE262" s="102">
        <f t="shared" si="65"/>
        <v>11.4</v>
      </c>
      <c r="AF262" s="102">
        <f t="shared" si="66"/>
        <v>10.52</v>
      </c>
      <c r="AG262" s="102">
        <f t="shared" si="67"/>
        <v>97</v>
      </c>
      <c r="AH262" s="102" t="str">
        <f t="shared" si="68"/>
        <v/>
      </c>
      <c r="AI262" s="102" t="str">
        <f t="shared" si="69"/>
        <v/>
      </c>
      <c r="AJ262" s="102" t="str">
        <f t="shared" si="70"/>
        <v/>
      </c>
      <c r="AK262" s="102" t="str">
        <f t="shared" si="71"/>
        <v/>
      </c>
      <c r="AL262" s="102">
        <f t="shared" si="72"/>
        <v>2</v>
      </c>
      <c r="AM262" s="102">
        <f t="shared" si="73"/>
        <v>25</v>
      </c>
      <c r="AN262" s="102">
        <f t="shared" si="74"/>
        <v>2000</v>
      </c>
      <c r="AO262" s="102">
        <f t="shared" si="75"/>
        <v>44</v>
      </c>
      <c r="AP262" s="102">
        <f t="shared" si="76"/>
        <v>2500</v>
      </c>
      <c r="AQ262" s="102" t="str">
        <f t="shared" si="77"/>
        <v/>
      </c>
    </row>
    <row r="263" spans="1:43" s="102" customFormat="1" ht="12">
      <c r="A263" s="117"/>
      <c r="C263" s="610" t="s">
        <v>150</v>
      </c>
      <c r="D263" s="611">
        <f t="shared" ref="D263:I263" si="78">AVERAGE(AE251:AE262)</f>
        <v>6.9</v>
      </c>
      <c r="E263" s="611">
        <f t="shared" si="78"/>
        <v>12.43</v>
      </c>
      <c r="F263" s="612">
        <f t="shared" si="78"/>
        <v>101.5</v>
      </c>
      <c r="G263" s="611" t="e">
        <f t="shared" si="78"/>
        <v>#DIV/0!</v>
      </c>
      <c r="H263" s="611" t="e">
        <f t="shared" si="78"/>
        <v>#DIV/0!</v>
      </c>
      <c r="I263" s="611" t="e">
        <f t="shared" si="78"/>
        <v>#DIV/0!</v>
      </c>
      <c r="J263" s="611"/>
      <c r="K263" s="612">
        <f>AVERAGE(AL251:AL262)</f>
        <v>11.925000000000001</v>
      </c>
      <c r="L263" s="612">
        <f>AVERAGE(AM251:AM262)</f>
        <v>46.5</v>
      </c>
      <c r="M263" s="612">
        <f>AVERAGE(AN251:AN262)</f>
        <v>2625</v>
      </c>
      <c r="N263" s="612">
        <f>AVERAGE(AO251:AO262)</f>
        <v>35.75</v>
      </c>
      <c r="O263" s="612">
        <f>AVERAGE(AP251:AP262)</f>
        <v>3200</v>
      </c>
      <c r="P263" s="611"/>
      <c r="Q263" s="715"/>
      <c r="R263" s="307"/>
      <c r="S263" s="420"/>
      <c r="T263" s="421"/>
      <c r="U263" s="422"/>
      <c r="V263" s="423"/>
      <c r="W263" s="421"/>
      <c r="X263" s="421"/>
      <c r="Y263" s="421"/>
      <c r="Z263" s="421"/>
      <c r="AA263" s="421"/>
      <c r="AB263" s="411"/>
      <c r="AC263" s="411"/>
      <c r="AD263" s="411"/>
      <c r="AE263" s="102">
        <f t="shared" si="65"/>
        <v>6.9</v>
      </c>
      <c r="AF263" s="102">
        <f t="shared" si="66"/>
        <v>12.43</v>
      </c>
      <c r="AG263" s="102">
        <f t="shared" si="67"/>
        <v>101.5</v>
      </c>
      <c r="AH263" s="102" t="e">
        <f t="shared" si="68"/>
        <v>#DIV/0!</v>
      </c>
      <c r="AI263" s="102" t="e">
        <f t="shared" si="69"/>
        <v>#DIV/0!</v>
      </c>
      <c r="AJ263" s="102" t="e">
        <f t="shared" si="70"/>
        <v>#DIV/0!</v>
      </c>
      <c r="AK263" s="102">
        <f t="shared" si="71"/>
        <v>0</v>
      </c>
      <c r="AL263" s="102">
        <f t="shared" si="72"/>
        <v>11.925000000000001</v>
      </c>
      <c r="AM263" s="102">
        <f t="shared" si="73"/>
        <v>46.5</v>
      </c>
      <c r="AN263" s="102">
        <f t="shared" si="74"/>
        <v>2625</v>
      </c>
      <c r="AO263" s="102">
        <f t="shared" si="75"/>
        <v>35.75</v>
      </c>
      <c r="AP263" s="102">
        <f t="shared" si="76"/>
        <v>3200</v>
      </c>
      <c r="AQ263" s="102">
        <f t="shared" si="77"/>
        <v>0</v>
      </c>
    </row>
    <row r="264" spans="1:43" s="102" customFormat="1" ht="12">
      <c r="A264" s="117"/>
      <c r="C264" s="613" t="s">
        <v>151</v>
      </c>
      <c r="D264" s="614">
        <f t="shared" ref="D264:I264" si="79">MAX(AE251:AE262)</f>
        <v>11.4</v>
      </c>
      <c r="E264" s="614">
        <f t="shared" si="79"/>
        <v>14.55</v>
      </c>
      <c r="F264" s="615">
        <f t="shared" si="79"/>
        <v>113</v>
      </c>
      <c r="G264" s="614">
        <f t="shared" si="79"/>
        <v>0</v>
      </c>
      <c r="H264" s="614">
        <f t="shared" si="79"/>
        <v>0</v>
      </c>
      <c r="I264" s="614">
        <f t="shared" si="79"/>
        <v>0</v>
      </c>
      <c r="J264" s="614"/>
      <c r="K264" s="615">
        <f>MAX(AL251:AL262)</f>
        <v>34</v>
      </c>
      <c r="L264" s="615">
        <f>MAX(AM251:AM262)</f>
        <v>84</v>
      </c>
      <c r="M264" s="615">
        <f>MAX(AN251:AN262)</f>
        <v>3100</v>
      </c>
      <c r="N264" s="615">
        <f>MAX(AO251:AO262)</f>
        <v>72</v>
      </c>
      <c r="O264" s="615">
        <f>MAX(AP251:AP262)</f>
        <v>3800</v>
      </c>
      <c r="P264" s="614"/>
      <c r="Q264" s="716"/>
      <c r="R264" s="307"/>
      <c r="S264" s="420"/>
      <c r="T264" s="421"/>
      <c r="U264" s="422"/>
      <c r="V264" s="423"/>
      <c r="W264" s="421"/>
      <c r="X264" s="421"/>
      <c r="Y264" s="421"/>
      <c r="Z264" s="421"/>
      <c r="AA264" s="421"/>
      <c r="AB264" s="411"/>
      <c r="AC264" s="411"/>
      <c r="AD264" s="411"/>
      <c r="AE264" s="102">
        <f t="shared" si="65"/>
        <v>11.4</v>
      </c>
      <c r="AF264" s="102">
        <f t="shared" si="66"/>
        <v>14.55</v>
      </c>
      <c r="AG264" s="102">
        <f t="shared" si="67"/>
        <v>113</v>
      </c>
      <c r="AH264" s="102">
        <f t="shared" si="68"/>
        <v>0</v>
      </c>
      <c r="AI264" s="102">
        <f t="shared" si="69"/>
        <v>0</v>
      </c>
      <c r="AJ264" s="102">
        <f t="shared" si="70"/>
        <v>0</v>
      </c>
      <c r="AK264" s="102">
        <f t="shared" si="71"/>
        <v>0</v>
      </c>
      <c r="AL264" s="102">
        <f t="shared" si="72"/>
        <v>34</v>
      </c>
      <c r="AM264" s="102">
        <f t="shared" si="73"/>
        <v>84</v>
      </c>
      <c r="AN264" s="102">
        <f t="shared" si="74"/>
        <v>3100</v>
      </c>
      <c r="AO264" s="102">
        <f t="shared" si="75"/>
        <v>72</v>
      </c>
      <c r="AP264" s="102">
        <f t="shared" si="76"/>
        <v>3800</v>
      </c>
      <c r="AQ264" s="102">
        <f t="shared" si="77"/>
        <v>0</v>
      </c>
    </row>
    <row r="265" spans="1:43" s="102" customFormat="1" ht="12">
      <c r="A265" s="117"/>
      <c r="C265" s="616" t="s">
        <v>152</v>
      </c>
      <c r="D265" s="617">
        <f t="shared" ref="D265:I265" si="80">MIN(AE251:AE262)</f>
        <v>2</v>
      </c>
      <c r="E265" s="617">
        <f t="shared" si="80"/>
        <v>10.52</v>
      </c>
      <c r="F265" s="618">
        <f t="shared" si="80"/>
        <v>96</v>
      </c>
      <c r="G265" s="617">
        <f t="shared" si="80"/>
        <v>0</v>
      </c>
      <c r="H265" s="617">
        <f t="shared" si="80"/>
        <v>0</v>
      </c>
      <c r="I265" s="617">
        <f t="shared" si="80"/>
        <v>0</v>
      </c>
      <c r="J265" s="617"/>
      <c r="K265" s="618">
        <f>MIN(AL251:AL262)</f>
        <v>2</v>
      </c>
      <c r="L265" s="618">
        <f>MIN(AM251:AM262)</f>
        <v>25</v>
      </c>
      <c r="M265" s="618">
        <f>MIN(AN251:AN262)</f>
        <v>2000</v>
      </c>
      <c r="N265" s="618">
        <f>MIN(AO251:AO262)</f>
        <v>10</v>
      </c>
      <c r="O265" s="618">
        <f>MIN(AP251:AP262)</f>
        <v>2500</v>
      </c>
      <c r="P265" s="617"/>
      <c r="Q265" s="717"/>
      <c r="R265" s="307"/>
      <c r="S265" s="420"/>
      <c r="T265" s="421"/>
      <c r="U265" s="422"/>
      <c r="V265" s="423"/>
      <c r="W265" s="421"/>
      <c r="X265" s="421"/>
      <c r="Y265" s="421"/>
      <c r="Z265" s="421"/>
      <c r="AA265" s="421"/>
      <c r="AB265" s="411"/>
      <c r="AC265" s="411"/>
      <c r="AD265" s="411"/>
      <c r="AE265" s="102">
        <f t="shared" si="65"/>
        <v>2</v>
      </c>
      <c r="AF265" s="102">
        <f t="shared" si="66"/>
        <v>10.52</v>
      </c>
      <c r="AG265" s="102">
        <f t="shared" si="67"/>
        <v>96</v>
      </c>
      <c r="AH265" s="102">
        <f t="shared" si="68"/>
        <v>0</v>
      </c>
      <c r="AI265" s="102">
        <f t="shared" si="69"/>
        <v>0</v>
      </c>
      <c r="AJ265" s="102">
        <f t="shared" si="70"/>
        <v>0</v>
      </c>
      <c r="AK265" s="102">
        <f t="shared" si="71"/>
        <v>0</v>
      </c>
      <c r="AL265" s="102">
        <f t="shared" si="72"/>
        <v>2</v>
      </c>
      <c r="AM265" s="102">
        <f t="shared" si="73"/>
        <v>25</v>
      </c>
      <c r="AN265" s="102">
        <f t="shared" si="74"/>
        <v>2000</v>
      </c>
      <c r="AO265" s="102">
        <f t="shared" si="75"/>
        <v>10</v>
      </c>
      <c r="AP265" s="102">
        <f t="shared" si="76"/>
        <v>2500</v>
      </c>
      <c r="AQ265" s="102">
        <f t="shared" si="77"/>
        <v>0</v>
      </c>
    </row>
    <row r="266" spans="1:43">
      <c r="A266" s="155"/>
      <c r="B266" s="398"/>
      <c r="C266" s="405"/>
      <c r="D266" s="398"/>
      <c r="E266" s="400"/>
      <c r="F266" s="401"/>
      <c r="G266" s="398"/>
      <c r="H266" s="400"/>
      <c r="I266" s="398"/>
      <c r="J266" s="398"/>
      <c r="K266" s="398"/>
      <c r="L266" s="398"/>
      <c r="M266" s="398"/>
      <c r="N266" s="398"/>
      <c r="O266" s="398"/>
      <c r="P266" s="718"/>
      <c r="Q266" s="718"/>
      <c r="R266" s="402"/>
      <c r="S266" s="398"/>
      <c r="T266" s="398"/>
      <c r="U266" s="398"/>
      <c r="V266" s="398"/>
      <c r="W266" s="398"/>
      <c r="X266" s="398"/>
      <c r="Y266" s="398"/>
      <c r="Z266" s="398"/>
      <c r="AA266" s="398"/>
      <c r="AB266" s="398"/>
      <c r="AC266" s="398"/>
      <c r="AD266" s="398"/>
    </row>
    <row r="267" spans="1:43">
      <c r="A267" s="155"/>
      <c r="B267" s="398"/>
      <c r="C267" s="405"/>
      <c r="D267" s="398"/>
      <c r="E267" s="400"/>
      <c r="F267" s="401"/>
      <c r="G267" s="398"/>
      <c r="H267" s="400"/>
      <c r="I267" s="398"/>
      <c r="J267" s="398"/>
      <c r="K267" s="398"/>
      <c r="L267" s="398"/>
      <c r="M267" s="398"/>
      <c r="N267" s="398"/>
      <c r="O267" s="398"/>
      <c r="P267" s="718"/>
      <c r="Q267" s="718"/>
      <c r="R267" s="402"/>
      <c r="S267" s="398"/>
      <c r="T267" s="398"/>
      <c r="U267" s="398"/>
      <c r="V267" s="398"/>
      <c r="W267" s="398"/>
      <c r="X267" s="398"/>
      <c r="Y267" s="398"/>
      <c r="Z267" s="398"/>
      <c r="AA267" s="398"/>
      <c r="AB267" s="398"/>
      <c r="AC267" s="398"/>
      <c r="AD267" s="398"/>
    </row>
    <row r="268" spans="1:43">
      <c r="A268" s="155"/>
      <c r="B268" s="398"/>
      <c r="C268" s="405"/>
      <c r="D268" s="398"/>
      <c r="E268" s="400"/>
      <c r="F268" s="401"/>
      <c r="G268" s="398"/>
      <c r="H268" s="400"/>
      <c r="I268" s="398"/>
      <c r="J268" s="398"/>
      <c r="K268" s="398"/>
      <c r="L268" s="398"/>
      <c r="M268" s="398"/>
      <c r="N268" s="398"/>
      <c r="O268" s="398"/>
      <c r="P268" s="398"/>
      <c r="Q268" s="718"/>
      <c r="R268" s="402"/>
      <c r="S268" s="398"/>
      <c r="T268" s="398"/>
      <c r="U268" s="398"/>
      <c r="V268" s="398"/>
      <c r="W268" s="398"/>
      <c r="X268" s="398"/>
      <c r="Y268" s="398"/>
      <c r="Z268" s="398"/>
      <c r="AA268" s="398"/>
      <c r="AB268" s="398"/>
      <c r="AC268" s="398"/>
      <c r="AD268" s="398"/>
    </row>
    <row r="269" spans="1:43">
      <c r="A269" s="155"/>
      <c r="B269" s="398"/>
      <c r="C269" s="405"/>
      <c r="D269" s="398"/>
      <c r="E269" s="400"/>
      <c r="F269" s="401"/>
      <c r="G269" s="398"/>
      <c r="H269" s="400"/>
      <c r="I269" s="398"/>
      <c r="J269" s="398"/>
      <c r="K269" s="398"/>
      <c r="L269" s="398"/>
      <c r="M269" s="398"/>
      <c r="N269" s="398"/>
      <c r="O269" s="398"/>
      <c r="P269" s="398"/>
      <c r="Q269" s="718"/>
      <c r="R269" s="402"/>
      <c r="S269" s="398"/>
      <c r="T269" s="398"/>
      <c r="U269" s="398"/>
      <c r="V269" s="398"/>
      <c r="W269" s="398"/>
      <c r="X269" s="398"/>
      <c r="Y269" s="398"/>
      <c r="Z269" s="398"/>
      <c r="AA269" s="398"/>
      <c r="AB269" s="398"/>
      <c r="AC269" s="398"/>
      <c r="AD269" s="398"/>
    </row>
    <row r="270" spans="1:43">
      <c r="A270" s="155"/>
      <c r="B270" s="398"/>
      <c r="C270" s="405"/>
      <c r="D270" s="398"/>
      <c r="E270" s="400"/>
      <c r="F270" s="401"/>
      <c r="G270" s="398"/>
      <c r="H270" s="400"/>
      <c r="I270" s="398"/>
      <c r="J270" s="398"/>
      <c r="K270" s="398"/>
      <c r="L270" s="398"/>
      <c r="M270" s="398"/>
      <c r="N270" s="398"/>
      <c r="O270" s="398"/>
      <c r="P270" s="398"/>
      <c r="Q270" s="718"/>
      <c r="R270" s="402"/>
      <c r="S270" s="398"/>
      <c r="T270" s="398"/>
      <c r="U270" s="398"/>
      <c r="V270" s="398"/>
      <c r="W270" s="398"/>
      <c r="X270" s="398"/>
      <c r="Y270" s="398"/>
      <c r="Z270" s="398"/>
      <c r="AA270" s="398"/>
      <c r="AB270" s="398"/>
      <c r="AC270" s="398"/>
      <c r="AD270" s="398"/>
    </row>
    <row r="271" spans="1:43">
      <c r="A271" s="155"/>
      <c r="B271" s="398"/>
      <c r="C271" s="405"/>
      <c r="D271" s="398"/>
      <c r="E271" s="400"/>
      <c r="F271" s="401"/>
      <c r="G271" s="398"/>
      <c r="H271" s="400"/>
      <c r="I271" s="398"/>
      <c r="J271" s="398"/>
      <c r="K271" s="398"/>
      <c r="L271" s="398"/>
      <c r="M271" s="398"/>
      <c r="N271" s="398"/>
      <c r="O271" s="398"/>
      <c r="P271" s="398"/>
      <c r="Q271" s="718"/>
      <c r="R271" s="402"/>
      <c r="S271" s="398"/>
      <c r="T271" s="398"/>
      <c r="U271" s="398"/>
      <c r="V271" s="398"/>
      <c r="W271" s="398"/>
      <c r="X271" s="398"/>
      <c r="Y271" s="398"/>
      <c r="Z271" s="398"/>
      <c r="AA271" s="398"/>
      <c r="AB271" s="398"/>
      <c r="AC271" s="398"/>
      <c r="AD271" s="398"/>
    </row>
    <row r="272" spans="1:43">
      <c r="A272" s="155"/>
      <c r="B272" s="398"/>
      <c r="C272" s="405"/>
      <c r="D272" s="398"/>
      <c r="E272" s="400"/>
      <c r="F272" s="401"/>
      <c r="G272" s="398"/>
      <c r="H272" s="400"/>
      <c r="I272" s="398"/>
      <c r="J272" s="398"/>
      <c r="K272" s="398"/>
      <c r="L272" s="398"/>
      <c r="M272" s="398"/>
      <c r="N272" s="398"/>
      <c r="O272" s="398"/>
      <c r="P272" s="398"/>
      <c r="Q272" s="718"/>
      <c r="R272" s="402"/>
      <c r="S272" s="398"/>
      <c r="T272" s="398"/>
      <c r="U272" s="398"/>
      <c r="V272" s="398"/>
      <c r="W272" s="398"/>
      <c r="X272" s="398"/>
      <c r="Y272" s="398"/>
      <c r="Z272" s="398"/>
      <c r="AA272" s="398"/>
      <c r="AB272" s="398"/>
      <c r="AC272" s="398"/>
      <c r="AD272" s="398"/>
    </row>
    <row r="273" spans="1:30">
      <c r="A273" s="155"/>
      <c r="B273" s="398"/>
      <c r="C273" s="405"/>
      <c r="D273" s="398"/>
      <c r="E273" s="400"/>
      <c r="F273" s="401"/>
      <c r="G273" s="398"/>
      <c r="H273" s="400"/>
      <c r="I273" s="398"/>
      <c r="J273" s="398"/>
      <c r="K273" s="398"/>
      <c r="L273" s="398"/>
      <c r="M273" s="398"/>
      <c r="N273" s="398"/>
      <c r="O273" s="398"/>
      <c r="P273" s="398"/>
      <c r="Q273" s="718"/>
      <c r="R273" s="402"/>
      <c r="S273" s="398"/>
      <c r="T273" s="398"/>
      <c r="U273" s="398"/>
      <c r="V273" s="398"/>
      <c r="W273" s="398"/>
      <c r="X273" s="398"/>
      <c r="Y273" s="398"/>
      <c r="Z273" s="398"/>
      <c r="AA273" s="398"/>
      <c r="AB273" s="398"/>
      <c r="AC273" s="398"/>
      <c r="AD273" s="398"/>
    </row>
    <row r="274" spans="1:30">
      <c r="A274" s="155"/>
      <c r="B274" s="398"/>
      <c r="C274" s="405"/>
      <c r="D274" s="398"/>
      <c r="E274" s="400"/>
      <c r="F274" s="401"/>
      <c r="G274" s="398"/>
      <c r="H274" s="400"/>
      <c r="I274" s="398"/>
      <c r="J274" s="398"/>
      <c r="K274" s="398"/>
      <c r="L274" s="398"/>
      <c r="M274" s="398"/>
      <c r="N274" s="398"/>
      <c r="O274" s="398"/>
      <c r="P274" s="398"/>
      <c r="Q274" s="718"/>
      <c r="R274" s="402"/>
      <c r="S274" s="398"/>
      <c r="T274" s="398"/>
      <c r="U274" s="398"/>
      <c r="V274" s="398"/>
      <c r="W274" s="398"/>
      <c r="X274" s="398"/>
      <c r="Y274" s="398"/>
      <c r="Z274" s="398"/>
      <c r="AA274" s="398"/>
      <c r="AB274" s="398"/>
      <c r="AC274" s="398"/>
      <c r="AD274" s="398"/>
    </row>
    <row r="275" spans="1:30">
      <c r="A275" s="155"/>
      <c r="B275" s="398"/>
      <c r="C275" s="405"/>
      <c r="D275" s="398"/>
      <c r="E275" s="400"/>
      <c r="F275" s="401"/>
      <c r="G275" s="398"/>
      <c r="H275" s="400"/>
      <c r="I275" s="398"/>
      <c r="J275" s="398"/>
      <c r="K275" s="398"/>
      <c r="L275" s="398"/>
      <c r="M275" s="398"/>
      <c r="N275" s="398"/>
      <c r="O275" s="398"/>
      <c r="P275" s="398"/>
      <c r="Q275" s="718"/>
      <c r="R275" s="402"/>
      <c r="S275" s="398"/>
      <c r="T275" s="398"/>
      <c r="U275" s="398"/>
      <c r="V275" s="398"/>
      <c r="W275" s="398"/>
      <c r="X275" s="398"/>
      <c r="Y275" s="398"/>
      <c r="Z275" s="398"/>
      <c r="AA275" s="398"/>
      <c r="AB275" s="398"/>
      <c r="AC275" s="398"/>
      <c r="AD275" s="398"/>
    </row>
    <row r="276" spans="1:30">
      <c r="A276" s="155"/>
      <c r="B276" s="398"/>
      <c r="C276" s="405"/>
      <c r="D276" s="398"/>
      <c r="E276" s="400"/>
      <c r="F276" s="401"/>
      <c r="G276" s="398"/>
      <c r="H276" s="400"/>
      <c r="I276" s="398"/>
      <c r="J276" s="398"/>
      <c r="K276" s="398"/>
      <c r="L276" s="398"/>
      <c r="M276" s="398"/>
      <c r="N276" s="398"/>
      <c r="O276" s="398"/>
      <c r="P276" s="398"/>
      <c r="Q276" s="718"/>
      <c r="R276" s="402"/>
      <c r="S276" s="398"/>
      <c r="T276" s="398"/>
      <c r="U276" s="398"/>
      <c r="V276" s="398"/>
      <c r="W276" s="398"/>
      <c r="X276" s="398"/>
      <c r="Y276" s="398"/>
      <c r="Z276" s="398"/>
      <c r="AA276" s="398"/>
      <c r="AB276" s="398"/>
      <c r="AC276" s="398"/>
      <c r="AD276" s="398"/>
    </row>
    <row r="277" spans="1:30">
      <c r="A277" s="155"/>
      <c r="B277" s="398"/>
      <c r="C277" s="405"/>
      <c r="D277" s="398"/>
      <c r="E277" s="400"/>
      <c r="F277" s="401"/>
      <c r="G277" s="398"/>
      <c r="H277" s="400"/>
      <c r="I277" s="398"/>
      <c r="J277" s="398"/>
      <c r="K277" s="398"/>
      <c r="L277" s="398"/>
      <c r="M277" s="398"/>
      <c r="N277" s="398"/>
      <c r="O277" s="398"/>
      <c r="P277" s="398"/>
      <c r="Q277" s="718"/>
      <c r="R277" s="402"/>
      <c r="S277" s="398"/>
      <c r="T277" s="398"/>
      <c r="U277" s="398"/>
      <c r="V277" s="398"/>
      <c r="W277" s="398"/>
      <c r="X277" s="398"/>
      <c r="Y277" s="398"/>
      <c r="Z277" s="398"/>
      <c r="AA277" s="398"/>
      <c r="AB277" s="398"/>
      <c r="AC277" s="398"/>
      <c r="AD277" s="398"/>
    </row>
    <row r="278" spans="1:30">
      <c r="A278" s="155"/>
      <c r="B278" s="398"/>
      <c r="C278" s="405"/>
      <c r="D278" s="398"/>
      <c r="E278" s="400"/>
      <c r="F278" s="401"/>
      <c r="G278" s="398"/>
      <c r="H278" s="400"/>
      <c r="I278" s="398"/>
      <c r="J278" s="398"/>
      <c r="K278" s="398"/>
      <c r="L278" s="398"/>
      <c r="M278" s="398"/>
      <c r="N278" s="398"/>
      <c r="O278" s="398"/>
      <c r="P278" s="398"/>
      <c r="Q278" s="718"/>
      <c r="R278" s="402"/>
      <c r="S278" s="398"/>
      <c r="T278" s="398"/>
      <c r="U278" s="398"/>
      <c r="V278" s="398"/>
      <c r="W278" s="398"/>
      <c r="X278" s="398"/>
      <c r="Y278" s="398"/>
      <c r="Z278" s="398"/>
      <c r="AA278" s="398"/>
      <c r="AB278" s="398"/>
      <c r="AC278" s="398"/>
      <c r="AD278" s="398"/>
    </row>
    <row r="279" spans="1:30">
      <c r="A279" s="155"/>
      <c r="B279" s="398"/>
      <c r="C279" s="405"/>
      <c r="D279" s="398"/>
      <c r="E279" s="400"/>
      <c r="F279" s="401"/>
      <c r="G279" s="398"/>
      <c r="H279" s="400"/>
      <c r="I279" s="398"/>
      <c r="J279" s="398"/>
      <c r="K279" s="398"/>
      <c r="L279" s="398"/>
      <c r="M279" s="398"/>
      <c r="N279" s="398"/>
      <c r="O279" s="398"/>
      <c r="P279" s="398"/>
      <c r="Q279" s="718"/>
      <c r="R279" s="402"/>
      <c r="S279" s="398"/>
      <c r="T279" s="398"/>
      <c r="U279" s="398"/>
      <c r="V279" s="398"/>
      <c r="W279" s="398"/>
      <c r="X279" s="398"/>
      <c r="Y279" s="398"/>
      <c r="Z279" s="398"/>
      <c r="AA279" s="398"/>
      <c r="AB279" s="398"/>
      <c r="AC279" s="398"/>
      <c r="AD279" s="398"/>
    </row>
    <row r="280" spans="1:30">
      <c r="A280" s="155"/>
      <c r="B280" s="398"/>
      <c r="C280" s="405"/>
      <c r="D280" s="398"/>
      <c r="E280" s="400"/>
      <c r="F280" s="401"/>
      <c r="G280" s="398"/>
      <c r="H280" s="400"/>
      <c r="I280" s="398"/>
      <c r="J280" s="398"/>
      <c r="K280" s="398"/>
      <c r="L280" s="398"/>
      <c r="M280" s="398"/>
      <c r="N280" s="398"/>
      <c r="O280" s="398"/>
      <c r="P280" s="398"/>
      <c r="Q280" s="718"/>
      <c r="R280" s="402"/>
      <c r="S280" s="398"/>
      <c r="T280" s="398"/>
      <c r="U280" s="398"/>
      <c r="V280" s="398"/>
      <c r="W280" s="398"/>
      <c r="X280" s="398"/>
      <c r="Y280" s="398"/>
      <c r="Z280" s="398"/>
      <c r="AA280" s="398"/>
      <c r="AB280" s="398"/>
      <c r="AC280" s="398"/>
      <c r="AD280" s="398"/>
    </row>
    <row r="281" spans="1:30">
      <c r="A281" s="155"/>
      <c r="B281" s="398"/>
      <c r="C281" s="405"/>
      <c r="D281" s="398"/>
      <c r="E281" s="400"/>
      <c r="F281" s="401"/>
      <c r="G281" s="398"/>
      <c r="H281" s="400"/>
      <c r="I281" s="398"/>
      <c r="J281" s="398"/>
      <c r="K281" s="398"/>
      <c r="L281" s="398"/>
      <c r="M281" s="398"/>
      <c r="N281" s="398"/>
      <c r="O281" s="398"/>
      <c r="P281" s="398"/>
      <c r="Q281" s="718"/>
      <c r="R281" s="402"/>
      <c r="S281" s="398"/>
      <c r="T281" s="398"/>
      <c r="U281" s="398"/>
      <c r="V281" s="398"/>
      <c r="W281" s="398"/>
      <c r="X281" s="398"/>
      <c r="Y281" s="398"/>
      <c r="Z281" s="398"/>
      <c r="AA281" s="398"/>
      <c r="AB281" s="398"/>
      <c r="AC281" s="398"/>
      <c r="AD281" s="398"/>
    </row>
    <row r="282" spans="1:30">
      <c r="A282" s="155"/>
      <c r="B282" s="398"/>
      <c r="C282" s="405"/>
      <c r="D282" s="398"/>
      <c r="E282" s="400"/>
      <c r="F282" s="401"/>
      <c r="G282" s="398"/>
      <c r="H282" s="400"/>
      <c r="I282" s="398"/>
      <c r="J282" s="398"/>
      <c r="K282" s="398"/>
      <c r="L282" s="398"/>
      <c r="M282" s="398"/>
      <c r="N282" s="398"/>
      <c r="O282" s="398"/>
      <c r="P282" s="398"/>
      <c r="Q282" s="718"/>
      <c r="R282" s="402"/>
      <c r="S282" s="398"/>
      <c r="T282" s="398"/>
      <c r="U282" s="398"/>
      <c r="V282" s="398"/>
      <c r="W282" s="398"/>
      <c r="X282" s="398"/>
      <c r="Y282" s="398"/>
      <c r="Z282" s="398"/>
      <c r="AA282" s="398"/>
      <c r="AB282" s="398"/>
      <c r="AC282" s="398"/>
      <c r="AD282" s="398"/>
    </row>
    <row r="283" spans="1:30">
      <c r="A283" s="155"/>
      <c r="B283" s="398"/>
      <c r="C283" s="405"/>
      <c r="D283" s="398"/>
      <c r="E283" s="400"/>
      <c r="F283" s="401"/>
      <c r="G283" s="398"/>
      <c r="H283" s="400"/>
      <c r="I283" s="398"/>
      <c r="J283" s="398"/>
      <c r="K283" s="398"/>
      <c r="L283" s="398"/>
      <c r="M283" s="398"/>
      <c r="N283" s="398"/>
      <c r="O283" s="398"/>
      <c r="P283" s="398"/>
      <c r="Q283" s="718"/>
      <c r="R283" s="402"/>
      <c r="S283" s="398"/>
      <c r="T283" s="398"/>
      <c r="U283" s="398"/>
      <c r="V283" s="398"/>
      <c r="W283" s="398"/>
      <c r="X283" s="398"/>
      <c r="Y283" s="398"/>
      <c r="Z283" s="398"/>
      <c r="AA283" s="398"/>
      <c r="AB283" s="398"/>
      <c r="AC283" s="398"/>
      <c r="AD283" s="398"/>
    </row>
    <row r="284" spans="1:30">
      <c r="A284" s="155"/>
      <c r="B284" s="398"/>
      <c r="C284" s="405"/>
      <c r="D284" s="398"/>
      <c r="E284" s="400"/>
      <c r="F284" s="401"/>
      <c r="G284" s="398"/>
      <c r="H284" s="400"/>
      <c r="I284" s="398"/>
      <c r="J284" s="398"/>
      <c r="K284" s="398"/>
      <c r="L284" s="398"/>
      <c r="M284" s="398"/>
      <c r="N284" s="398"/>
      <c r="O284" s="398"/>
      <c r="P284" s="398"/>
      <c r="Q284" s="718"/>
      <c r="R284" s="402"/>
      <c r="S284" s="398"/>
      <c r="T284" s="398"/>
      <c r="U284" s="398"/>
      <c r="V284" s="398"/>
      <c r="W284" s="398"/>
      <c r="X284" s="398"/>
      <c r="Y284" s="398"/>
      <c r="Z284" s="398"/>
      <c r="AA284" s="398"/>
      <c r="AB284" s="398"/>
      <c r="AC284" s="398"/>
      <c r="AD284" s="398"/>
    </row>
    <row r="285" spans="1:30">
      <c r="A285" s="155"/>
      <c r="B285" s="398"/>
      <c r="C285" s="405"/>
      <c r="D285" s="398"/>
      <c r="E285" s="400"/>
      <c r="F285" s="401"/>
      <c r="G285" s="398"/>
      <c r="H285" s="400"/>
      <c r="I285" s="398"/>
      <c r="J285" s="398"/>
      <c r="K285" s="398"/>
      <c r="L285" s="398"/>
      <c r="M285" s="398"/>
      <c r="N285" s="398"/>
      <c r="O285" s="398"/>
      <c r="P285" s="398"/>
      <c r="Q285" s="718"/>
      <c r="R285" s="402"/>
      <c r="S285" s="398"/>
      <c r="T285" s="398"/>
      <c r="U285" s="398"/>
      <c r="V285" s="398"/>
      <c r="W285" s="398"/>
      <c r="X285" s="398"/>
      <c r="Y285" s="398"/>
      <c r="Z285" s="398"/>
      <c r="AA285" s="398"/>
      <c r="AB285" s="398"/>
      <c r="AC285" s="398"/>
      <c r="AD285" s="398"/>
    </row>
    <row r="286" spans="1:30">
      <c r="A286" s="155"/>
      <c r="B286" s="398"/>
      <c r="C286" s="405"/>
      <c r="D286" s="398"/>
      <c r="E286" s="400"/>
      <c r="F286" s="401"/>
      <c r="G286" s="398"/>
      <c r="H286" s="400"/>
      <c r="I286" s="398"/>
      <c r="J286" s="398"/>
      <c r="K286" s="398"/>
      <c r="L286" s="398"/>
      <c r="M286" s="398"/>
      <c r="N286" s="398"/>
      <c r="O286" s="398"/>
      <c r="P286" s="398"/>
      <c r="Q286" s="718"/>
      <c r="R286" s="402"/>
      <c r="S286" s="398"/>
      <c r="T286" s="398"/>
      <c r="U286" s="398"/>
      <c r="V286" s="398"/>
      <c r="W286" s="398"/>
      <c r="X286" s="398"/>
      <c r="Y286" s="398"/>
      <c r="Z286" s="398"/>
      <c r="AA286" s="398"/>
      <c r="AB286" s="398"/>
      <c r="AC286" s="398"/>
      <c r="AD286" s="398"/>
    </row>
    <row r="287" spans="1:30">
      <c r="A287" s="155"/>
      <c r="B287" s="398"/>
      <c r="C287" s="405"/>
      <c r="D287" s="398"/>
      <c r="E287" s="400"/>
      <c r="F287" s="401"/>
      <c r="G287" s="398"/>
      <c r="H287" s="400"/>
      <c r="I287" s="398"/>
      <c r="J287" s="398"/>
      <c r="K287" s="398"/>
      <c r="L287" s="398"/>
      <c r="M287" s="398"/>
      <c r="N287" s="398"/>
      <c r="O287" s="398"/>
      <c r="P287" s="398"/>
      <c r="Q287" s="718"/>
      <c r="R287" s="402"/>
      <c r="S287" s="398"/>
      <c r="T287" s="398"/>
      <c r="U287" s="398"/>
      <c r="V287" s="398"/>
      <c r="W287" s="398"/>
      <c r="X287" s="398"/>
      <c r="Y287" s="398"/>
      <c r="Z287" s="398"/>
      <c r="AA287" s="398"/>
      <c r="AB287" s="398"/>
      <c r="AC287" s="398"/>
      <c r="AD287" s="398"/>
    </row>
    <row r="288" spans="1:30">
      <c r="A288" s="155"/>
      <c r="B288" s="398"/>
      <c r="C288" s="405"/>
      <c r="D288" s="398"/>
      <c r="E288" s="400"/>
      <c r="F288" s="401"/>
      <c r="G288" s="398"/>
      <c r="H288" s="400"/>
      <c r="I288" s="398"/>
      <c r="J288" s="398"/>
      <c r="K288" s="398"/>
      <c r="L288" s="398"/>
      <c r="M288" s="398"/>
      <c r="N288" s="398"/>
      <c r="O288" s="398"/>
      <c r="P288" s="398"/>
      <c r="Q288" s="718"/>
      <c r="R288" s="402"/>
      <c r="S288" s="398"/>
      <c r="T288" s="398"/>
      <c r="U288" s="398"/>
      <c r="V288" s="398"/>
      <c r="W288" s="398"/>
      <c r="X288" s="398"/>
      <c r="Y288" s="398"/>
      <c r="Z288" s="398"/>
      <c r="AA288" s="398"/>
      <c r="AB288" s="398"/>
      <c r="AC288" s="398"/>
      <c r="AD288" s="398"/>
    </row>
    <row r="289" spans="1:30">
      <c r="A289" s="155"/>
      <c r="B289" s="398"/>
      <c r="C289" s="405"/>
      <c r="D289" s="398"/>
      <c r="E289" s="400"/>
      <c r="F289" s="401"/>
      <c r="G289" s="398"/>
      <c r="H289" s="400"/>
      <c r="I289" s="398"/>
      <c r="J289" s="398"/>
      <c r="K289" s="398"/>
      <c r="L289" s="398"/>
      <c r="M289" s="398"/>
      <c r="N289" s="398"/>
      <c r="O289" s="398"/>
      <c r="P289" s="398"/>
      <c r="Q289" s="718"/>
      <c r="R289" s="402"/>
      <c r="S289" s="398"/>
      <c r="T289" s="398"/>
      <c r="U289" s="398"/>
      <c r="V289" s="398"/>
      <c r="W289" s="398"/>
      <c r="X289" s="398"/>
      <c r="Y289" s="398"/>
      <c r="Z289" s="398"/>
      <c r="AA289" s="398"/>
      <c r="AB289" s="398"/>
      <c r="AC289" s="398"/>
      <c r="AD289" s="398"/>
    </row>
    <row r="290" spans="1:30">
      <c r="A290" s="155"/>
      <c r="B290" s="398"/>
      <c r="C290" s="405"/>
      <c r="D290" s="398"/>
      <c r="E290" s="400"/>
      <c r="F290" s="401"/>
      <c r="G290" s="398"/>
      <c r="H290" s="400"/>
      <c r="I290" s="398"/>
      <c r="J290" s="398"/>
      <c r="K290" s="398"/>
      <c r="L290" s="398"/>
      <c r="M290" s="398"/>
      <c r="N290" s="398"/>
      <c r="O290" s="398"/>
      <c r="P290" s="398"/>
      <c r="Q290" s="718"/>
      <c r="R290" s="402"/>
      <c r="S290" s="398"/>
      <c r="T290" s="398"/>
      <c r="U290" s="398"/>
      <c r="V290" s="398"/>
      <c r="W290" s="398"/>
      <c r="X290" s="398"/>
      <c r="Y290" s="398"/>
      <c r="Z290" s="398"/>
      <c r="AA290" s="398"/>
      <c r="AB290" s="398"/>
      <c r="AC290" s="398"/>
      <c r="AD290" s="398"/>
    </row>
    <row r="291" spans="1:30">
      <c r="A291" s="155"/>
      <c r="B291" s="398"/>
      <c r="C291" s="405"/>
      <c r="D291" s="398"/>
      <c r="E291" s="400"/>
      <c r="F291" s="401"/>
      <c r="G291" s="398"/>
      <c r="H291" s="400"/>
      <c r="I291" s="398"/>
      <c r="J291" s="398"/>
      <c r="K291" s="398"/>
      <c r="L291" s="398"/>
      <c r="M291" s="398"/>
      <c r="N291" s="398"/>
      <c r="O291" s="398"/>
      <c r="P291" s="398"/>
      <c r="Q291" s="718"/>
      <c r="R291" s="402"/>
      <c r="S291" s="398"/>
      <c r="T291" s="398"/>
      <c r="U291" s="398"/>
      <c r="V291" s="398"/>
      <c r="W291" s="398"/>
      <c r="X291" s="398"/>
      <c r="Y291" s="398"/>
      <c r="Z291" s="398"/>
      <c r="AA291" s="398"/>
      <c r="AB291" s="398"/>
      <c r="AC291" s="398"/>
      <c r="AD291" s="398"/>
    </row>
    <row r="292" spans="1:30">
      <c r="A292" s="155"/>
      <c r="B292" s="398"/>
      <c r="C292" s="405"/>
      <c r="D292" s="398"/>
      <c r="E292" s="400"/>
      <c r="F292" s="401"/>
      <c r="G292" s="398"/>
      <c r="H292" s="400"/>
      <c r="I292" s="398"/>
      <c r="J292" s="398"/>
      <c r="K292" s="398"/>
      <c r="L292" s="398"/>
      <c r="M292" s="398"/>
      <c r="N292" s="398"/>
      <c r="O292" s="398"/>
      <c r="P292" s="398"/>
      <c r="Q292" s="718"/>
      <c r="R292" s="402"/>
      <c r="S292" s="398"/>
      <c r="T292" s="398"/>
      <c r="U292" s="398"/>
      <c r="V292" s="398"/>
      <c r="W292" s="398"/>
      <c r="X292" s="398"/>
      <c r="Y292" s="398"/>
      <c r="Z292" s="398"/>
      <c r="AA292" s="398"/>
      <c r="AB292" s="398"/>
      <c r="AC292" s="398"/>
      <c r="AD292" s="398"/>
    </row>
    <row r="293" spans="1:30">
      <c r="A293" s="155"/>
      <c r="B293" s="398"/>
      <c r="C293" s="405"/>
      <c r="D293" s="398"/>
      <c r="E293" s="400"/>
      <c r="F293" s="401"/>
      <c r="G293" s="398"/>
      <c r="H293" s="400"/>
      <c r="I293" s="398"/>
      <c r="J293" s="398"/>
      <c r="K293" s="398"/>
      <c r="L293" s="398"/>
      <c r="M293" s="398"/>
      <c r="N293" s="398"/>
      <c r="O293" s="398"/>
      <c r="P293" s="398"/>
      <c r="Q293" s="718"/>
      <c r="R293" s="402"/>
      <c r="S293" s="398"/>
      <c r="T293" s="398"/>
      <c r="U293" s="398"/>
      <c r="V293" s="398"/>
      <c r="W293" s="398"/>
      <c r="X293" s="398"/>
      <c r="Y293" s="398"/>
      <c r="Z293" s="398"/>
      <c r="AA293" s="398"/>
      <c r="AB293" s="398"/>
      <c r="AC293" s="398"/>
      <c r="AD293" s="398"/>
    </row>
    <row r="294" spans="1:30">
      <c r="A294" s="155"/>
      <c r="B294" s="398"/>
      <c r="C294" s="405"/>
      <c r="D294" s="398"/>
      <c r="E294" s="400"/>
      <c r="F294" s="401"/>
      <c r="G294" s="398"/>
      <c r="H294" s="400"/>
      <c r="I294" s="398"/>
      <c r="J294" s="398"/>
      <c r="K294" s="398"/>
      <c r="L294" s="398"/>
      <c r="M294" s="398"/>
      <c r="N294" s="398"/>
      <c r="O294" s="398"/>
      <c r="P294" s="398"/>
      <c r="Q294" s="718"/>
      <c r="R294" s="402"/>
      <c r="S294" s="398"/>
      <c r="T294" s="398"/>
      <c r="U294" s="398"/>
      <c r="V294" s="398"/>
      <c r="W294" s="398"/>
      <c r="X294" s="398"/>
      <c r="Y294" s="398"/>
      <c r="Z294" s="398"/>
      <c r="AA294" s="398"/>
      <c r="AB294" s="398"/>
      <c r="AC294" s="398"/>
      <c r="AD294" s="398"/>
    </row>
    <row r="295" spans="1:30">
      <c r="A295" s="155"/>
      <c r="B295" s="398"/>
      <c r="C295" s="405"/>
      <c r="D295" s="398"/>
      <c r="E295" s="400"/>
      <c r="F295" s="401"/>
      <c r="G295" s="398"/>
      <c r="H295" s="400"/>
      <c r="I295" s="398"/>
      <c r="J295" s="398"/>
      <c r="K295" s="398"/>
      <c r="L295" s="398"/>
      <c r="M295" s="398"/>
      <c r="N295" s="398"/>
      <c r="O295" s="398"/>
      <c r="P295" s="398"/>
      <c r="Q295" s="718"/>
      <c r="R295" s="402"/>
      <c r="S295" s="398"/>
      <c r="T295" s="398"/>
      <c r="U295" s="398"/>
      <c r="V295" s="398"/>
      <c r="W295" s="398"/>
      <c r="X295" s="398"/>
      <c r="Y295" s="398"/>
      <c r="Z295" s="398"/>
      <c r="AA295" s="398"/>
      <c r="AB295" s="398"/>
      <c r="AC295" s="398"/>
      <c r="AD295" s="398"/>
    </row>
    <row r="296" spans="1:30">
      <c r="A296" s="155"/>
      <c r="B296" s="398"/>
      <c r="C296" s="405"/>
      <c r="D296" s="398"/>
      <c r="E296" s="400"/>
      <c r="F296" s="401"/>
      <c r="G296" s="398"/>
      <c r="H296" s="400"/>
      <c r="I296" s="398"/>
      <c r="J296" s="398"/>
      <c r="K296" s="398"/>
      <c r="L296" s="398"/>
      <c r="M296" s="398"/>
      <c r="N296" s="398"/>
      <c r="O296" s="398"/>
      <c r="P296" s="398"/>
      <c r="Q296" s="718"/>
      <c r="R296" s="402"/>
      <c r="S296" s="398"/>
      <c r="T296" s="398"/>
      <c r="U296" s="398"/>
      <c r="V296" s="398"/>
      <c r="W296" s="398"/>
      <c r="X296" s="398"/>
      <c r="Y296" s="398"/>
      <c r="Z296" s="398"/>
      <c r="AA296" s="398"/>
      <c r="AB296" s="398"/>
      <c r="AC296" s="398"/>
      <c r="AD296" s="398"/>
    </row>
    <row r="297" spans="1:30">
      <c r="A297" s="155"/>
      <c r="B297" s="398"/>
      <c r="C297" s="405"/>
      <c r="D297" s="398"/>
      <c r="E297" s="400"/>
      <c r="F297" s="401"/>
      <c r="G297" s="398"/>
      <c r="H297" s="400"/>
      <c r="I297" s="398"/>
      <c r="J297" s="398"/>
      <c r="K297" s="398"/>
      <c r="L297" s="398"/>
      <c r="M297" s="398"/>
      <c r="N297" s="398"/>
      <c r="O297" s="398"/>
      <c r="P297" s="398"/>
      <c r="Q297" s="718"/>
      <c r="R297" s="402"/>
      <c r="S297" s="398"/>
      <c r="T297" s="398"/>
      <c r="U297" s="398"/>
      <c r="V297" s="398"/>
      <c r="W297" s="398"/>
      <c r="X297" s="398"/>
      <c r="Y297" s="398"/>
      <c r="Z297" s="398"/>
      <c r="AA297" s="398"/>
      <c r="AB297" s="398"/>
      <c r="AC297" s="398"/>
      <c r="AD297" s="398"/>
    </row>
    <row r="298" spans="1:30">
      <c r="A298" s="155"/>
      <c r="B298" s="398"/>
      <c r="C298" s="405"/>
      <c r="D298" s="398"/>
      <c r="E298" s="400"/>
      <c r="F298" s="401"/>
      <c r="G298" s="398"/>
      <c r="H298" s="400"/>
      <c r="I298" s="398"/>
      <c r="J298" s="398"/>
      <c r="K298" s="398"/>
      <c r="L298" s="398"/>
      <c r="M298" s="398"/>
      <c r="N298" s="398"/>
      <c r="O298" s="398"/>
      <c r="P298" s="398"/>
      <c r="Q298" s="718"/>
      <c r="R298" s="402"/>
      <c r="S298" s="398"/>
      <c r="T298" s="398"/>
      <c r="U298" s="398"/>
      <c r="V298" s="398"/>
      <c r="W298" s="398"/>
      <c r="X298" s="398"/>
      <c r="Y298" s="398"/>
      <c r="Z298" s="398"/>
      <c r="AA298" s="398"/>
      <c r="AB298" s="398"/>
      <c r="AC298" s="398"/>
      <c r="AD298" s="398"/>
    </row>
    <row r="299" spans="1:30">
      <c r="A299" s="155"/>
      <c r="B299" s="398"/>
      <c r="C299" s="405"/>
      <c r="D299" s="398"/>
      <c r="E299" s="400"/>
      <c r="F299" s="401"/>
      <c r="G299" s="398"/>
      <c r="H299" s="400"/>
      <c r="I299" s="398"/>
      <c r="J299" s="398"/>
      <c r="K299" s="398"/>
      <c r="L299" s="398"/>
      <c r="M299" s="398"/>
      <c r="N299" s="398"/>
      <c r="O299" s="398"/>
      <c r="P299" s="398"/>
      <c r="Q299" s="718"/>
      <c r="R299" s="402"/>
      <c r="S299" s="398"/>
      <c r="T299" s="398"/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</row>
    <row r="300" spans="1:30">
      <c r="A300" s="155"/>
      <c r="B300" s="398"/>
      <c r="C300" s="405"/>
      <c r="D300" s="398"/>
      <c r="E300" s="400"/>
      <c r="F300" s="401"/>
      <c r="G300" s="398"/>
      <c r="H300" s="400"/>
      <c r="I300" s="398"/>
      <c r="J300" s="398"/>
      <c r="K300" s="398"/>
      <c r="L300" s="398"/>
      <c r="M300" s="398"/>
      <c r="N300" s="398"/>
      <c r="O300" s="398"/>
      <c r="P300" s="398"/>
      <c r="Q300" s="718"/>
      <c r="R300" s="402"/>
      <c r="S300" s="398"/>
      <c r="T300" s="398"/>
      <c r="U300" s="398"/>
      <c r="V300" s="398"/>
      <c r="W300" s="398"/>
      <c r="X300" s="398"/>
      <c r="Y300" s="398"/>
      <c r="Z300" s="398"/>
      <c r="AA300" s="398"/>
      <c r="AB300" s="398"/>
      <c r="AC300" s="398"/>
      <c r="AD300" s="398"/>
    </row>
    <row r="301" spans="1:30">
      <c r="A301" s="155"/>
      <c r="B301" s="398"/>
      <c r="C301" s="405"/>
      <c r="D301" s="398"/>
      <c r="E301" s="400"/>
      <c r="F301" s="401"/>
      <c r="G301" s="398"/>
      <c r="H301" s="400"/>
      <c r="I301" s="398"/>
      <c r="J301" s="398"/>
      <c r="K301" s="398"/>
      <c r="L301" s="398"/>
      <c r="M301" s="398"/>
      <c r="N301" s="398"/>
      <c r="O301" s="398"/>
      <c r="P301" s="398"/>
      <c r="Q301" s="718"/>
      <c r="R301" s="402"/>
      <c r="S301" s="398"/>
      <c r="T301" s="398"/>
      <c r="U301" s="398"/>
      <c r="V301" s="398"/>
      <c r="W301" s="398"/>
      <c r="X301" s="398"/>
      <c r="Y301" s="398"/>
      <c r="Z301" s="398"/>
      <c r="AA301" s="398"/>
      <c r="AB301" s="398"/>
      <c r="AC301" s="398"/>
      <c r="AD301" s="398"/>
    </row>
    <row r="302" spans="1:30">
      <c r="A302" s="155"/>
      <c r="B302" s="398"/>
      <c r="C302" s="405"/>
      <c r="D302" s="398"/>
      <c r="E302" s="400"/>
      <c r="F302" s="401"/>
      <c r="G302" s="398"/>
      <c r="H302" s="400"/>
      <c r="I302" s="398"/>
      <c r="J302" s="398"/>
      <c r="K302" s="398"/>
      <c r="L302" s="398"/>
      <c r="M302" s="398"/>
      <c r="N302" s="398"/>
      <c r="O302" s="398"/>
      <c r="P302" s="398"/>
      <c r="Q302" s="718"/>
      <c r="R302" s="402"/>
      <c r="S302" s="398"/>
      <c r="T302" s="398"/>
      <c r="U302" s="398"/>
      <c r="V302" s="398"/>
      <c r="W302" s="398"/>
      <c r="X302" s="398"/>
      <c r="Y302" s="398"/>
      <c r="Z302" s="398"/>
      <c r="AA302" s="398"/>
      <c r="AB302" s="398"/>
      <c r="AC302" s="398"/>
      <c r="AD302" s="398"/>
    </row>
    <row r="303" spans="1:30">
      <c r="A303" s="155"/>
      <c r="B303" s="398"/>
      <c r="C303" s="405"/>
      <c r="D303" s="398"/>
      <c r="E303" s="400"/>
      <c r="F303" s="401"/>
      <c r="G303" s="398"/>
      <c r="H303" s="400"/>
      <c r="I303" s="398"/>
      <c r="J303" s="398"/>
      <c r="K303" s="398"/>
      <c r="L303" s="398"/>
      <c r="M303" s="398"/>
      <c r="N303" s="398"/>
      <c r="O303" s="398"/>
      <c r="P303" s="398"/>
      <c r="Q303" s="718"/>
      <c r="R303" s="402"/>
      <c r="S303" s="398"/>
      <c r="T303" s="398"/>
      <c r="U303" s="398"/>
      <c r="V303" s="398"/>
      <c r="W303" s="398"/>
      <c r="X303" s="398"/>
      <c r="Y303" s="398"/>
      <c r="Z303" s="398"/>
      <c r="AA303" s="398"/>
      <c r="AB303" s="398"/>
      <c r="AC303" s="398"/>
      <c r="AD303" s="398"/>
    </row>
    <row r="304" spans="1:30">
      <c r="A304" s="155"/>
      <c r="B304" s="398"/>
      <c r="C304" s="405"/>
      <c r="D304" s="398"/>
      <c r="E304" s="400"/>
      <c r="F304" s="401"/>
      <c r="G304" s="398"/>
      <c r="H304" s="400"/>
      <c r="I304" s="398"/>
      <c r="J304" s="398"/>
      <c r="K304" s="398"/>
      <c r="L304" s="398"/>
      <c r="M304" s="398"/>
      <c r="N304" s="398"/>
      <c r="O304" s="398"/>
      <c r="P304" s="398"/>
      <c r="Q304" s="718"/>
      <c r="R304" s="402"/>
      <c r="S304" s="398"/>
      <c r="T304" s="398"/>
      <c r="U304" s="398"/>
      <c r="V304" s="398"/>
      <c r="W304" s="398"/>
      <c r="X304" s="398"/>
      <c r="Y304" s="398"/>
      <c r="Z304" s="398"/>
      <c r="AA304" s="398"/>
      <c r="AB304" s="398"/>
      <c r="AC304" s="398"/>
      <c r="AD304" s="398"/>
    </row>
    <row r="305" spans="1:30">
      <c r="A305" s="155"/>
      <c r="B305" s="398"/>
      <c r="C305" s="405"/>
      <c r="D305" s="398"/>
      <c r="E305" s="400"/>
      <c r="F305" s="401"/>
      <c r="G305" s="398"/>
      <c r="H305" s="400"/>
      <c r="I305" s="398"/>
      <c r="J305" s="398"/>
      <c r="K305" s="398"/>
      <c r="L305" s="398"/>
      <c r="M305" s="398"/>
      <c r="N305" s="398"/>
      <c r="O305" s="398"/>
      <c r="P305" s="398"/>
      <c r="Q305" s="718"/>
      <c r="R305" s="402"/>
      <c r="S305" s="398"/>
      <c r="T305" s="398"/>
      <c r="U305" s="398"/>
      <c r="V305" s="398"/>
      <c r="W305" s="398"/>
      <c r="X305" s="398"/>
      <c r="Y305" s="398"/>
      <c r="Z305" s="398"/>
      <c r="AA305" s="398"/>
      <c r="AB305" s="398"/>
      <c r="AC305" s="398"/>
      <c r="AD305" s="398"/>
    </row>
    <row r="306" spans="1:30">
      <c r="A306" s="155"/>
      <c r="B306" s="398"/>
      <c r="C306" s="405"/>
      <c r="D306" s="398"/>
      <c r="E306" s="400"/>
      <c r="F306" s="401"/>
      <c r="G306" s="398"/>
      <c r="H306" s="400"/>
      <c r="I306" s="398"/>
      <c r="J306" s="398"/>
      <c r="K306" s="398"/>
      <c r="L306" s="398"/>
      <c r="M306" s="398"/>
      <c r="N306" s="398"/>
      <c r="O306" s="398"/>
      <c r="P306" s="398"/>
      <c r="Q306" s="718"/>
      <c r="R306" s="402"/>
      <c r="S306" s="398"/>
      <c r="T306" s="398"/>
      <c r="U306" s="398"/>
      <c r="V306" s="398"/>
      <c r="W306" s="398"/>
      <c r="X306" s="398"/>
      <c r="Y306" s="398"/>
      <c r="Z306" s="398"/>
      <c r="AA306" s="398"/>
      <c r="AB306" s="398"/>
      <c r="AC306" s="398"/>
      <c r="AD306" s="398"/>
    </row>
    <row r="307" spans="1:30">
      <c r="A307" s="155"/>
      <c r="B307" s="398"/>
      <c r="C307" s="405"/>
      <c r="D307" s="398"/>
      <c r="E307" s="400"/>
      <c r="F307" s="401"/>
      <c r="G307" s="398"/>
      <c r="H307" s="400"/>
      <c r="I307" s="398"/>
      <c r="J307" s="398"/>
      <c r="K307" s="398"/>
      <c r="L307" s="398"/>
      <c r="M307" s="398"/>
      <c r="N307" s="398"/>
      <c r="O307" s="398"/>
      <c r="P307" s="398"/>
      <c r="Q307" s="718"/>
      <c r="R307" s="402"/>
      <c r="S307" s="398"/>
      <c r="T307" s="398"/>
      <c r="U307" s="398"/>
      <c r="V307" s="398"/>
      <c r="W307" s="398"/>
      <c r="X307" s="398"/>
      <c r="Y307" s="398"/>
      <c r="Z307" s="398"/>
      <c r="AA307" s="398"/>
      <c r="AB307" s="398"/>
      <c r="AC307" s="398"/>
      <c r="AD307" s="398"/>
    </row>
    <row r="308" spans="1:30">
      <c r="A308" s="155"/>
      <c r="B308" s="398"/>
      <c r="C308" s="405"/>
      <c r="D308" s="398"/>
      <c r="E308" s="400"/>
      <c r="F308" s="401"/>
      <c r="G308" s="398"/>
      <c r="H308" s="400"/>
      <c r="I308" s="398"/>
      <c r="J308" s="398"/>
      <c r="K308" s="398"/>
      <c r="L308" s="398"/>
      <c r="M308" s="398"/>
      <c r="N308" s="398"/>
      <c r="O308" s="398"/>
      <c r="P308" s="398"/>
      <c r="Q308" s="718"/>
      <c r="R308" s="402"/>
      <c r="S308" s="398"/>
      <c r="T308" s="398"/>
      <c r="U308" s="398"/>
      <c r="V308" s="398"/>
      <c r="W308" s="398"/>
      <c r="X308" s="398"/>
      <c r="Y308" s="398"/>
      <c r="Z308" s="398"/>
      <c r="AA308" s="398"/>
      <c r="AB308" s="398"/>
      <c r="AC308" s="398"/>
      <c r="AD308" s="398"/>
    </row>
    <row r="309" spans="1:30">
      <c r="A309" s="155"/>
      <c r="B309" s="398"/>
      <c r="C309" s="405"/>
      <c r="D309" s="398"/>
      <c r="E309" s="400"/>
      <c r="F309" s="401"/>
      <c r="G309" s="398"/>
      <c r="H309" s="400"/>
      <c r="I309" s="398"/>
      <c r="J309" s="398"/>
      <c r="K309" s="398"/>
      <c r="L309" s="398"/>
      <c r="M309" s="398"/>
      <c r="N309" s="398"/>
      <c r="O309" s="398"/>
      <c r="P309" s="398"/>
      <c r="Q309" s="718"/>
      <c r="R309" s="402"/>
      <c r="S309" s="398"/>
      <c r="T309" s="398"/>
      <c r="U309" s="398"/>
      <c r="V309" s="398"/>
      <c r="W309" s="398"/>
      <c r="X309" s="398"/>
      <c r="Y309" s="398"/>
      <c r="Z309" s="398"/>
      <c r="AA309" s="398"/>
      <c r="AB309" s="398"/>
      <c r="AC309" s="398"/>
      <c r="AD309" s="398"/>
    </row>
    <row r="310" spans="1:30">
      <c r="A310" s="155"/>
      <c r="B310" s="398"/>
      <c r="C310" s="405"/>
      <c r="D310" s="398"/>
      <c r="E310" s="400"/>
      <c r="F310" s="401"/>
      <c r="G310" s="398"/>
      <c r="H310" s="400"/>
      <c r="I310" s="398"/>
      <c r="J310" s="398"/>
      <c r="K310" s="398"/>
      <c r="L310" s="398"/>
      <c r="M310" s="398"/>
      <c r="N310" s="398"/>
      <c r="O310" s="398"/>
      <c r="P310" s="398"/>
      <c r="Q310" s="718"/>
      <c r="R310" s="402"/>
      <c r="S310" s="398"/>
      <c r="T310" s="398"/>
      <c r="U310" s="398"/>
      <c r="V310" s="398"/>
      <c r="W310" s="398"/>
      <c r="X310" s="398"/>
      <c r="Y310" s="398"/>
      <c r="Z310" s="398"/>
      <c r="AA310" s="398"/>
      <c r="AB310" s="398"/>
      <c r="AC310" s="398"/>
      <c r="AD310" s="398"/>
    </row>
    <row r="311" spans="1:30">
      <c r="A311" s="155"/>
      <c r="B311" s="398"/>
      <c r="C311" s="405"/>
      <c r="D311" s="398"/>
      <c r="E311" s="400"/>
      <c r="F311" s="401"/>
      <c r="G311" s="398"/>
      <c r="H311" s="400"/>
      <c r="I311" s="398"/>
      <c r="J311" s="398"/>
      <c r="K311" s="398"/>
      <c r="L311" s="398"/>
      <c r="M311" s="398"/>
      <c r="N311" s="398"/>
      <c r="O311" s="398"/>
      <c r="P311" s="398"/>
      <c r="Q311" s="718"/>
      <c r="R311" s="402"/>
      <c r="S311" s="398"/>
      <c r="T311" s="398"/>
      <c r="U311" s="398"/>
      <c r="V311" s="398"/>
      <c r="W311" s="398"/>
      <c r="X311" s="398"/>
      <c r="Y311" s="398"/>
      <c r="Z311" s="398"/>
      <c r="AA311" s="398"/>
      <c r="AB311" s="398"/>
      <c r="AC311" s="398"/>
      <c r="AD311" s="398"/>
    </row>
    <row r="312" spans="1:30">
      <c r="A312" s="155"/>
      <c r="B312" s="398"/>
      <c r="C312" s="405"/>
      <c r="D312" s="398"/>
      <c r="E312" s="400"/>
      <c r="F312" s="401"/>
      <c r="G312" s="398"/>
      <c r="H312" s="400"/>
      <c r="I312" s="398"/>
      <c r="J312" s="398"/>
      <c r="K312" s="398"/>
      <c r="L312" s="398"/>
      <c r="M312" s="398"/>
      <c r="N312" s="398"/>
      <c r="O312" s="398"/>
      <c r="P312" s="398"/>
      <c r="Q312" s="718"/>
      <c r="R312" s="402"/>
      <c r="S312" s="398"/>
      <c r="T312" s="398"/>
      <c r="U312" s="398"/>
      <c r="V312" s="398"/>
      <c r="W312" s="398"/>
      <c r="X312" s="398"/>
      <c r="Y312" s="398"/>
      <c r="Z312" s="398"/>
      <c r="AA312" s="398"/>
      <c r="AB312" s="398"/>
      <c r="AC312" s="398"/>
      <c r="AD312" s="398"/>
    </row>
    <row r="313" spans="1:30">
      <c r="A313" s="155"/>
      <c r="B313" s="398"/>
      <c r="C313" s="405"/>
      <c r="D313" s="398"/>
      <c r="E313" s="400"/>
      <c r="F313" s="401"/>
      <c r="G313" s="398"/>
      <c r="H313" s="400"/>
      <c r="I313" s="398"/>
      <c r="J313" s="398"/>
      <c r="K313" s="398"/>
      <c r="L313" s="398"/>
      <c r="M313" s="398"/>
      <c r="N313" s="398"/>
      <c r="O313" s="398"/>
      <c r="P313" s="398"/>
      <c r="Q313" s="718"/>
      <c r="R313" s="402"/>
      <c r="S313" s="398"/>
      <c r="T313" s="398"/>
      <c r="U313" s="398"/>
      <c r="V313" s="398"/>
      <c r="W313" s="398"/>
      <c r="X313" s="398"/>
      <c r="Y313" s="398"/>
      <c r="Z313" s="398"/>
      <c r="AA313" s="398"/>
      <c r="AB313" s="398"/>
      <c r="AC313" s="398"/>
      <c r="AD313" s="398"/>
    </row>
    <row r="314" spans="1:30">
      <c r="A314" s="155"/>
      <c r="B314" s="398"/>
      <c r="C314" s="405"/>
      <c r="D314" s="398"/>
      <c r="E314" s="400"/>
      <c r="F314" s="401"/>
      <c r="G314" s="398"/>
      <c r="H314" s="400"/>
      <c r="I314" s="398"/>
      <c r="J314" s="398"/>
      <c r="K314" s="398"/>
      <c r="L314" s="398"/>
      <c r="M314" s="398"/>
      <c r="N314" s="398"/>
      <c r="O314" s="398"/>
      <c r="P314" s="398"/>
      <c r="Q314" s="718"/>
      <c r="R314" s="402"/>
      <c r="S314" s="398"/>
      <c r="T314" s="398"/>
      <c r="U314" s="398"/>
      <c r="V314" s="398"/>
      <c r="W314" s="398"/>
      <c r="X314" s="398"/>
      <c r="Y314" s="398"/>
      <c r="Z314" s="398"/>
      <c r="AA314" s="398"/>
      <c r="AB314" s="398"/>
      <c r="AC314" s="398"/>
      <c r="AD314" s="398"/>
    </row>
    <row r="315" spans="1:30">
      <c r="A315" s="155"/>
      <c r="B315" s="398"/>
      <c r="C315" s="405"/>
      <c r="D315" s="398"/>
      <c r="E315" s="400"/>
      <c r="F315" s="401"/>
      <c r="G315" s="398"/>
      <c r="H315" s="400"/>
      <c r="I315" s="398"/>
      <c r="J315" s="398"/>
      <c r="K315" s="398"/>
      <c r="L315" s="398"/>
      <c r="M315" s="398"/>
      <c r="N315" s="398"/>
      <c r="O315" s="398"/>
      <c r="P315" s="398"/>
      <c r="Q315" s="718"/>
      <c r="R315" s="402"/>
      <c r="S315" s="398"/>
      <c r="T315" s="398"/>
      <c r="U315" s="398"/>
      <c r="V315" s="398"/>
      <c r="W315" s="398"/>
      <c r="X315" s="398"/>
      <c r="Y315" s="398"/>
      <c r="Z315" s="398"/>
      <c r="AA315" s="398"/>
      <c r="AB315" s="398"/>
      <c r="AC315" s="398"/>
      <c r="AD315" s="398"/>
    </row>
    <row r="316" spans="1:30">
      <c r="A316" s="155"/>
      <c r="B316" s="398"/>
      <c r="C316" s="405"/>
      <c r="D316" s="398"/>
      <c r="E316" s="400"/>
      <c r="F316" s="401"/>
      <c r="G316" s="398"/>
      <c r="H316" s="400"/>
      <c r="I316" s="398"/>
      <c r="J316" s="398"/>
      <c r="K316" s="398"/>
      <c r="L316" s="398"/>
      <c r="M316" s="398"/>
      <c r="N316" s="398"/>
      <c r="O316" s="398"/>
      <c r="P316" s="398"/>
      <c r="Q316" s="718"/>
      <c r="R316" s="402"/>
      <c r="S316" s="398"/>
      <c r="T316" s="398"/>
      <c r="U316" s="398"/>
      <c r="V316" s="398"/>
      <c r="W316" s="398"/>
      <c r="X316" s="398"/>
      <c r="Y316" s="398"/>
      <c r="Z316" s="398"/>
      <c r="AA316" s="398"/>
      <c r="AB316" s="398"/>
      <c r="AC316" s="398"/>
      <c r="AD316" s="398"/>
    </row>
    <row r="317" spans="1:30">
      <c r="A317" s="155"/>
      <c r="B317" s="398"/>
      <c r="C317" s="405"/>
      <c r="D317" s="398"/>
      <c r="E317" s="400"/>
      <c r="F317" s="401"/>
      <c r="G317" s="398"/>
      <c r="H317" s="400"/>
      <c r="I317" s="398"/>
      <c r="J317" s="398"/>
      <c r="K317" s="398"/>
      <c r="L317" s="398"/>
      <c r="M317" s="398"/>
      <c r="N317" s="398"/>
      <c r="O317" s="398"/>
      <c r="P317" s="398"/>
      <c r="Q317" s="718"/>
      <c r="R317" s="402"/>
      <c r="S317" s="398"/>
      <c r="T317" s="398"/>
      <c r="U317" s="398"/>
      <c r="V317" s="398"/>
      <c r="W317" s="398"/>
      <c r="X317" s="398"/>
      <c r="Y317" s="398"/>
      <c r="Z317" s="398"/>
      <c r="AA317" s="398"/>
      <c r="AB317" s="398"/>
      <c r="AC317" s="398"/>
      <c r="AD317" s="398"/>
    </row>
    <row r="318" spans="1:30">
      <c r="A318" s="155"/>
      <c r="B318" s="398"/>
      <c r="C318" s="405"/>
      <c r="D318" s="398"/>
      <c r="E318" s="400"/>
      <c r="F318" s="401"/>
      <c r="G318" s="398"/>
      <c r="H318" s="400"/>
      <c r="I318" s="398"/>
      <c r="J318" s="398"/>
      <c r="K318" s="398"/>
      <c r="L318" s="398"/>
      <c r="M318" s="398"/>
      <c r="N318" s="398"/>
      <c r="O318" s="398"/>
      <c r="P318" s="398"/>
      <c r="Q318" s="718"/>
      <c r="R318" s="402"/>
      <c r="S318" s="398"/>
      <c r="T318" s="398"/>
      <c r="U318" s="398"/>
      <c r="V318" s="398"/>
      <c r="W318" s="398"/>
      <c r="X318" s="398"/>
      <c r="Y318" s="398"/>
      <c r="Z318" s="398"/>
      <c r="AA318" s="398"/>
      <c r="AB318" s="398"/>
      <c r="AC318" s="398"/>
      <c r="AD318" s="398"/>
    </row>
    <row r="319" spans="1:30">
      <c r="A319" s="155"/>
      <c r="B319" s="398"/>
      <c r="C319" s="405"/>
      <c r="D319" s="398"/>
      <c r="E319" s="400"/>
      <c r="F319" s="401"/>
      <c r="G319" s="398"/>
      <c r="H319" s="400"/>
      <c r="I319" s="398"/>
      <c r="J319" s="398"/>
      <c r="K319" s="398"/>
      <c r="L319" s="398"/>
      <c r="M319" s="398"/>
      <c r="N319" s="398"/>
      <c r="O319" s="398"/>
      <c r="P319" s="398"/>
      <c r="Q319" s="718"/>
      <c r="R319" s="402"/>
      <c r="S319" s="398"/>
      <c r="T319" s="398"/>
      <c r="U319" s="398"/>
      <c r="V319" s="398"/>
      <c r="W319" s="398"/>
      <c r="X319" s="398"/>
      <c r="Y319" s="398"/>
      <c r="Z319" s="398"/>
      <c r="AA319" s="398"/>
      <c r="AB319" s="398"/>
      <c r="AC319" s="398"/>
      <c r="AD319" s="398"/>
    </row>
    <row r="320" spans="1:30">
      <c r="A320" s="155"/>
      <c r="B320" s="398"/>
      <c r="C320" s="405"/>
      <c r="D320" s="398"/>
      <c r="E320" s="400"/>
      <c r="F320" s="401"/>
      <c r="G320" s="398"/>
      <c r="H320" s="400"/>
      <c r="I320" s="398"/>
      <c r="J320" s="398"/>
      <c r="K320" s="398"/>
      <c r="L320" s="398"/>
      <c r="M320" s="398"/>
      <c r="N320" s="398"/>
      <c r="O320" s="398"/>
      <c r="P320" s="398"/>
      <c r="Q320" s="718"/>
      <c r="R320" s="402"/>
      <c r="S320" s="398"/>
      <c r="T320" s="398"/>
      <c r="U320" s="398"/>
      <c r="V320" s="398"/>
      <c r="W320" s="398"/>
      <c r="X320" s="398"/>
      <c r="Y320" s="398"/>
      <c r="Z320" s="398"/>
      <c r="AA320" s="398"/>
      <c r="AB320" s="398"/>
      <c r="AC320" s="398"/>
      <c r="AD320" s="398"/>
    </row>
    <row r="321" spans="1:30">
      <c r="A321" s="155"/>
      <c r="B321" s="398"/>
      <c r="C321" s="405"/>
      <c r="D321" s="398"/>
      <c r="E321" s="400"/>
      <c r="F321" s="401"/>
      <c r="G321" s="398"/>
      <c r="H321" s="400"/>
      <c r="I321" s="398"/>
      <c r="J321" s="398"/>
      <c r="K321" s="398"/>
      <c r="L321" s="398"/>
      <c r="M321" s="398"/>
      <c r="N321" s="398"/>
      <c r="O321" s="398"/>
      <c r="P321" s="398"/>
      <c r="Q321" s="718"/>
      <c r="R321" s="402"/>
      <c r="S321" s="398"/>
      <c r="T321" s="398"/>
      <c r="U321" s="398"/>
      <c r="V321" s="398"/>
      <c r="W321" s="398"/>
      <c r="X321" s="398"/>
      <c r="Y321" s="398"/>
      <c r="Z321" s="398"/>
      <c r="AA321" s="398"/>
      <c r="AB321" s="398"/>
      <c r="AC321" s="398"/>
      <c r="AD321" s="398"/>
    </row>
    <row r="322" spans="1:30">
      <c r="A322" s="155"/>
      <c r="B322" s="398"/>
      <c r="C322" s="405"/>
      <c r="D322" s="398"/>
      <c r="E322" s="400"/>
      <c r="F322" s="401"/>
      <c r="G322" s="398"/>
      <c r="H322" s="400"/>
      <c r="I322" s="398"/>
      <c r="J322" s="398"/>
      <c r="K322" s="398"/>
      <c r="L322" s="398"/>
      <c r="M322" s="398"/>
      <c r="N322" s="398"/>
      <c r="O322" s="398"/>
      <c r="P322" s="398"/>
      <c r="Q322" s="718"/>
      <c r="R322" s="402"/>
      <c r="S322" s="398"/>
      <c r="T322" s="398"/>
      <c r="U322" s="398"/>
      <c r="V322" s="398"/>
      <c r="W322" s="398"/>
      <c r="X322" s="398"/>
      <c r="Y322" s="398"/>
      <c r="Z322" s="398"/>
      <c r="AA322" s="398"/>
      <c r="AB322" s="398"/>
      <c r="AC322" s="398"/>
      <c r="AD322" s="398"/>
    </row>
    <row r="323" spans="1:30">
      <c r="A323" s="155"/>
      <c r="B323" s="398"/>
      <c r="C323" s="405"/>
      <c r="D323" s="398"/>
      <c r="E323" s="400"/>
      <c r="F323" s="401"/>
      <c r="G323" s="398"/>
      <c r="H323" s="400"/>
      <c r="I323" s="398"/>
      <c r="J323" s="398"/>
      <c r="K323" s="398"/>
      <c r="L323" s="398"/>
      <c r="M323" s="398"/>
      <c r="N323" s="398"/>
      <c r="O323" s="398"/>
      <c r="P323" s="398"/>
      <c r="Q323" s="718"/>
      <c r="R323" s="402"/>
      <c r="S323" s="398"/>
      <c r="T323" s="398"/>
      <c r="U323" s="398"/>
      <c r="V323" s="398"/>
      <c r="W323" s="398"/>
      <c r="X323" s="398"/>
      <c r="Y323" s="398"/>
      <c r="Z323" s="398"/>
      <c r="AA323" s="398"/>
      <c r="AB323" s="398"/>
      <c r="AC323" s="398"/>
      <c r="AD323" s="398"/>
    </row>
    <row r="324" spans="1:30">
      <c r="A324" s="155"/>
      <c r="B324" s="398"/>
      <c r="C324" s="405"/>
      <c r="D324" s="398"/>
      <c r="E324" s="400"/>
      <c r="F324" s="401"/>
      <c r="G324" s="398"/>
      <c r="H324" s="400"/>
      <c r="I324" s="398"/>
      <c r="J324" s="398"/>
      <c r="K324" s="398"/>
      <c r="L324" s="398"/>
      <c r="M324" s="398"/>
      <c r="N324" s="398"/>
      <c r="O324" s="398"/>
      <c r="P324" s="398"/>
      <c r="Q324" s="718"/>
      <c r="R324" s="402"/>
      <c r="S324" s="398"/>
      <c r="T324" s="398"/>
      <c r="U324" s="398"/>
      <c r="V324" s="398"/>
      <c r="W324" s="398"/>
      <c r="X324" s="398"/>
      <c r="Y324" s="398"/>
      <c r="Z324" s="398"/>
      <c r="AA324" s="398"/>
      <c r="AB324" s="398"/>
      <c r="AC324" s="398"/>
      <c r="AD324" s="398"/>
    </row>
    <row r="325" spans="1:30">
      <c r="A325" s="155"/>
      <c r="B325" s="398"/>
      <c r="C325" s="405"/>
      <c r="D325" s="398"/>
      <c r="E325" s="400"/>
      <c r="F325" s="401"/>
      <c r="G325" s="398"/>
      <c r="H325" s="400"/>
      <c r="I325" s="398"/>
      <c r="J325" s="398"/>
      <c r="K325" s="398"/>
      <c r="L325" s="398"/>
      <c r="M325" s="398"/>
      <c r="N325" s="398"/>
      <c r="O325" s="398"/>
      <c r="P325" s="398"/>
      <c r="Q325" s="718"/>
      <c r="R325" s="402"/>
      <c r="S325" s="398"/>
      <c r="T325" s="398"/>
      <c r="U325" s="398"/>
      <c r="V325" s="398"/>
      <c r="W325" s="398"/>
      <c r="X325" s="398"/>
      <c r="Y325" s="398"/>
      <c r="Z325" s="398"/>
      <c r="AA325" s="398"/>
      <c r="AB325" s="398"/>
      <c r="AC325" s="398"/>
      <c r="AD325" s="398"/>
    </row>
    <row r="326" spans="1:30">
      <c r="A326" s="155"/>
      <c r="B326" s="398"/>
      <c r="C326" s="405"/>
      <c r="D326" s="398"/>
      <c r="E326" s="400"/>
      <c r="F326" s="401"/>
      <c r="G326" s="398"/>
      <c r="H326" s="400"/>
      <c r="I326" s="398"/>
      <c r="J326" s="398"/>
      <c r="K326" s="398"/>
      <c r="L326" s="398"/>
      <c r="M326" s="398"/>
      <c r="N326" s="398"/>
      <c r="O326" s="398"/>
      <c r="P326" s="398"/>
      <c r="Q326" s="718"/>
      <c r="R326" s="402"/>
      <c r="S326" s="398"/>
      <c r="T326" s="398"/>
      <c r="U326" s="398"/>
      <c r="V326" s="398"/>
      <c r="W326" s="398"/>
      <c r="X326" s="398"/>
      <c r="Y326" s="398"/>
      <c r="Z326" s="398"/>
      <c r="AA326" s="398"/>
      <c r="AB326" s="398"/>
      <c r="AC326" s="398"/>
      <c r="AD326" s="398"/>
    </row>
    <row r="327" spans="1:30">
      <c r="A327" s="155"/>
      <c r="B327" s="398"/>
      <c r="C327" s="405"/>
      <c r="D327" s="398"/>
      <c r="E327" s="400"/>
      <c r="F327" s="401"/>
      <c r="G327" s="398"/>
      <c r="H327" s="400"/>
      <c r="I327" s="398"/>
      <c r="J327" s="398"/>
      <c r="K327" s="398"/>
      <c r="L327" s="398"/>
      <c r="M327" s="398"/>
      <c r="N327" s="398"/>
      <c r="O327" s="398"/>
      <c r="P327" s="398"/>
      <c r="Q327" s="718"/>
      <c r="R327" s="402"/>
      <c r="S327" s="398"/>
      <c r="T327" s="398"/>
      <c r="U327" s="398"/>
      <c r="V327" s="398"/>
      <c r="W327" s="398"/>
      <c r="X327" s="398"/>
      <c r="Y327" s="398"/>
      <c r="Z327" s="398"/>
      <c r="AA327" s="398"/>
      <c r="AB327" s="398"/>
      <c r="AC327" s="398"/>
      <c r="AD327" s="398"/>
    </row>
    <row r="328" spans="1:30">
      <c r="A328" s="155"/>
      <c r="B328" s="398"/>
      <c r="C328" s="405"/>
      <c r="D328" s="398"/>
      <c r="E328" s="400"/>
      <c r="F328" s="401"/>
      <c r="G328" s="398"/>
      <c r="H328" s="400"/>
      <c r="I328" s="398"/>
      <c r="J328" s="398"/>
      <c r="K328" s="398"/>
      <c r="L328" s="398"/>
      <c r="M328" s="398"/>
      <c r="N328" s="398"/>
      <c r="O328" s="398"/>
      <c r="P328" s="398"/>
      <c r="Q328" s="718"/>
      <c r="R328" s="402"/>
      <c r="S328" s="398"/>
      <c r="T328" s="398"/>
      <c r="U328" s="398"/>
      <c r="V328" s="398"/>
      <c r="W328" s="398"/>
      <c r="X328" s="398"/>
      <c r="Y328" s="398"/>
      <c r="Z328" s="398"/>
      <c r="AA328" s="398"/>
      <c r="AB328" s="398"/>
      <c r="AC328" s="398"/>
      <c r="AD328" s="398"/>
    </row>
    <row r="329" spans="1:30">
      <c r="A329" s="155"/>
      <c r="B329" s="398"/>
      <c r="C329" s="405"/>
      <c r="D329" s="398"/>
      <c r="E329" s="400"/>
      <c r="F329" s="401"/>
      <c r="G329" s="398"/>
      <c r="H329" s="400"/>
      <c r="I329" s="398"/>
      <c r="J329" s="398"/>
      <c r="K329" s="398"/>
      <c r="L329" s="398"/>
      <c r="M329" s="398"/>
      <c r="N329" s="398"/>
      <c r="O329" s="398"/>
      <c r="P329" s="398"/>
      <c r="Q329" s="718"/>
      <c r="R329" s="402"/>
      <c r="S329" s="398"/>
      <c r="T329" s="398"/>
      <c r="U329" s="398"/>
      <c r="V329" s="398"/>
      <c r="W329" s="398"/>
      <c r="X329" s="398"/>
      <c r="Y329" s="398"/>
      <c r="Z329" s="398"/>
      <c r="AA329" s="398"/>
      <c r="AB329" s="398"/>
      <c r="AC329" s="398"/>
      <c r="AD329" s="398"/>
    </row>
    <row r="330" spans="1:30">
      <c r="A330" s="155"/>
      <c r="B330" s="398"/>
      <c r="C330" s="405"/>
      <c r="D330" s="398"/>
      <c r="E330" s="400"/>
      <c r="F330" s="401"/>
      <c r="G330" s="398"/>
      <c r="H330" s="400"/>
      <c r="I330" s="398"/>
      <c r="J330" s="398"/>
      <c r="K330" s="398"/>
      <c r="L330" s="398"/>
      <c r="M330" s="398"/>
      <c r="N330" s="398"/>
      <c r="O330" s="398"/>
      <c r="P330" s="398"/>
      <c r="Q330" s="718"/>
      <c r="R330" s="402"/>
      <c r="S330" s="398"/>
      <c r="T330" s="398"/>
      <c r="U330" s="398"/>
      <c r="V330" s="398"/>
      <c r="W330" s="398"/>
      <c r="X330" s="398"/>
      <c r="Y330" s="398"/>
      <c r="Z330" s="398"/>
      <c r="AA330" s="398"/>
      <c r="AB330" s="398"/>
      <c r="AC330" s="398"/>
      <c r="AD330" s="398"/>
    </row>
    <row r="331" spans="1:30">
      <c r="A331" s="155"/>
      <c r="B331" s="398"/>
      <c r="C331" s="405"/>
      <c r="D331" s="398"/>
      <c r="E331" s="400"/>
      <c r="F331" s="401"/>
      <c r="G331" s="398"/>
      <c r="H331" s="400"/>
      <c r="I331" s="398"/>
      <c r="J331" s="398"/>
      <c r="K331" s="398"/>
      <c r="L331" s="398"/>
      <c r="M331" s="398"/>
      <c r="N331" s="398"/>
      <c r="O331" s="398"/>
      <c r="P331" s="398"/>
      <c r="Q331" s="718"/>
      <c r="R331" s="402"/>
      <c r="S331" s="398"/>
      <c r="T331" s="398"/>
      <c r="U331" s="398"/>
      <c r="V331" s="398"/>
      <c r="W331" s="398"/>
      <c r="X331" s="398"/>
      <c r="Y331" s="398"/>
      <c r="Z331" s="398"/>
      <c r="AA331" s="398"/>
      <c r="AB331" s="398"/>
      <c r="AC331" s="398"/>
      <c r="AD331" s="398"/>
    </row>
    <row r="332" spans="1:30">
      <c r="A332" s="155"/>
      <c r="B332" s="398"/>
      <c r="C332" s="405"/>
      <c r="D332" s="398"/>
      <c r="E332" s="400"/>
      <c r="F332" s="401"/>
      <c r="G332" s="398"/>
      <c r="H332" s="400"/>
      <c r="I332" s="398"/>
      <c r="J332" s="398"/>
      <c r="K332" s="398"/>
      <c r="L332" s="398"/>
      <c r="M332" s="398"/>
      <c r="N332" s="398"/>
      <c r="O332" s="398"/>
      <c r="P332" s="398"/>
      <c r="Q332" s="718"/>
      <c r="R332" s="402"/>
      <c r="S332" s="398"/>
      <c r="T332" s="398"/>
      <c r="U332" s="398"/>
      <c r="V332" s="398"/>
      <c r="W332" s="398"/>
      <c r="X332" s="398"/>
      <c r="Y332" s="398"/>
      <c r="Z332" s="398"/>
      <c r="AA332" s="398"/>
      <c r="AB332" s="398"/>
      <c r="AC332" s="398"/>
      <c r="AD332" s="398"/>
    </row>
    <row r="333" spans="1:30">
      <c r="A333" s="155"/>
      <c r="B333" s="398"/>
      <c r="C333" s="405"/>
      <c r="D333" s="398"/>
      <c r="E333" s="400"/>
      <c r="F333" s="401"/>
      <c r="G333" s="398"/>
      <c r="H333" s="400"/>
      <c r="I333" s="398"/>
      <c r="J333" s="398"/>
      <c r="K333" s="398"/>
      <c r="L333" s="398"/>
      <c r="M333" s="398"/>
      <c r="N333" s="398"/>
      <c r="O333" s="398"/>
      <c r="P333" s="398"/>
      <c r="Q333" s="718"/>
      <c r="R333" s="402"/>
      <c r="S333" s="398"/>
      <c r="T333" s="398"/>
      <c r="U333" s="398"/>
      <c r="V333" s="398"/>
      <c r="W333" s="398"/>
      <c r="X333" s="398"/>
      <c r="Y333" s="398"/>
      <c r="Z333" s="398"/>
      <c r="AA333" s="398"/>
      <c r="AB333" s="398"/>
      <c r="AC333" s="398"/>
      <c r="AD333" s="398"/>
    </row>
    <row r="334" spans="1:30">
      <c r="A334" s="155"/>
      <c r="B334" s="398"/>
      <c r="C334" s="405"/>
      <c r="D334" s="398"/>
      <c r="E334" s="400"/>
      <c r="F334" s="401"/>
      <c r="G334" s="398"/>
      <c r="H334" s="400"/>
      <c r="I334" s="398"/>
      <c r="J334" s="398"/>
      <c r="K334" s="398"/>
      <c r="L334" s="398"/>
      <c r="M334" s="398"/>
      <c r="N334" s="398"/>
      <c r="O334" s="398"/>
      <c r="P334" s="398"/>
      <c r="Q334" s="718"/>
      <c r="R334" s="402"/>
      <c r="S334" s="398"/>
      <c r="T334" s="398"/>
      <c r="U334" s="398"/>
      <c r="V334" s="398"/>
      <c r="W334" s="398"/>
      <c r="X334" s="398"/>
      <c r="Y334" s="398"/>
      <c r="Z334" s="398"/>
      <c r="AA334" s="398"/>
      <c r="AB334" s="398"/>
      <c r="AC334" s="398"/>
      <c r="AD334" s="398"/>
    </row>
    <row r="335" spans="1:30">
      <c r="A335" s="155"/>
      <c r="B335" s="398"/>
      <c r="C335" s="405"/>
      <c r="D335" s="398"/>
      <c r="E335" s="400"/>
      <c r="F335" s="401"/>
      <c r="G335" s="398"/>
      <c r="H335" s="400"/>
      <c r="I335" s="398"/>
      <c r="J335" s="398"/>
      <c r="K335" s="398"/>
      <c r="L335" s="398"/>
      <c r="M335" s="398"/>
      <c r="N335" s="398"/>
      <c r="O335" s="398"/>
      <c r="P335" s="398"/>
      <c r="Q335" s="718"/>
      <c r="R335" s="402"/>
      <c r="S335" s="398"/>
      <c r="T335" s="398"/>
      <c r="U335" s="398"/>
      <c r="V335" s="398"/>
      <c r="W335" s="398"/>
      <c r="X335" s="398"/>
      <c r="Y335" s="398"/>
      <c r="Z335" s="398"/>
      <c r="AA335" s="398"/>
      <c r="AB335" s="398"/>
      <c r="AC335" s="398"/>
      <c r="AD335" s="398"/>
    </row>
    <row r="336" spans="1:30">
      <c r="A336" s="155"/>
      <c r="B336" s="398"/>
      <c r="C336" s="405"/>
      <c r="D336" s="398"/>
      <c r="E336" s="400"/>
      <c r="F336" s="401"/>
      <c r="G336" s="398"/>
      <c r="H336" s="400"/>
      <c r="I336" s="398"/>
      <c r="J336" s="398"/>
      <c r="K336" s="398"/>
      <c r="L336" s="398"/>
      <c r="M336" s="398"/>
      <c r="N336" s="398"/>
      <c r="O336" s="398"/>
      <c r="P336" s="398"/>
      <c r="Q336" s="718"/>
      <c r="R336" s="402"/>
      <c r="S336" s="398"/>
      <c r="T336" s="398"/>
      <c r="U336" s="398"/>
      <c r="V336" s="398"/>
      <c r="W336" s="398"/>
      <c r="X336" s="398"/>
      <c r="Y336" s="398"/>
      <c r="Z336" s="398"/>
      <c r="AA336" s="398"/>
      <c r="AB336" s="398"/>
      <c r="AC336" s="398"/>
      <c r="AD336" s="398"/>
    </row>
    <row r="337" spans="1:30">
      <c r="A337" s="155"/>
      <c r="B337" s="398"/>
      <c r="C337" s="405"/>
      <c r="D337" s="398"/>
      <c r="E337" s="400"/>
      <c r="F337" s="401"/>
      <c r="G337" s="398"/>
      <c r="H337" s="400"/>
      <c r="I337" s="398"/>
      <c r="J337" s="398"/>
      <c r="K337" s="398"/>
      <c r="L337" s="398"/>
      <c r="M337" s="398"/>
      <c r="N337" s="398"/>
      <c r="O337" s="398"/>
      <c r="P337" s="398"/>
      <c r="Q337" s="718"/>
      <c r="R337" s="402"/>
      <c r="S337" s="398"/>
      <c r="T337" s="398"/>
      <c r="U337" s="398"/>
      <c r="V337" s="398"/>
      <c r="W337" s="398"/>
      <c r="X337" s="398"/>
      <c r="Y337" s="398"/>
      <c r="Z337" s="398"/>
      <c r="AA337" s="398"/>
      <c r="AB337" s="398"/>
      <c r="AC337" s="398"/>
      <c r="AD337" s="398"/>
    </row>
    <row r="338" spans="1:30">
      <c r="A338" s="155"/>
      <c r="B338" s="398"/>
      <c r="C338" s="405"/>
      <c r="D338" s="398"/>
      <c r="E338" s="400"/>
      <c r="F338" s="401"/>
      <c r="G338" s="398"/>
      <c r="H338" s="400"/>
      <c r="I338" s="398"/>
      <c r="J338" s="398"/>
      <c r="K338" s="398"/>
      <c r="L338" s="398"/>
      <c r="M338" s="398"/>
      <c r="N338" s="398"/>
      <c r="O338" s="398"/>
      <c r="P338" s="398"/>
      <c r="Q338" s="718"/>
      <c r="R338" s="402"/>
      <c r="S338" s="398"/>
      <c r="T338" s="398"/>
      <c r="U338" s="398"/>
      <c r="V338" s="398"/>
      <c r="W338" s="398"/>
      <c r="X338" s="398"/>
      <c r="Y338" s="398"/>
      <c r="Z338" s="398"/>
      <c r="AA338" s="398"/>
      <c r="AB338" s="398"/>
      <c r="AC338" s="398"/>
      <c r="AD338" s="398"/>
    </row>
    <row r="339" spans="1:30">
      <c r="A339" s="155"/>
      <c r="B339" s="398"/>
      <c r="C339" s="405"/>
      <c r="D339" s="398"/>
      <c r="E339" s="400"/>
      <c r="F339" s="401"/>
      <c r="G339" s="398"/>
      <c r="H339" s="400"/>
      <c r="I339" s="398"/>
      <c r="J339" s="398"/>
      <c r="K339" s="398"/>
      <c r="L339" s="398"/>
      <c r="M339" s="398"/>
      <c r="N339" s="398"/>
      <c r="O339" s="398"/>
      <c r="P339" s="398"/>
      <c r="Q339" s="718"/>
      <c r="R339" s="402"/>
      <c r="S339" s="398"/>
      <c r="T339" s="398"/>
      <c r="U339" s="398"/>
      <c r="V339" s="398"/>
      <c r="W339" s="398"/>
      <c r="X339" s="398"/>
      <c r="Y339" s="398"/>
      <c r="Z339" s="398"/>
      <c r="AA339" s="398"/>
      <c r="AB339" s="398"/>
      <c r="AC339" s="398"/>
      <c r="AD339" s="398"/>
    </row>
    <row r="340" spans="1:30">
      <c r="A340" s="155"/>
      <c r="B340" s="398"/>
      <c r="C340" s="405"/>
      <c r="D340" s="398"/>
      <c r="E340" s="400"/>
      <c r="F340" s="401"/>
      <c r="G340" s="398"/>
      <c r="H340" s="400"/>
      <c r="I340" s="398"/>
      <c r="J340" s="398"/>
      <c r="K340" s="398"/>
      <c r="L340" s="398"/>
      <c r="M340" s="398"/>
      <c r="N340" s="398"/>
      <c r="O340" s="398"/>
      <c r="P340" s="398"/>
      <c r="Q340" s="718"/>
      <c r="R340" s="402"/>
      <c r="S340" s="398"/>
      <c r="T340" s="398"/>
      <c r="U340" s="398"/>
      <c r="V340" s="398"/>
      <c r="W340" s="398"/>
      <c r="X340" s="398"/>
      <c r="Y340" s="398"/>
      <c r="Z340" s="398"/>
      <c r="AA340" s="398"/>
      <c r="AB340" s="398"/>
      <c r="AC340" s="398"/>
      <c r="AD340" s="398"/>
    </row>
    <row r="341" spans="1:30">
      <c r="A341" s="155"/>
      <c r="B341" s="398"/>
      <c r="C341" s="405"/>
      <c r="D341" s="398"/>
      <c r="E341" s="400"/>
      <c r="F341" s="401"/>
      <c r="G341" s="398"/>
      <c r="H341" s="400"/>
      <c r="I341" s="398"/>
      <c r="J341" s="398"/>
      <c r="K341" s="398"/>
      <c r="L341" s="398"/>
      <c r="M341" s="398"/>
      <c r="N341" s="398"/>
      <c r="O341" s="398"/>
      <c r="P341" s="398"/>
      <c r="Q341" s="718"/>
      <c r="R341" s="402"/>
      <c r="S341" s="398"/>
      <c r="T341" s="398"/>
      <c r="U341" s="398"/>
      <c r="V341" s="398"/>
      <c r="W341" s="398"/>
      <c r="X341" s="398"/>
      <c r="Y341" s="398"/>
      <c r="Z341" s="398"/>
      <c r="AA341" s="398"/>
      <c r="AB341" s="398"/>
      <c r="AC341" s="398"/>
      <c r="AD341" s="398"/>
    </row>
    <row r="342" spans="1:30">
      <c r="A342" s="155"/>
      <c r="B342" s="398"/>
      <c r="C342" s="405"/>
      <c r="D342" s="398"/>
      <c r="E342" s="400"/>
      <c r="F342" s="401"/>
      <c r="G342" s="398"/>
      <c r="H342" s="400"/>
      <c r="I342" s="398"/>
      <c r="J342" s="398"/>
      <c r="K342" s="398"/>
      <c r="L342" s="398"/>
      <c r="M342" s="398"/>
      <c r="N342" s="398"/>
      <c r="O342" s="398"/>
      <c r="P342" s="398"/>
      <c r="Q342" s="718"/>
      <c r="R342" s="402"/>
      <c r="S342" s="398"/>
      <c r="T342" s="398"/>
      <c r="U342" s="398"/>
      <c r="V342" s="398"/>
      <c r="W342" s="398"/>
      <c r="X342" s="398"/>
      <c r="Y342" s="398"/>
      <c r="Z342" s="398"/>
      <c r="AA342" s="398"/>
      <c r="AB342" s="398"/>
      <c r="AC342" s="398"/>
      <c r="AD342" s="398"/>
    </row>
    <row r="343" spans="1:30">
      <c r="A343" s="155"/>
      <c r="B343" s="398"/>
      <c r="C343" s="405"/>
      <c r="D343" s="398"/>
      <c r="E343" s="400"/>
      <c r="F343" s="401"/>
      <c r="G343" s="398"/>
      <c r="H343" s="400"/>
      <c r="I343" s="398"/>
      <c r="J343" s="398"/>
      <c r="K343" s="398"/>
      <c r="L343" s="398"/>
      <c r="M343" s="398"/>
      <c r="N343" s="398"/>
      <c r="O343" s="398"/>
      <c r="P343" s="398"/>
      <c r="Q343" s="718"/>
      <c r="R343" s="402"/>
      <c r="S343" s="398"/>
      <c r="T343" s="398"/>
      <c r="U343" s="398"/>
      <c r="V343" s="398"/>
      <c r="W343" s="398"/>
      <c r="X343" s="398"/>
      <c r="Y343" s="398"/>
      <c r="Z343" s="398"/>
      <c r="AA343" s="398"/>
      <c r="AB343" s="398"/>
      <c r="AC343" s="398"/>
      <c r="AD343" s="398"/>
    </row>
    <row r="344" spans="1:30">
      <c r="A344" s="155"/>
      <c r="B344" s="398"/>
      <c r="C344" s="405"/>
      <c r="D344" s="398"/>
      <c r="E344" s="400"/>
      <c r="F344" s="401"/>
      <c r="G344" s="398"/>
      <c r="H344" s="400"/>
      <c r="I344" s="398"/>
      <c r="J344" s="398"/>
      <c r="K344" s="398"/>
      <c r="L344" s="398"/>
      <c r="M344" s="398"/>
      <c r="N344" s="398"/>
      <c r="O344" s="398"/>
      <c r="P344" s="398"/>
      <c r="Q344" s="718"/>
      <c r="R344" s="402"/>
      <c r="S344" s="398"/>
      <c r="T344" s="398"/>
      <c r="U344" s="398"/>
      <c r="V344" s="398"/>
      <c r="W344" s="398"/>
      <c r="X344" s="398"/>
      <c r="Y344" s="398"/>
      <c r="Z344" s="398"/>
      <c r="AA344" s="398"/>
      <c r="AB344" s="398"/>
      <c r="AC344" s="398"/>
      <c r="AD344" s="398"/>
    </row>
    <row r="345" spans="1:30">
      <c r="A345" s="155"/>
      <c r="B345" s="398"/>
      <c r="C345" s="405"/>
      <c r="D345" s="398"/>
      <c r="E345" s="400"/>
      <c r="F345" s="401"/>
      <c r="G345" s="398"/>
      <c r="H345" s="400"/>
      <c r="I345" s="398"/>
      <c r="J345" s="398"/>
      <c r="K345" s="398"/>
      <c r="L345" s="398"/>
      <c r="M345" s="398"/>
      <c r="N345" s="398"/>
      <c r="O345" s="398"/>
      <c r="P345" s="398"/>
      <c r="Q345" s="718"/>
      <c r="R345" s="402"/>
      <c r="S345" s="398"/>
      <c r="T345" s="398"/>
      <c r="U345" s="398"/>
      <c r="V345" s="398"/>
      <c r="W345" s="398"/>
      <c r="X345" s="398"/>
      <c r="Y345" s="398"/>
      <c r="Z345" s="398"/>
      <c r="AA345" s="398"/>
      <c r="AB345" s="398"/>
      <c r="AC345" s="398"/>
      <c r="AD345" s="398"/>
    </row>
    <row r="346" spans="1:30">
      <c r="A346" s="155"/>
      <c r="B346" s="398"/>
      <c r="C346" s="405"/>
      <c r="D346" s="398"/>
      <c r="E346" s="400"/>
      <c r="F346" s="401"/>
      <c r="G346" s="398"/>
      <c r="H346" s="400"/>
      <c r="I346" s="398"/>
      <c r="J346" s="398"/>
      <c r="K346" s="398"/>
      <c r="L346" s="398"/>
      <c r="M346" s="398"/>
      <c r="N346" s="398"/>
      <c r="O346" s="398"/>
      <c r="P346" s="398"/>
      <c r="Q346" s="718"/>
      <c r="R346" s="402"/>
      <c r="S346" s="398"/>
      <c r="T346" s="398"/>
      <c r="U346" s="398"/>
      <c r="V346" s="398"/>
      <c r="W346" s="398"/>
      <c r="X346" s="398"/>
      <c r="Y346" s="398"/>
      <c r="Z346" s="398"/>
      <c r="AA346" s="398"/>
      <c r="AB346" s="398"/>
      <c r="AC346" s="398"/>
      <c r="AD346" s="398"/>
    </row>
    <row r="347" spans="1:30">
      <c r="A347" s="155"/>
      <c r="B347" s="398"/>
      <c r="C347" s="405"/>
      <c r="D347" s="398"/>
      <c r="E347" s="400"/>
      <c r="F347" s="401"/>
      <c r="G347" s="398"/>
      <c r="H347" s="400"/>
      <c r="I347" s="398"/>
      <c r="J347" s="398"/>
      <c r="K347" s="398"/>
      <c r="L347" s="398"/>
      <c r="M347" s="398"/>
      <c r="N347" s="398"/>
      <c r="O347" s="398"/>
      <c r="P347" s="398"/>
      <c r="Q347" s="718"/>
      <c r="R347" s="402"/>
      <c r="S347" s="398"/>
      <c r="T347" s="398"/>
      <c r="U347" s="398"/>
      <c r="V347" s="398"/>
      <c r="W347" s="398"/>
      <c r="X347" s="398"/>
      <c r="Y347" s="398"/>
      <c r="Z347" s="398"/>
      <c r="AA347" s="398"/>
      <c r="AB347" s="398"/>
      <c r="AC347" s="398"/>
      <c r="AD347" s="398"/>
    </row>
    <row r="348" spans="1:30">
      <c r="A348" s="155"/>
      <c r="B348" s="398"/>
      <c r="C348" s="405"/>
      <c r="D348" s="398"/>
      <c r="E348" s="400"/>
      <c r="F348" s="401"/>
      <c r="G348" s="398"/>
      <c r="H348" s="400"/>
      <c r="I348" s="398"/>
      <c r="J348" s="398"/>
      <c r="K348" s="398"/>
      <c r="L348" s="398"/>
      <c r="M348" s="398"/>
      <c r="N348" s="398"/>
      <c r="O348" s="398"/>
      <c r="P348" s="398"/>
      <c r="Q348" s="718"/>
      <c r="R348" s="402"/>
      <c r="S348" s="398"/>
      <c r="T348" s="398"/>
      <c r="U348" s="398"/>
      <c r="V348" s="398"/>
      <c r="W348" s="398"/>
      <c r="X348" s="398"/>
      <c r="Y348" s="398"/>
      <c r="Z348" s="398"/>
      <c r="AA348" s="398"/>
      <c r="AB348" s="398"/>
      <c r="AC348" s="398"/>
      <c r="AD348" s="398"/>
    </row>
    <row r="349" spans="1:30">
      <c r="A349" s="155"/>
      <c r="B349" s="398"/>
      <c r="C349" s="405"/>
      <c r="D349" s="398"/>
      <c r="E349" s="400"/>
      <c r="F349" s="401"/>
      <c r="G349" s="398"/>
      <c r="H349" s="400"/>
      <c r="I349" s="398"/>
      <c r="J349" s="398"/>
      <c r="K349" s="398"/>
      <c r="L349" s="398"/>
      <c r="M349" s="398"/>
      <c r="N349" s="398"/>
      <c r="O349" s="398"/>
      <c r="P349" s="398"/>
      <c r="Q349" s="718"/>
      <c r="R349" s="402"/>
      <c r="S349" s="398"/>
      <c r="T349" s="398"/>
      <c r="U349" s="398"/>
      <c r="V349" s="398"/>
      <c r="W349" s="398"/>
      <c r="X349" s="398"/>
      <c r="Y349" s="398"/>
      <c r="Z349" s="398"/>
      <c r="AA349" s="398"/>
      <c r="AB349" s="398"/>
      <c r="AC349" s="398"/>
      <c r="AD349" s="398"/>
    </row>
    <row r="350" spans="1:30">
      <c r="A350" s="155"/>
      <c r="B350" s="398"/>
      <c r="C350" s="405"/>
      <c r="D350" s="398"/>
      <c r="E350" s="400"/>
      <c r="F350" s="401"/>
      <c r="G350" s="398"/>
      <c r="H350" s="400"/>
      <c r="I350" s="398"/>
      <c r="J350" s="398"/>
      <c r="K350" s="398"/>
      <c r="L350" s="398"/>
      <c r="M350" s="398"/>
      <c r="N350" s="398"/>
      <c r="O350" s="398"/>
      <c r="P350" s="398"/>
      <c r="Q350" s="718"/>
      <c r="R350" s="402"/>
      <c r="S350" s="398"/>
      <c r="T350" s="398"/>
      <c r="U350" s="398"/>
      <c r="V350" s="398"/>
      <c r="W350" s="398"/>
      <c r="X350" s="398"/>
      <c r="Y350" s="398"/>
      <c r="Z350" s="398"/>
      <c r="AA350" s="398"/>
      <c r="AB350" s="398"/>
      <c r="AC350" s="398"/>
      <c r="AD350" s="398"/>
    </row>
    <row r="351" spans="1:30">
      <c r="A351" s="155"/>
      <c r="B351" s="398"/>
      <c r="C351" s="405"/>
      <c r="D351" s="398"/>
      <c r="E351" s="400"/>
      <c r="F351" s="401"/>
      <c r="G351" s="398"/>
      <c r="H351" s="400"/>
      <c r="I351" s="398"/>
      <c r="J351" s="398"/>
      <c r="K351" s="398"/>
      <c r="L351" s="398"/>
      <c r="M351" s="398"/>
      <c r="N351" s="398"/>
      <c r="O351" s="398"/>
      <c r="P351" s="398"/>
      <c r="Q351" s="718"/>
      <c r="R351" s="402"/>
      <c r="S351" s="398"/>
      <c r="T351" s="398"/>
      <c r="U351" s="398"/>
      <c r="V351" s="398"/>
      <c r="W351" s="398"/>
      <c r="X351" s="398"/>
      <c r="Y351" s="398"/>
      <c r="Z351" s="398"/>
      <c r="AA351" s="398"/>
      <c r="AB351" s="398"/>
      <c r="AC351" s="398"/>
      <c r="AD351" s="398"/>
    </row>
    <row r="352" spans="1:30">
      <c r="A352" s="155"/>
      <c r="B352" s="398"/>
      <c r="C352" s="405"/>
      <c r="D352" s="398"/>
      <c r="E352" s="400"/>
      <c r="F352" s="401"/>
      <c r="G352" s="398"/>
      <c r="H352" s="400"/>
      <c r="I352" s="398"/>
      <c r="J352" s="398"/>
      <c r="K352" s="398"/>
      <c r="L352" s="398"/>
      <c r="M352" s="398"/>
      <c r="N352" s="398"/>
      <c r="O352" s="398"/>
      <c r="P352" s="398"/>
      <c r="Q352" s="718"/>
      <c r="R352" s="402"/>
      <c r="S352" s="398"/>
      <c r="T352" s="398"/>
      <c r="U352" s="398"/>
      <c r="V352" s="398"/>
      <c r="W352" s="398"/>
      <c r="X352" s="398"/>
      <c r="Y352" s="398"/>
      <c r="Z352" s="398"/>
      <c r="AA352" s="398"/>
      <c r="AB352" s="398"/>
      <c r="AC352" s="398"/>
      <c r="AD352" s="398"/>
    </row>
    <row r="353" spans="1:30">
      <c r="A353" s="155"/>
      <c r="B353" s="398"/>
      <c r="C353" s="405"/>
      <c r="D353" s="398"/>
      <c r="E353" s="400"/>
      <c r="F353" s="401"/>
      <c r="G353" s="398"/>
      <c r="H353" s="400"/>
      <c r="I353" s="398"/>
      <c r="J353" s="398"/>
      <c r="K353" s="398"/>
      <c r="L353" s="398"/>
      <c r="M353" s="398"/>
      <c r="N353" s="398"/>
      <c r="O353" s="398"/>
      <c r="P353" s="398"/>
      <c r="Q353" s="718"/>
      <c r="R353" s="402"/>
      <c r="S353" s="398"/>
      <c r="T353" s="398"/>
      <c r="U353" s="398"/>
      <c r="V353" s="398"/>
      <c r="W353" s="398"/>
      <c r="X353" s="398"/>
      <c r="Y353" s="398"/>
      <c r="Z353" s="398"/>
      <c r="AA353" s="398"/>
      <c r="AB353" s="398"/>
      <c r="AC353" s="398"/>
      <c r="AD353" s="398"/>
    </row>
    <row r="354" spans="1:30">
      <c r="A354" s="155"/>
      <c r="B354" s="398"/>
      <c r="C354" s="405"/>
      <c r="D354" s="398"/>
      <c r="E354" s="400"/>
      <c r="F354" s="401"/>
      <c r="G354" s="398"/>
      <c r="H354" s="400"/>
      <c r="I354" s="398"/>
      <c r="J354" s="398"/>
      <c r="K354" s="398"/>
      <c r="L354" s="398"/>
      <c r="M354" s="398"/>
      <c r="N354" s="398"/>
      <c r="O354" s="398"/>
      <c r="P354" s="398"/>
      <c r="Q354" s="718"/>
      <c r="R354" s="402"/>
      <c r="S354" s="398"/>
      <c r="T354" s="398"/>
      <c r="U354" s="398"/>
      <c r="V354" s="398"/>
      <c r="W354" s="398"/>
      <c r="X354" s="398"/>
      <c r="Y354" s="398"/>
      <c r="Z354" s="398"/>
      <c r="AA354" s="398"/>
      <c r="AB354" s="398"/>
      <c r="AC354" s="398"/>
      <c r="AD354" s="398"/>
    </row>
    <row r="355" spans="1:30">
      <c r="A355" s="155"/>
      <c r="B355" s="398"/>
      <c r="C355" s="405"/>
      <c r="D355" s="398"/>
      <c r="E355" s="400"/>
      <c r="F355" s="401"/>
      <c r="G355" s="398"/>
      <c r="H355" s="400"/>
      <c r="I355" s="398"/>
      <c r="J355" s="398"/>
      <c r="K355" s="398"/>
      <c r="L355" s="398"/>
      <c r="M355" s="398"/>
      <c r="N355" s="398"/>
      <c r="O355" s="398"/>
      <c r="P355" s="398"/>
      <c r="Q355" s="718"/>
      <c r="R355" s="402"/>
      <c r="S355" s="398"/>
      <c r="T355" s="398"/>
      <c r="U355" s="398"/>
      <c r="V355" s="398"/>
      <c r="W355" s="398"/>
      <c r="X355" s="398"/>
      <c r="Y355" s="398"/>
      <c r="Z355" s="398"/>
      <c r="AA355" s="398"/>
      <c r="AB355" s="398"/>
      <c r="AC355" s="398"/>
      <c r="AD355" s="398"/>
    </row>
    <row r="356" spans="1:30">
      <c r="A356" s="155"/>
      <c r="B356" s="398"/>
      <c r="C356" s="405"/>
      <c r="D356" s="398"/>
      <c r="E356" s="400"/>
      <c r="F356" s="401"/>
      <c r="G356" s="398"/>
      <c r="H356" s="400"/>
      <c r="I356" s="398"/>
      <c r="J356" s="398"/>
      <c r="K356" s="398"/>
      <c r="L356" s="398"/>
      <c r="M356" s="398"/>
      <c r="N356" s="398"/>
      <c r="O356" s="398"/>
      <c r="P356" s="398"/>
      <c r="Q356" s="718"/>
      <c r="R356" s="402"/>
      <c r="S356" s="398"/>
      <c r="T356" s="398"/>
      <c r="U356" s="398"/>
      <c r="V356" s="398"/>
      <c r="W356" s="398"/>
      <c r="X356" s="398"/>
      <c r="Y356" s="398"/>
      <c r="Z356" s="398"/>
      <c r="AA356" s="398"/>
      <c r="AB356" s="398"/>
      <c r="AC356" s="398"/>
      <c r="AD356" s="398"/>
    </row>
    <row r="357" spans="1:30">
      <c r="A357" s="155"/>
      <c r="B357" s="398"/>
      <c r="C357" s="405"/>
      <c r="D357" s="398"/>
      <c r="E357" s="400"/>
      <c r="F357" s="401"/>
      <c r="G357" s="398"/>
      <c r="H357" s="400"/>
      <c r="I357" s="398"/>
      <c r="J357" s="398"/>
      <c r="K357" s="398"/>
      <c r="L357" s="398"/>
      <c r="M357" s="398"/>
      <c r="N357" s="398"/>
      <c r="O357" s="398"/>
      <c r="P357" s="398"/>
      <c r="Q357" s="718"/>
      <c r="R357" s="402"/>
      <c r="S357" s="398"/>
      <c r="T357" s="398"/>
      <c r="U357" s="398"/>
      <c r="V357" s="398"/>
      <c r="W357" s="398"/>
      <c r="X357" s="398"/>
      <c r="Y357" s="398"/>
      <c r="Z357" s="398"/>
      <c r="AA357" s="398"/>
      <c r="AB357" s="398"/>
      <c r="AC357" s="398"/>
      <c r="AD357" s="398"/>
    </row>
    <row r="358" spans="1:30">
      <c r="A358" s="155"/>
      <c r="B358" s="398"/>
      <c r="C358" s="405"/>
      <c r="D358" s="398"/>
      <c r="E358" s="400"/>
      <c r="F358" s="401"/>
      <c r="G358" s="398"/>
      <c r="H358" s="400"/>
      <c r="I358" s="398"/>
      <c r="J358" s="398"/>
      <c r="K358" s="398"/>
      <c r="L358" s="398"/>
      <c r="M358" s="398"/>
      <c r="N358" s="398"/>
      <c r="O358" s="398"/>
      <c r="P358" s="398"/>
      <c r="Q358" s="718"/>
      <c r="R358" s="402"/>
      <c r="S358" s="398"/>
      <c r="T358" s="398"/>
      <c r="U358" s="398"/>
      <c r="V358" s="398"/>
      <c r="W358" s="398"/>
      <c r="X358" s="398"/>
      <c r="Y358" s="398"/>
      <c r="Z358" s="398"/>
      <c r="AA358" s="398"/>
      <c r="AB358" s="398"/>
      <c r="AC358" s="398"/>
      <c r="AD358" s="398"/>
    </row>
    <row r="359" spans="1:30">
      <c r="A359" s="155"/>
      <c r="B359" s="398"/>
      <c r="C359" s="405"/>
      <c r="D359" s="398"/>
      <c r="E359" s="400"/>
      <c r="F359" s="401"/>
      <c r="G359" s="398"/>
      <c r="H359" s="400"/>
      <c r="I359" s="398"/>
      <c r="J359" s="398"/>
      <c r="K359" s="398"/>
      <c r="L359" s="398"/>
      <c r="M359" s="398"/>
      <c r="N359" s="398"/>
      <c r="O359" s="398"/>
      <c r="P359" s="398"/>
      <c r="Q359" s="718"/>
      <c r="R359" s="402"/>
      <c r="S359" s="398"/>
      <c r="T359" s="398"/>
      <c r="U359" s="398"/>
      <c r="V359" s="398"/>
      <c r="W359" s="398"/>
      <c r="X359" s="398"/>
      <c r="Y359" s="398"/>
      <c r="Z359" s="398"/>
      <c r="AA359" s="398"/>
      <c r="AB359" s="398"/>
      <c r="AC359" s="398"/>
      <c r="AD359" s="398"/>
    </row>
    <row r="360" spans="1:30">
      <c r="A360" s="155"/>
      <c r="B360" s="398"/>
      <c r="C360" s="405"/>
      <c r="D360" s="398"/>
      <c r="E360" s="400"/>
      <c r="F360" s="401"/>
      <c r="G360" s="398"/>
      <c r="H360" s="400"/>
      <c r="I360" s="398"/>
      <c r="J360" s="398"/>
      <c r="K360" s="398"/>
      <c r="L360" s="398"/>
      <c r="M360" s="398"/>
      <c r="N360" s="398"/>
      <c r="O360" s="398"/>
      <c r="P360" s="398"/>
      <c r="Q360" s="718"/>
      <c r="R360" s="402"/>
      <c r="S360" s="398"/>
      <c r="T360" s="398"/>
      <c r="U360" s="398"/>
      <c r="V360" s="398"/>
      <c r="W360" s="398"/>
      <c r="X360" s="398"/>
      <c r="Y360" s="398"/>
      <c r="Z360" s="398"/>
      <c r="AA360" s="398"/>
      <c r="AB360" s="398"/>
      <c r="AC360" s="398"/>
      <c r="AD360" s="398"/>
    </row>
    <row r="361" spans="1:30">
      <c r="A361" s="155"/>
      <c r="B361" s="398"/>
      <c r="C361" s="405"/>
      <c r="D361" s="398"/>
      <c r="E361" s="400"/>
      <c r="F361" s="401"/>
      <c r="G361" s="398"/>
      <c r="H361" s="400"/>
      <c r="I361" s="398"/>
      <c r="J361" s="398"/>
      <c r="K361" s="398"/>
      <c r="L361" s="398"/>
      <c r="M361" s="398"/>
      <c r="N361" s="398"/>
      <c r="O361" s="398"/>
      <c r="P361" s="398"/>
      <c r="Q361" s="718"/>
      <c r="R361" s="402"/>
      <c r="S361" s="398"/>
      <c r="T361" s="398"/>
      <c r="U361" s="398"/>
      <c r="V361" s="398"/>
      <c r="W361" s="398"/>
      <c r="X361" s="398"/>
      <c r="Y361" s="398"/>
      <c r="Z361" s="398"/>
      <c r="AA361" s="398"/>
      <c r="AB361" s="398"/>
      <c r="AC361" s="398"/>
      <c r="AD361" s="398"/>
    </row>
    <row r="362" spans="1:30">
      <c r="A362" s="155"/>
      <c r="B362" s="398"/>
      <c r="C362" s="405"/>
      <c r="D362" s="398"/>
      <c r="E362" s="400"/>
      <c r="F362" s="401"/>
      <c r="G362" s="398"/>
      <c r="H362" s="400"/>
      <c r="I362" s="398"/>
      <c r="J362" s="398"/>
      <c r="K362" s="398"/>
      <c r="L362" s="398"/>
      <c r="M362" s="398"/>
      <c r="N362" s="398"/>
      <c r="O362" s="398"/>
      <c r="P362" s="398"/>
      <c r="Q362" s="718"/>
      <c r="R362" s="402"/>
      <c r="S362" s="398"/>
      <c r="T362" s="398"/>
      <c r="U362" s="398"/>
      <c r="V362" s="398"/>
      <c r="W362" s="398"/>
      <c r="X362" s="398"/>
      <c r="Y362" s="398"/>
      <c r="Z362" s="398"/>
      <c r="AA362" s="398"/>
      <c r="AB362" s="398"/>
      <c r="AC362" s="398"/>
      <c r="AD362" s="398"/>
    </row>
    <row r="363" spans="1:30">
      <c r="A363" s="155"/>
      <c r="B363" s="398"/>
      <c r="C363" s="405"/>
      <c r="D363" s="398"/>
      <c r="E363" s="400"/>
      <c r="F363" s="401"/>
      <c r="G363" s="398"/>
      <c r="H363" s="400"/>
      <c r="I363" s="398"/>
      <c r="J363" s="398"/>
      <c r="K363" s="398"/>
      <c r="L363" s="398"/>
      <c r="M363" s="398"/>
      <c r="N363" s="398"/>
      <c r="O363" s="398"/>
      <c r="P363" s="398"/>
      <c r="Q363" s="718"/>
      <c r="R363" s="402"/>
      <c r="S363" s="398"/>
      <c r="T363" s="398"/>
      <c r="U363" s="398"/>
      <c r="V363" s="398"/>
      <c r="W363" s="398"/>
      <c r="X363" s="398"/>
      <c r="Y363" s="398"/>
      <c r="Z363" s="398"/>
      <c r="AA363" s="398"/>
      <c r="AB363" s="398"/>
      <c r="AC363" s="398"/>
      <c r="AD363" s="398"/>
    </row>
    <row r="364" spans="1:30">
      <c r="A364" s="155"/>
      <c r="B364" s="398"/>
      <c r="C364" s="405"/>
      <c r="D364" s="398"/>
      <c r="E364" s="400"/>
      <c r="F364" s="401"/>
      <c r="G364" s="398"/>
      <c r="H364" s="400"/>
      <c r="I364" s="398"/>
      <c r="J364" s="398"/>
      <c r="K364" s="398"/>
      <c r="L364" s="398"/>
      <c r="M364" s="398"/>
      <c r="N364" s="398"/>
      <c r="O364" s="398"/>
      <c r="P364" s="398"/>
      <c r="Q364" s="718"/>
      <c r="R364" s="402"/>
      <c r="S364" s="398"/>
      <c r="T364" s="398"/>
      <c r="U364" s="398"/>
      <c r="V364" s="398"/>
      <c r="W364" s="398"/>
      <c r="X364" s="398"/>
      <c r="Y364" s="398"/>
      <c r="Z364" s="398"/>
      <c r="AA364" s="398"/>
      <c r="AB364" s="398"/>
      <c r="AC364" s="398"/>
      <c r="AD364" s="398"/>
    </row>
    <row r="365" spans="1:30">
      <c r="A365" s="155"/>
      <c r="B365" s="398"/>
      <c r="C365" s="405"/>
      <c r="D365" s="398"/>
      <c r="E365" s="400"/>
      <c r="F365" s="401"/>
      <c r="G365" s="398"/>
      <c r="H365" s="400"/>
      <c r="I365" s="398"/>
      <c r="J365" s="398"/>
      <c r="K365" s="398"/>
      <c r="L365" s="398"/>
      <c r="M365" s="398"/>
      <c r="N365" s="398"/>
      <c r="O365" s="398"/>
      <c r="P365" s="398"/>
      <c r="Q365" s="718"/>
      <c r="R365" s="402"/>
      <c r="S365" s="398"/>
      <c r="T365" s="398"/>
      <c r="U365" s="398"/>
      <c r="V365" s="398"/>
      <c r="W365" s="398"/>
      <c r="X365" s="398"/>
      <c r="Y365" s="398"/>
      <c r="Z365" s="398"/>
      <c r="AA365" s="398"/>
      <c r="AB365" s="398"/>
      <c r="AC365" s="398"/>
      <c r="AD365" s="398"/>
    </row>
    <row r="366" spans="1:30">
      <c r="A366" s="155"/>
      <c r="B366" s="398"/>
      <c r="C366" s="405"/>
      <c r="D366" s="398"/>
      <c r="E366" s="400"/>
      <c r="F366" s="401"/>
      <c r="G366" s="398"/>
      <c r="H366" s="400"/>
      <c r="I366" s="398"/>
      <c r="J366" s="398"/>
      <c r="K366" s="398"/>
      <c r="L366" s="398"/>
      <c r="M366" s="398"/>
      <c r="N366" s="398"/>
      <c r="O366" s="398"/>
      <c r="P366" s="398"/>
      <c r="Q366" s="718"/>
      <c r="R366" s="402"/>
      <c r="S366" s="398"/>
      <c r="T366" s="398"/>
      <c r="U366" s="398"/>
      <c r="V366" s="398"/>
      <c r="W366" s="398"/>
      <c r="X366" s="398"/>
      <c r="Y366" s="398"/>
      <c r="Z366" s="398"/>
      <c r="AA366" s="398"/>
      <c r="AB366" s="398"/>
      <c r="AC366" s="398"/>
      <c r="AD366" s="398"/>
    </row>
    <row r="367" spans="1:30">
      <c r="A367" s="155"/>
      <c r="B367" s="398"/>
      <c r="C367" s="405"/>
      <c r="D367" s="398"/>
      <c r="E367" s="400"/>
      <c r="F367" s="401"/>
      <c r="G367" s="398"/>
      <c r="H367" s="400"/>
      <c r="I367" s="398"/>
      <c r="J367" s="398"/>
      <c r="K367" s="398"/>
      <c r="L367" s="398"/>
      <c r="M367" s="398"/>
      <c r="N367" s="398"/>
      <c r="O367" s="398"/>
      <c r="P367" s="398"/>
      <c r="Q367" s="718"/>
      <c r="R367" s="402"/>
      <c r="S367" s="398"/>
      <c r="T367" s="398"/>
      <c r="U367" s="398"/>
      <c r="V367" s="398"/>
      <c r="W367" s="398"/>
      <c r="X367" s="398"/>
      <c r="Y367" s="398"/>
      <c r="Z367" s="398"/>
      <c r="AA367" s="398"/>
      <c r="AB367" s="398"/>
      <c r="AC367" s="398"/>
      <c r="AD367" s="398"/>
    </row>
    <row r="368" spans="1:30">
      <c r="A368" s="155"/>
      <c r="B368" s="398"/>
      <c r="C368" s="405"/>
      <c r="D368" s="398"/>
      <c r="E368" s="400"/>
      <c r="F368" s="401"/>
      <c r="G368" s="398"/>
      <c r="H368" s="400"/>
      <c r="I368" s="398"/>
      <c r="J368" s="398"/>
      <c r="K368" s="398"/>
      <c r="L368" s="398"/>
      <c r="M368" s="398"/>
      <c r="N368" s="398"/>
      <c r="O368" s="398"/>
      <c r="P368" s="398"/>
      <c r="Q368" s="718"/>
      <c r="R368" s="402"/>
      <c r="S368" s="398"/>
      <c r="T368" s="398"/>
      <c r="U368" s="398"/>
      <c r="V368" s="398"/>
      <c r="W368" s="398"/>
      <c r="X368" s="398"/>
      <c r="Y368" s="398"/>
      <c r="Z368" s="398"/>
      <c r="AA368" s="398"/>
      <c r="AB368" s="398"/>
      <c r="AC368" s="398"/>
      <c r="AD368" s="398"/>
    </row>
    <row r="369" spans="1:30">
      <c r="A369" s="155"/>
      <c r="B369" s="398"/>
      <c r="C369" s="405"/>
      <c r="D369" s="398"/>
      <c r="E369" s="400"/>
      <c r="F369" s="401"/>
      <c r="G369" s="398"/>
      <c r="H369" s="400"/>
      <c r="I369" s="398"/>
      <c r="J369" s="398"/>
      <c r="K369" s="398"/>
      <c r="L369" s="398"/>
      <c r="M369" s="398"/>
      <c r="N369" s="398"/>
      <c r="O369" s="398"/>
      <c r="P369" s="398"/>
      <c r="Q369" s="718"/>
      <c r="R369" s="402"/>
      <c r="S369" s="398"/>
      <c r="T369" s="398"/>
      <c r="U369" s="398"/>
      <c r="V369" s="398"/>
      <c r="W369" s="398"/>
      <c r="X369" s="398"/>
      <c r="Y369" s="398"/>
      <c r="Z369" s="398"/>
      <c r="AA369" s="398"/>
      <c r="AB369" s="398"/>
      <c r="AC369" s="398"/>
      <c r="AD369" s="398"/>
    </row>
    <row r="370" spans="1:30">
      <c r="A370" s="155"/>
      <c r="B370" s="398"/>
      <c r="C370" s="405"/>
      <c r="D370" s="398"/>
      <c r="E370" s="400"/>
      <c r="F370" s="401"/>
      <c r="G370" s="398"/>
      <c r="H370" s="400"/>
      <c r="I370" s="398"/>
      <c r="J370" s="398"/>
      <c r="K370" s="398"/>
      <c r="L370" s="398"/>
      <c r="M370" s="398"/>
      <c r="N370" s="398"/>
      <c r="O370" s="398"/>
      <c r="P370" s="398"/>
      <c r="Q370" s="718"/>
      <c r="R370" s="402"/>
      <c r="S370" s="398"/>
      <c r="T370" s="398"/>
      <c r="U370" s="398"/>
      <c r="V370" s="398"/>
      <c r="W370" s="398"/>
      <c r="X370" s="398"/>
      <c r="Y370" s="398"/>
      <c r="Z370" s="398"/>
      <c r="AA370" s="398"/>
      <c r="AB370" s="398"/>
      <c r="AC370" s="398"/>
      <c r="AD370" s="398"/>
    </row>
    <row r="371" spans="1:30">
      <c r="A371" s="155"/>
      <c r="B371" s="398"/>
      <c r="C371" s="405"/>
      <c r="D371" s="398"/>
      <c r="E371" s="400"/>
      <c r="F371" s="401"/>
      <c r="G371" s="398"/>
      <c r="H371" s="400"/>
      <c r="I371" s="398"/>
      <c r="J371" s="398"/>
      <c r="K371" s="398"/>
      <c r="L371" s="398"/>
      <c r="M371" s="398"/>
      <c r="N371" s="398"/>
      <c r="O371" s="398"/>
      <c r="P371" s="398"/>
      <c r="Q371" s="718"/>
      <c r="R371" s="402"/>
      <c r="S371" s="398"/>
      <c r="T371" s="398"/>
      <c r="U371" s="398"/>
      <c r="V371" s="398"/>
      <c r="W371" s="398"/>
      <c r="X371" s="398"/>
      <c r="Y371" s="398"/>
      <c r="Z371" s="398"/>
      <c r="AA371" s="398"/>
      <c r="AB371" s="398"/>
      <c r="AC371" s="398"/>
      <c r="AD371" s="398"/>
    </row>
    <row r="372" spans="1:30">
      <c r="A372" s="155"/>
      <c r="B372" s="398"/>
      <c r="C372" s="405"/>
      <c r="D372" s="398"/>
      <c r="E372" s="400"/>
      <c r="F372" s="401"/>
      <c r="G372" s="398"/>
      <c r="H372" s="400"/>
      <c r="I372" s="398"/>
      <c r="J372" s="398"/>
      <c r="K372" s="398"/>
      <c r="L372" s="398"/>
      <c r="M372" s="398"/>
      <c r="N372" s="398"/>
      <c r="O372" s="398"/>
      <c r="P372" s="398"/>
      <c r="Q372" s="718"/>
      <c r="R372" s="402"/>
      <c r="S372" s="398"/>
      <c r="T372" s="398"/>
      <c r="U372" s="398"/>
      <c r="V372" s="398"/>
      <c r="W372" s="398"/>
      <c r="X372" s="398"/>
      <c r="Y372" s="398"/>
      <c r="Z372" s="398"/>
      <c r="AA372" s="398"/>
      <c r="AB372" s="398"/>
      <c r="AC372" s="398"/>
      <c r="AD372" s="398"/>
    </row>
    <row r="373" spans="1:30">
      <c r="A373" s="155"/>
      <c r="B373" s="398"/>
      <c r="C373" s="405"/>
      <c r="D373" s="398"/>
      <c r="E373" s="400"/>
      <c r="F373" s="401"/>
      <c r="G373" s="398"/>
      <c r="H373" s="400"/>
      <c r="I373" s="398"/>
      <c r="J373" s="398"/>
      <c r="K373" s="398"/>
      <c r="L373" s="398"/>
      <c r="M373" s="398"/>
      <c r="N373" s="398"/>
      <c r="O373" s="398"/>
      <c r="P373" s="398"/>
      <c r="Q373" s="718"/>
      <c r="R373" s="402"/>
      <c r="S373" s="398"/>
      <c r="T373" s="398"/>
      <c r="U373" s="398"/>
      <c r="V373" s="398"/>
      <c r="W373" s="398"/>
      <c r="X373" s="398"/>
      <c r="Y373" s="398"/>
      <c r="Z373" s="398"/>
      <c r="AA373" s="398"/>
      <c r="AB373" s="398"/>
      <c r="AC373" s="398"/>
      <c r="AD373" s="398"/>
    </row>
    <row r="374" spans="1:30">
      <c r="A374" s="155"/>
      <c r="B374" s="398"/>
      <c r="C374" s="405"/>
      <c r="D374" s="398"/>
      <c r="E374" s="400"/>
      <c r="F374" s="401"/>
      <c r="G374" s="398"/>
      <c r="H374" s="400"/>
      <c r="I374" s="398"/>
      <c r="J374" s="398"/>
      <c r="K374" s="398"/>
      <c r="L374" s="398"/>
      <c r="M374" s="398"/>
      <c r="N374" s="398"/>
      <c r="O374" s="398"/>
      <c r="P374" s="398"/>
      <c r="Q374" s="718"/>
      <c r="R374" s="402"/>
      <c r="S374" s="398"/>
      <c r="T374" s="398"/>
      <c r="U374" s="398"/>
      <c r="V374" s="398"/>
      <c r="W374" s="398"/>
      <c r="X374" s="398"/>
      <c r="Y374" s="398"/>
      <c r="Z374" s="398"/>
      <c r="AA374" s="398"/>
      <c r="AB374" s="398"/>
      <c r="AC374" s="398"/>
      <c r="AD374" s="398"/>
    </row>
    <row r="375" spans="1:30">
      <c r="A375" s="155"/>
      <c r="B375" s="398"/>
      <c r="C375" s="405"/>
      <c r="D375" s="398"/>
      <c r="E375" s="400"/>
      <c r="F375" s="401"/>
      <c r="G375" s="398"/>
      <c r="H375" s="400"/>
      <c r="I375" s="398"/>
      <c r="J375" s="398"/>
      <c r="K375" s="398"/>
      <c r="L375" s="398"/>
      <c r="M375" s="398"/>
      <c r="N375" s="398"/>
      <c r="O375" s="398"/>
      <c r="P375" s="398"/>
      <c r="Q375" s="718"/>
      <c r="R375" s="402"/>
      <c r="S375" s="398"/>
      <c r="T375" s="398"/>
      <c r="U375" s="398"/>
      <c r="V375" s="398"/>
      <c r="W375" s="398"/>
      <c r="X375" s="398"/>
      <c r="Y375" s="398"/>
      <c r="Z375" s="398"/>
      <c r="AA375" s="398"/>
      <c r="AB375" s="398"/>
      <c r="AC375" s="398"/>
      <c r="AD375" s="398"/>
    </row>
    <row r="376" spans="1:30">
      <c r="A376" s="155"/>
      <c r="B376" s="398"/>
      <c r="C376" s="405"/>
      <c r="D376" s="398"/>
      <c r="E376" s="400"/>
      <c r="F376" s="401"/>
      <c r="G376" s="398"/>
      <c r="H376" s="400"/>
      <c r="I376" s="398"/>
      <c r="J376" s="398"/>
      <c r="K376" s="398"/>
      <c r="L376" s="398"/>
      <c r="M376" s="398"/>
      <c r="N376" s="398"/>
      <c r="O376" s="398"/>
      <c r="P376" s="398"/>
      <c r="Q376" s="718"/>
      <c r="R376" s="402"/>
      <c r="S376" s="398"/>
      <c r="T376" s="398"/>
      <c r="U376" s="398"/>
      <c r="V376" s="398"/>
      <c r="W376" s="398"/>
      <c r="X376" s="398"/>
      <c r="Y376" s="398"/>
      <c r="Z376" s="398"/>
      <c r="AA376" s="398"/>
      <c r="AB376" s="398"/>
      <c r="AC376" s="398"/>
      <c r="AD376" s="398"/>
    </row>
    <row r="377" spans="1:30">
      <c r="A377" s="155"/>
      <c r="B377" s="398"/>
      <c r="C377" s="405"/>
      <c r="D377" s="398"/>
      <c r="E377" s="400"/>
      <c r="F377" s="401"/>
      <c r="G377" s="398"/>
      <c r="H377" s="400"/>
      <c r="I377" s="398"/>
      <c r="J377" s="398"/>
      <c r="K377" s="398"/>
      <c r="L377" s="398"/>
      <c r="M377" s="398"/>
      <c r="N377" s="398"/>
      <c r="O377" s="398"/>
      <c r="P377" s="398"/>
      <c r="Q377" s="718"/>
      <c r="R377" s="402"/>
      <c r="S377" s="398"/>
      <c r="T377" s="398"/>
      <c r="U377" s="398"/>
      <c r="V377" s="398"/>
      <c r="W377" s="398"/>
      <c r="X377" s="398"/>
      <c r="Y377" s="398"/>
      <c r="Z377" s="398"/>
      <c r="AA377" s="398"/>
      <c r="AB377" s="398"/>
      <c r="AC377" s="398"/>
      <c r="AD377" s="398"/>
    </row>
    <row r="378" spans="1:30">
      <c r="A378" s="155"/>
      <c r="B378" s="398"/>
      <c r="C378" s="405"/>
      <c r="D378" s="398"/>
      <c r="E378" s="400"/>
      <c r="F378" s="401"/>
      <c r="G378" s="398"/>
      <c r="H378" s="400"/>
      <c r="I378" s="398"/>
      <c r="J378" s="398"/>
      <c r="K378" s="398"/>
      <c r="L378" s="398"/>
      <c r="M378" s="398"/>
      <c r="N378" s="398"/>
      <c r="O378" s="398"/>
      <c r="P378" s="398"/>
      <c r="Q378" s="718"/>
      <c r="R378" s="402"/>
      <c r="S378" s="398"/>
      <c r="T378" s="398"/>
      <c r="U378" s="398"/>
      <c r="V378" s="398"/>
      <c r="W378" s="398"/>
      <c r="X378" s="398"/>
      <c r="Y378" s="398"/>
      <c r="Z378" s="398"/>
      <c r="AA378" s="398"/>
      <c r="AB378" s="398"/>
      <c r="AC378" s="398"/>
      <c r="AD378" s="398"/>
    </row>
    <row r="379" spans="1:30">
      <c r="A379" s="155"/>
      <c r="B379" s="398"/>
      <c r="C379" s="405"/>
      <c r="D379" s="398"/>
      <c r="E379" s="400"/>
      <c r="F379" s="401"/>
      <c r="G379" s="398"/>
      <c r="H379" s="400"/>
      <c r="I379" s="398"/>
      <c r="J379" s="398"/>
      <c r="K379" s="398"/>
      <c r="L379" s="398"/>
      <c r="M379" s="398"/>
      <c r="N379" s="398"/>
      <c r="O379" s="398"/>
      <c r="P379" s="398"/>
      <c r="Q379" s="718"/>
      <c r="R379" s="402"/>
      <c r="S379" s="398"/>
      <c r="T379" s="398"/>
      <c r="U379" s="398"/>
      <c r="V379" s="398"/>
      <c r="W379" s="398"/>
      <c r="X379" s="398"/>
      <c r="Y379" s="398"/>
      <c r="Z379" s="398"/>
      <c r="AA379" s="398"/>
      <c r="AB379" s="398"/>
      <c r="AC379" s="398"/>
      <c r="AD379" s="398"/>
    </row>
    <row r="380" spans="1:30">
      <c r="A380" s="155"/>
      <c r="B380" s="398"/>
      <c r="C380" s="405"/>
      <c r="D380" s="398"/>
      <c r="E380" s="400"/>
      <c r="F380" s="401"/>
      <c r="G380" s="398"/>
      <c r="H380" s="400"/>
      <c r="I380" s="398"/>
      <c r="J380" s="398"/>
      <c r="K380" s="398"/>
      <c r="L380" s="398"/>
      <c r="M380" s="398"/>
      <c r="N380" s="398"/>
      <c r="O380" s="398"/>
      <c r="P380" s="398"/>
      <c r="Q380" s="718"/>
      <c r="R380" s="402"/>
      <c r="S380" s="398"/>
      <c r="T380" s="398"/>
      <c r="U380" s="398"/>
      <c r="V380" s="398"/>
      <c r="W380" s="398"/>
      <c r="X380" s="398"/>
      <c r="Y380" s="398"/>
      <c r="Z380" s="398"/>
      <c r="AA380" s="398"/>
      <c r="AB380" s="398"/>
      <c r="AC380" s="398"/>
      <c r="AD380" s="398"/>
    </row>
    <row r="381" spans="1:30">
      <c r="A381" s="155"/>
      <c r="B381" s="398"/>
      <c r="C381" s="405"/>
      <c r="D381" s="398"/>
      <c r="E381" s="400"/>
      <c r="F381" s="401"/>
      <c r="G381" s="398"/>
      <c r="H381" s="400"/>
      <c r="I381" s="398"/>
      <c r="J381" s="398"/>
      <c r="K381" s="398"/>
      <c r="L381" s="398"/>
      <c r="M381" s="398"/>
      <c r="N381" s="398"/>
      <c r="O381" s="398"/>
      <c r="P381" s="398"/>
      <c r="Q381" s="718"/>
      <c r="R381" s="402"/>
      <c r="S381" s="398"/>
      <c r="T381" s="398"/>
      <c r="U381" s="398"/>
      <c r="V381" s="398"/>
      <c r="W381" s="398"/>
      <c r="X381" s="398"/>
      <c r="Y381" s="398"/>
      <c r="Z381" s="398"/>
      <c r="AA381" s="398"/>
      <c r="AB381" s="398"/>
      <c r="AC381" s="398"/>
      <c r="AD381" s="398"/>
    </row>
    <row r="382" spans="1:30">
      <c r="A382" s="155"/>
      <c r="B382" s="398"/>
      <c r="C382" s="405"/>
      <c r="D382" s="398"/>
      <c r="E382" s="400"/>
      <c r="F382" s="401"/>
      <c r="G382" s="398"/>
      <c r="H382" s="400"/>
      <c r="I382" s="398"/>
      <c r="J382" s="398"/>
      <c r="K382" s="398"/>
      <c r="L382" s="398"/>
      <c r="M382" s="398"/>
      <c r="N382" s="398"/>
      <c r="O382" s="398"/>
      <c r="P382" s="398"/>
      <c r="Q382" s="718"/>
      <c r="R382" s="402"/>
      <c r="S382" s="398"/>
      <c r="T382" s="398"/>
      <c r="U382" s="398"/>
      <c r="V382" s="398"/>
      <c r="W382" s="398"/>
      <c r="X382" s="398"/>
      <c r="Y382" s="398"/>
      <c r="Z382" s="398"/>
      <c r="AA382" s="398"/>
      <c r="AB382" s="398"/>
      <c r="AC382" s="398"/>
      <c r="AD382" s="398"/>
    </row>
    <row r="383" spans="1:30">
      <c r="A383" s="155"/>
      <c r="B383" s="398"/>
      <c r="C383" s="405"/>
      <c r="D383" s="398"/>
      <c r="E383" s="400"/>
      <c r="F383" s="401"/>
      <c r="G383" s="398"/>
      <c r="H383" s="400"/>
      <c r="I383" s="398"/>
      <c r="J383" s="398"/>
      <c r="K383" s="398"/>
      <c r="L383" s="398"/>
      <c r="M383" s="398"/>
      <c r="N383" s="398"/>
      <c r="O383" s="398"/>
      <c r="P383" s="398"/>
      <c r="Q383" s="718"/>
      <c r="R383" s="402"/>
      <c r="S383" s="398"/>
      <c r="T383" s="398"/>
      <c r="U383" s="398"/>
      <c r="V383" s="398"/>
      <c r="W383" s="398"/>
      <c r="X383" s="398"/>
      <c r="Y383" s="398"/>
      <c r="Z383" s="398"/>
      <c r="AA383" s="398"/>
      <c r="AB383" s="398"/>
      <c r="AC383" s="398"/>
      <c r="AD383" s="398"/>
    </row>
    <row r="384" spans="1:30">
      <c r="A384" s="155"/>
      <c r="B384" s="398"/>
      <c r="C384" s="405"/>
      <c r="D384" s="398"/>
      <c r="E384" s="400"/>
      <c r="F384" s="401"/>
      <c r="G384" s="398"/>
      <c r="H384" s="400"/>
      <c r="I384" s="398"/>
      <c r="J384" s="398"/>
      <c r="K384" s="398"/>
      <c r="L384" s="398"/>
      <c r="M384" s="398"/>
      <c r="N384" s="398"/>
      <c r="O384" s="398"/>
      <c r="P384" s="398"/>
      <c r="Q384" s="718"/>
      <c r="R384" s="402"/>
      <c r="S384" s="398"/>
      <c r="T384" s="398"/>
      <c r="U384" s="398"/>
      <c r="V384" s="398"/>
      <c r="W384" s="398"/>
      <c r="X384" s="398"/>
      <c r="Y384" s="398"/>
      <c r="Z384" s="398"/>
      <c r="AA384" s="398"/>
      <c r="AB384" s="398"/>
      <c r="AC384" s="398"/>
      <c r="AD384" s="398"/>
    </row>
    <row r="385" spans="1:30">
      <c r="A385" s="155"/>
      <c r="B385" s="398"/>
      <c r="C385" s="405"/>
      <c r="D385" s="398"/>
      <c r="E385" s="400"/>
      <c r="F385" s="401"/>
      <c r="G385" s="398"/>
      <c r="H385" s="400"/>
      <c r="I385" s="398"/>
      <c r="J385" s="398"/>
      <c r="K385" s="398"/>
      <c r="L385" s="398"/>
      <c r="M385" s="398"/>
      <c r="N385" s="398"/>
      <c r="O385" s="398"/>
      <c r="P385" s="398"/>
      <c r="Q385" s="718"/>
      <c r="R385" s="402"/>
      <c r="S385" s="398"/>
      <c r="T385" s="398"/>
      <c r="U385" s="398"/>
      <c r="V385" s="398"/>
      <c r="W385" s="398"/>
      <c r="X385" s="398"/>
      <c r="Y385" s="398"/>
      <c r="Z385" s="398"/>
      <c r="AA385" s="398"/>
      <c r="AB385" s="398"/>
      <c r="AC385" s="398"/>
      <c r="AD385" s="398"/>
    </row>
    <row r="386" spans="1:30">
      <c r="A386" s="155"/>
      <c r="B386" s="398"/>
      <c r="C386" s="405"/>
      <c r="D386" s="398"/>
      <c r="E386" s="400"/>
      <c r="F386" s="401"/>
      <c r="G386" s="398"/>
      <c r="H386" s="400"/>
      <c r="I386" s="398"/>
      <c r="J386" s="398"/>
      <c r="K386" s="398"/>
      <c r="L386" s="398"/>
      <c r="M386" s="398"/>
      <c r="N386" s="398"/>
      <c r="O386" s="398"/>
      <c r="P386" s="398"/>
      <c r="Q386" s="718"/>
      <c r="R386" s="402"/>
      <c r="S386" s="398"/>
      <c r="T386" s="398"/>
      <c r="U386" s="398"/>
      <c r="V386" s="398"/>
      <c r="W386" s="398"/>
      <c r="X386" s="398"/>
      <c r="Y386" s="398"/>
      <c r="Z386" s="398"/>
      <c r="AA386" s="398"/>
      <c r="AB386" s="398"/>
      <c r="AC386" s="398"/>
      <c r="AD386" s="398"/>
    </row>
    <row r="387" spans="1:30">
      <c r="A387" s="155"/>
      <c r="B387" s="398"/>
      <c r="C387" s="405"/>
      <c r="D387" s="398"/>
      <c r="E387" s="400"/>
      <c r="F387" s="401"/>
      <c r="G387" s="398"/>
      <c r="H387" s="400"/>
      <c r="I387" s="398"/>
      <c r="J387" s="398"/>
      <c r="K387" s="398"/>
      <c r="L387" s="398"/>
      <c r="M387" s="398"/>
      <c r="N387" s="398"/>
      <c r="O387" s="398"/>
      <c r="P387" s="398"/>
      <c r="Q387" s="718"/>
      <c r="R387" s="402"/>
      <c r="S387" s="398"/>
      <c r="T387" s="398"/>
      <c r="U387" s="398"/>
      <c r="V387" s="398"/>
      <c r="W387" s="398"/>
      <c r="X387" s="398"/>
      <c r="Y387" s="398"/>
      <c r="Z387" s="398"/>
      <c r="AA387" s="398"/>
      <c r="AB387" s="398"/>
      <c r="AC387" s="398"/>
      <c r="AD387" s="398"/>
    </row>
    <row r="388" spans="1:30">
      <c r="A388" s="155"/>
      <c r="B388" s="398"/>
      <c r="C388" s="405"/>
      <c r="D388" s="398"/>
      <c r="E388" s="400"/>
      <c r="F388" s="401"/>
      <c r="G388" s="398"/>
      <c r="H388" s="400"/>
      <c r="I388" s="398"/>
      <c r="J388" s="398"/>
      <c r="K388" s="398"/>
      <c r="L388" s="398"/>
      <c r="M388" s="398"/>
      <c r="N388" s="398"/>
      <c r="O388" s="398"/>
      <c r="P388" s="398"/>
      <c r="Q388" s="718"/>
      <c r="R388" s="402"/>
      <c r="S388" s="398"/>
      <c r="T388" s="398"/>
      <c r="U388" s="398"/>
      <c r="V388" s="398"/>
      <c r="W388" s="398"/>
      <c r="X388" s="398"/>
      <c r="Y388" s="398"/>
      <c r="Z388" s="398"/>
      <c r="AA388" s="398"/>
      <c r="AB388" s="398"/>
      <c r="AC388" s="398"/>
      <c r="AD388" s="398"/>
    </row>
    <row r="389" spans="1:30">
      <c r="A389" s="155"/>
      <c r="B389" s="398"/>
      <c r="C389" s="405"/>
      <c r="D389" s="398"/>
      <c r="E389" s="400"/>
      <c r="F389" s="401"/>
      <c r="G389" s="398"/>
      <c r="H389" s="400"/>
      <c r="I389" s="398"/>
      <c r="J389" s="398"/>
      <c r="K389" s="398"/>
      <c r="L389" s="398"/>
      <c r="M389" s="398"/>
      <c r="N389" s="398"/>
      <c r="O389" s="398"/>
      <c r="P389" s="398"/>
      <c r="Q389" s="718"/>
      <c r="R389" s="402"/>
      <c r="S389" s="398"/>
      <c r="T389" s="398"/>
      <c r="U389" s="398"/>
      <c r="V389" s="398"/>
      <c r="W389" s="398"/>
      <c r="X389" s="398"/>
      <c r="Y389" s="398"/>
      <c r="Z389" s="398"/>
      <c r="AA389" s="398"/>
      <c r="AB389" s="398"/>
      <c r="AC389" s="398"/>
      <c r="AD389" s="398"/>
    </row>
    <row r="390" spans="1:30">
      <c r="A390" s="155"/>
      <c r="B390" s="398"/>
      <c r="C390" s="405"/>
      <c r="D390" s="398"/>
      <c r="E390" s="400"/>
      <c r="F390" s="401"/>
      <c r="G390" s="398"/>
      <c r="H390" s="400"/>
      <c r="I390" s="398"/>
      <c r="J390" s="398"/>
      <c r="K390" s="398"/>
      <c r="L390" s="398"/>
      <c r="M390" s="398"/>
      <c r="N390" s="398"/>
      <c r="O390" s="398"/>
      <c r="P390" s="398"/>
      <c r="Q390" s="718"/>
      <c r="R390" s="402"/>
      <c r="S390" s="398"/>
      <c r="T390" s="398"/>
      <c r="U390" s="398"/>
      <c r="V390" s="398"/>
      <c r="W390" s="398"/>
      <c r="X390" s="398"/>
      <c r="Y390" s="398"/>
      <c r="Z390" s="398"/>
      <c r="AA390" s="398"/>
      <c r="AB390" s="398"/>
      <c r="AC390" s="398"/>
      <c r="AD390" s="398"/>
    </row>
    <row r="391" spans="1:30">
      <c r="A391" s="155"/>
      <c r="B391" s="398"/>
      <c r="C391" s="405"/>
      <c r="D391" s="398"/>
      <c r="E391" s="400"/>
      <c r="F391" s="401"/>
      <c r="G391" s="398"/>
      <c r="H391" s="400"/>
      <c r="I391" s="398"/>
      <c r="J391" s="398"/>
      <c r="K391" s="398"/>
      <c r="L391" s="398"/>
      <c r="M391" s="398"/>
      <c r="N391" s="398"/>
      <c r="O391" s="398"/>
      <c r="P391" s="398"/>
      <c r="Q391" s="718"/>
      <c r="R391" s="402"/>
      <c r="S391" s="398"/>
      <c r="T391" s="398"/>
      <c r="U391" s="398"/>
      <c r="V391" s="398"/>
      <c r="W391" s="398"/>
      <c r="X391" s="398"/>
      <c r="Y391" s="398"/>
      <c r="Z391" s="398"/>
      <c r="AA391" s="398"/>
      <c r="AB391" s="398"/>
      <c r="AC391" s="398"/>
      <c r="AD391" s="398"/>
    </row>
    <row r="392" spans="1:30">
      <c r="A392" s="155"/>
      <c r="B392" s="398"/>
      <c r="C392" s="405"/>
      <c r="D392" s="398"/>
      <c r="E392" s="400"/>
      <c r="F392" s="401"/>
      <c r="G392" s="398"/>
      <c r="H392" s="400"/>
      <c r="I392" s="398"/>
      <c r="J392" s="398"/>
      <c r="K392" s="398"/>
      <c r="L392" s="398"/>
      <c r="M392" s="398"/>
      <c r="N392" s="398"/>
      <c r="O392" s="398"/>
      <c r="P392" s="398"/>
      <c r="Q392" s="718"/>
      <c r="R392" s="402"/>
      <c r="S392" s="398"/>
      <c r="T392" s="398"/>
      <c r="U392" s="398"/>
      <c r="V392" s="398"/>
      <c r="W392" s="398"/>
      <c r="X392" s="398"/>
      <c r="Y392" s="398"/>
      <c r="Z392" s="398"/>
      <c r="AA392" s="398"/>
      <c r="AB392" s="398"/>
      <c r="AC392" s="398"/>
      <c r="AD392" s="398"/>
    </row>
    <row r="393" spans="1:30">
      <c r="A393" s="155"/>
      <c r="B393" s="398"/>
      <c r="C393" s="405"/>
      <c r="D393" s="398"/>
      <c r="E393" s="400"/>
      <c r="F393" s="401"/>
      <c r="G393" s="398"/>
      <c r="H393" s="400"/>
      <c r="I393" s="398"/>
      <c r="J393" s="398"/>
      <c r="K393" s="398"/>
      <c r="L393" s="398"/>
      <c r="M393" s="398"/>
      <c r="N393" s="398"/>
      <c r="O393" s="398"/>
      <c r="P393" s="398"/>
      <c r="Q393" s="718"/>
      <c r="R393" s="402"/>
      <c r="S393" s="398"/>
      <c r="T393" s="398"/>
      <c r="U393" s="398"/>
      <c r="V393" s="398"/>
      <c r="W393" s="398"/>
      <c r="X393" s="398"/>
      <c r="Y393" s="398"/>
      <c r="Z393" s="398"/>
      <c r="AA393" s="398"/>
      <c r="AB393" s="398"/>
      <c r="AC393" s="398"/>
      <c r="AD393" s="398"/>
    </row>
    <row r="394" spans="1:30">
      <c r="A394" s="155"/>
      <c r="B394" s="398"/>
      <c r="C394" s="405"/>
      <c r="D394" s="398"/>
      <c r="E394" s="400"/>
      <c r="F394" s="401"/>
      <c r="G394" s="398"/>
      <c r="H394" s="400"/>
      <c r="I394" s="398"/>
      <c r="J394" s="398"/>
      <c r="K394" s="398"/>
      <c r="L394" s="398"/>
      <c r="M394" s="398"/>
      <c r="N394" s="398"/>
      <c r="O394" s="398"/>
      <c r="P394" s="398"/>
      <c r="Q394" s="718"/>
      <c r="R394" s="402"/>
      <c r="S394" s="398"/>
      <c r="T394" s="398"/>
      <c r="U394" s="398"/>
      <c r="V394" s="398"/>
      <c r="W394" s="398"/>
      <c r="X394" s="398"/>
      <c r="Y394" s="398"/>
      <c r="Z394" s="398"/>
      <c r="AA394" s="398"/>
      <c r="AB394" s="398"/>
      <c r="AC394" s="398"/>
      <c r="AD394" s="398"/>
    </row>
    <row r="395" spans="1:30">
      <c r="A395" s="155"/>
      <c r="B395" s="398"/>
      <c r="C395" s="405"/>
      <c r="D395" s="398"/>
      <c r="E395" s="400"/>
      <c r="F395" s="401"/>
      <c r="G395" s="398"/>
      <c r="H395" s="400"/>
      <c r="I395" s="398"/>
      <c r="J395" s="398"/>
      <c r="K395" s="398"/>
      <c r="L395" s="398"/>
      <c r="M395" s="398"/>
      <c r="N395" s="398"/>
      <c r="O395" s="398"/>
      <c r="P395" s="398"/>
      <c r="Q395" s="718"/>
      <c r="R395" s="402"/>
      <c r="S395" s="398"/>
      <c r="T395" s="398"/>
      <c r="U395" s="398"/>
      <c r="V395" s="398"/>
      <c r="W395" s="398"/>
      <c r="X395" s="398"/>
      <c r="Y395" s="398"/>
      <c r="Z395" s="398"/>
      <c r="AA395" s="398"/>
      <c r="AB395" s="398"/>
      <c r="AC395" s="398"/>
      <c r="AD395" s="398"/>
    </row>
    <row r="396" spans="1:30">
      <c r="A396" s="155"/>
      <c r="B396" s="398"/>
      <c r="C396" s="405"/>
      <c r="D396" s="398"/>
      <c r="E396" s="400"/>
      <c r="F396" s="401"/>
      <c r="G396" s="398"/>
      <c r="H396" s="400"/>
      <c r="I396" s="398"/>
      <c r="J396" s="398"/>
      <c r="K396" s="398"/>
      <c r="L396" s="398"/>
      <c r="M396" s="398"/>
      <c r="N396" s="398"/>
      <c r="O396" s="398"/>
      <c r="P396" s="398"/>
      <c r="Q396" s="718"/>
      <c r="R396" s="402"/>
      <c r="S396" s="398"/>
      <c r="T396" s="398"/>
      <c r="U396" s="398"/>
      <c r="V396" s="398"/>
      <c r="W396" s="398"/>
      <c r="X396" s="398"/>
      <c r="Y396" s="398"/>
      <c r="Z396" s="398"/>
      <c r="AA396" s="398"/>
      <c r="AB396" s="398"/>
      <c r="AC396" s="398"/>
      <c r="AD396" s="398"/>
    </row>
    <row r="397" spans="1:30">
      <c r="A397" s="155"/>
      <c r="B397" s="398"/>
      <c r="C397" s="405"/>
      <c r="D397" s="398"/>
      <c r="E397" s="400"/>
      <c r="F397" s="401"/>
      <c r="G397" s="398"/>
      <c r="H397" s="400"/>
      <c r="I397" s="398"/>
      <c r="J397" s="398"/>
      <c r="K397" s="398"/>
      <c r="L397" s="398"/>
      <c r="M397" s="398"/>
      <c r="N397" s="398"/>
      <c r="O397" s="398"/>
      <c r="P397" s="398"/>
      <c r="Q397" s="718"/>
      <c r="R397" s="402"/>
      <c r="S397" s="398"/>
      <c r="T397" s="398"/>
      <c r="U397" s="398"/>
      <c r="V397" s="398"/>
      <c r="W397" s="398"/>
      <c r="X397" s="398"/>
      <c r="Y397" s="398"/>
      <c r="Z397" s="398"/>
      <c r="AA397" s="398"/>
      <c r="AB397" s="398"/>
      <c r="AC397" s="398"/>
      <c r="AD397" s="398"/>
    </row>
    <row r="398" spans="1:30">
      <c r="A398" s="155"/>
      <c r="B398" s="398"/>
      <c r="C398" s="405"/>
      <c r="D398" s="398"/>
      <c r="E398" s="400"/>
      <c r="F398" s="401"/>
      <c r="G398" s="398"/>
      <c r="H398" s="400"/>
      <c r="I398" s="398"/>
      <c r="J398" s="398"/>
      <c r="K398" s="398"/>
      <c r="L398" s="398"/>
      <c r="M398" s="398"/>
      <c r="N398" s="398"/>
      <c r="O398" s="398"/>
      <c r="P398" s="398"/>
      <c r="Q398" s="718"/>
      <c r="R398" s="402"/>
      <c r="S398" s="398"/>
      <c r="T398" s="398"/>
      <c r="U398" s="398"/>
      <c r="V398" s="398"/>
      <c r="W398" s="398"/>
      <c r="X398" s="398"/>
      <c r="Y398" s="398"/>
      <c r="Z398" s="398"/>
      <c r="AA398" s="398"/>
      <c r="AB398" s="398"/>
      <c r="AC398" s="398"/>
      <c r="AD398" s="398"/>
    </row>
    <row r="399" spans="1:30">
      <c r="A399" s="155"/>
      <c r="B399" s="398"/>
      <c r="C399" s="405"/>
      <c r="D399" s="398"/>
      <c r="E399" s="400"/>
      <c r="F399" s="401"/>
      <c r="G399" s="398"/>
      <c r="H399" s="400"/>
      <c r="I399" s="398"/>
      <c r="J399" s="398"/>
      <c r="K399" s="398"/>
      <c r="L399" s="398"/>
      <c r="M399" s="398"/>
      <c r="N399" s="398"/>
      <c r="O399" s="398"/>
      <c r="P399" s="398"/>
      <c r="Q399" s="718"/>
      <c r="R399" s="402"/>
      <c r="S399" s="398"/>
      <c r="T399" s="398"/>
      <c r="U399" s="398"/>
      <c r="V399" s="398"/>
      <c r="W399" s="398"/>
      <c r="X399" s="398"/>
      <c r="Y399" s="398"/>
      <c r="Z399" s="398"/>
      <c r="AA399" s="398"/>
      <c r="AB399" s="398"/>
      <c r="AC399" s="398"/>
      <c r="AD399" s="398"/>
    </row>
    <row r="400" spans="1:30">
      <c r="A400" s="155"/>
      <c r="B400" s="398"/>
      <c r="C400" s="405"/>
      <c r="D400" s="398"/>
      <c r="E400" s="400"/>
      <c r="F400" s="401"/>
      <c r="G400" s="398"/>
      <c r="H400" s="400"/>
      <c r="I400" s="398"/>
      <c r="J400" s="398"/>
      <c r="K400" s="398"/>
      <c r="L400" s="398"/>
      <c r="M400" s="398"/>
      <c r="N400" s="398"/>
      <c r="O400" s="398"/>
      <c r="P400" s="398"/>
      <c r="Q400" s="718"/>
      <c r="R400" s="402"/>
      <c r="S400" s="398"/>
      <c r="T400" s="398"/>
      <c r="U400" s="398"/>
      <c r="V400" s="398"/>
      <c r="W400" s="398"/>
      <c r="X400" s="398"/>
      <c r="Y400" s="398"/>
      <c r="Z400" s="398"/>
      <c r="AA400" s="398"/>
      <c r="AB400" s="398"/>
      <c r="AC400" s="398"/>
      <c r="AD400" s="398"/>
    </row>
    <row r="401" spans="1:30">
      <c r="A401" s="155"/>
      <c r="B401" s="398"/>
      <c r="C401" s="405"/>
      <c r="D401" s="398"/>
      <c r="E401" s="400"/>
      <c r="F401" s="401"/>
      <c r="G401" s="398"/>
      <c r="H401" s="400"/>
      <c r="I401" s="398"/>
      <c r="J401" s="398"/>
      <c r="K401" s="398"/>
      <c r="L401" s="398"/>
      <c r="M401" s="398"/>
      <c r="N401" s="398"/>
      <c r="O401" s="398"/>
      <c r="P401" s="398"/>
      <c r="Q401" s="718"/>
      <c r="R401" s="402"/>
      <c r="S401" s="398"/>
      <c r="T401" s="398"/>
      <c r="U401" s="398"/>
      <c r="V401" s="398"/>
      <c r="W401" s="398"/>
      <c r="X401" s="398"/>
      <c r="Y401" s="398"/>
      <c r="Z401" s="398"/>
      <c r="AA401" s="398"/>
      <c r="AB401" s="398"/>
      <c r="AC401" s="398"/>
      <c r="AD401" s="398"/>
    </row>
    <row r="402" spans="1:30">
      <c r="A402" s="155"/>
      <c r="B402" s="398"/>
      <c r="C402" s="405"/>
      <c r="D402" s="398"/>
      <c r="E402" s="400"/>
      <c r="F402" s="401"/>
      <c r="G402" s="398"/>
      <c r="H402" s="400"/>
      <c r="I402" s="398"/>
      <c r="J402" s="398"/>
      <c r="K402" s="398"/>
      <c r="L402" s="398"/>
      <c r="M402" s="398"/>
      <c r="N402" s="398"/>
      <c r="O402" s="398"/>
      <c r="P402" s="398"/>
      <c r="Q402" s="718"/>
      <c r="R402" s="402"/>
      <c r="S402" s="398"/>
      <c r="T402" s="398"/>
      <c r="U402" s="398"/>
      <c r="V402" s="398"/>
      <c r="W402" s="398"/>
      <c r="X402" s="398"/>
      <c r="Y402" s="398"/>
      <c r="Z402" s="398"/>
      <c r="AA402" s="398"/>
      <c r="AB402" s="398"/>
      <c r="AC402" s="398"/>
      <c r="AD402" s="398"/>
    </row>
    <row r="403" spans="1:30">
      <c r="A403" s="155"/>
      <c r="B403" s="398"/>
      <c r="C403" s="405"/>
      <c r="D403" s="398"/>
      <c r="E403" s="400"/>
      <c r="F403" s="401"/>
      <c r="G403" s="398"/>
      <c r="H403" s="400"/>
      <c r="I403" s="398"/>
      <c r="J403" s="398"/>
      <c r="K403" s="398"/>
      <c r="L403" s="398"/>
      <c r="M403" s="398"/>
      <c r="N403" s="398"/>
      <c r="O403" s="398"/>
      <c r="P403" s="398"/>
      <c r="Q403" s="718"/>
      <c r="R403" s="402"/>
      <c r="S403" s="398"/>
      <c r="T403" s="398"/>
      <c r="U403" s="398"/>
      <c r="V403" s="398"/>
      <c r="W403" s="398"/>
      <c r="X403" s="398"/>
      <c r="Y403" s="398"/>
      <c r="Z403" s="398"/>
      <c r="AA403" s="398"/>
      <c r="AB403" s="398"/>
      <c r="AC403" s="398"/>
      <c r="AD403" s="398"/>
    </row>
    <row r="404" spans="1:30">
      <c r="A404" s="155"/>
      <c r="B404" s="398"/>
      <c r="C404" s="405"/>
      <c r="D404" s="398"/>
      <c r="E404" s="400"/>
      <c r="F404" s="401"/>
      <c r="G404" s="398"/>
      <c r="H404" s="400"/>
      <c r="I404" s="398"/>
      <c r="J404" s="398"/>
      <c r="K404" s="398"/>
      <c r="L404" s="398"/>
      <c r="M404" s="398"/>
      <c r="N404" s="398"/>
      <c r="O404" s="398"/>
      <c r="P404" s="398"/>
      <c r="Q404" s="718"/>
      <c r="R404" s="402"/>
      <c r="S404" s="398"/>
      <c r="T404" s="398"/>
      <c r="U404" s="398"/>
      <c r="V404" s="398"/>
      <c r="W404" s="398"/>
      <c r="X404" s="398"/>
      <c r="Y404" s="398"/>
      <c r="Z404" s="398"/>
      <c r="AA404" s="398"/>
      <c r="AB404" s="398"/>
      <c r="AC404" s="398"/>
      <c r="AD404" s="398"/>
    </row>
    <row r="405" spans="1:30">
      <c r="A405" s="155"/>
      <c r="B405" s="398"/>
      <c r="C405" s="405"/>
      <c r="D405" s="398"/>
      <c r="E405" s="400"/>
      <c r="F405" s="401"/>
      <c r="G405" s="398"/>
      <c r="H405" s="400"/>
      <c r="I405" s="398"/>
      <c r="J405" s="398"/>
      <c r="K405" s="398"/>
      <c r="L405" s="398"/>
      <c r="M405" s="398"/>
      <c r="N405" s="398"/>
      <c r="O405" s="398"/>
      <c r="P405" s="398"/>
      <c r="Q405" s="718"/>
      <c r="R405" s="402"/>
      <c r="S405" s="398"/>
      <c r="T405" s="398"/>
      <c r="U405" s="398"/>
      <c r="V405" s="398"/>
      <c r="W405" s="398"/>
      <c r="X405" s="398"/>
      <c r="Y405" s="398"/>
      <c r="Z405" s="398"/>
      <c r="AA405" s="398"/>
      <c r="AB405" s="398"/>
      <c r="AC405" s="398"/>
      <c r="AD405" s="398"/>
    </row>
    <row r="406" spans="1:30">
      <c r="A406" s="155"/>
      <c r="B406" s="398"/>
      <c r="C406" s="405"/>
      <c r="D406" s="398"/>
      <c r="E406" s="400"/>
      <c r="F406" s="401"/>
      <c r="G406" s="398"/>
      <c r="H406" s="400"/>
      <c r="I406" s="398"/>
      <c r="J406" s="398"/>
      <c r="K406" s="398"/>
      <c r="L406" s="398"/>
      <c r="M406" s="398"/>
      <c r="N406" s="398"/>
      <c r="O406" s="398"/>
      <c r="P406" s="398"/>
      <c r="Q406" s="718"/>
      <c r="R406" s="402"/>
      <c r="S406" s="398"/>
      <c r="T406" s="398"/>
      <c r="U406" s="398"/>
      <c r="V406" s="398"/>
      <c r="W406" s="398"/>
      <c r="X406" s="398"/>
      <c r="Y406" s="398"/>
      <c r="Z406" s="398"/>
      <c r="AA406" s="398"/>
      <c r="AB406" s="398"/>
      <c r="AC406" s="398"/>
      <c r="AD406" s="398"/>
    </row>
    <row r="407" spans="1:30">
      <c r="A407" s="155"/>
      <c r="B407" s="398"/>
      <c r="C407" s="405"/>
      <c r="D407" s="398"/>
      <c r="E407" s="400"/>
      <c r="F407" s="401"/>
      <c r="G407" s="398"/>
      <c r="H407" s="400"/>
      <c r="I407" s="398"/>
      <c r="J407" s="398"/>
      <c r="K407" s="398"/>
      <c r="L407" s="398"/>
      <c r="M407" s="398"/>
      <c r="N407" s="398"/>
      <c r="O407" s="398"/>
      <c r="P407" s="398"/>
      <c r="Q407" s="718"/>
      <c r="R407" s="402"/>
      <c r="S407" s="398"/>
      <c r="T407" s="398"/>
      <c r="U407" s="398"/>
      <c r="V407" s="398"/>
      <c r="W407" s="398"/>
      <c r="X407" s="398"/>
      <c r="Y407" s="398"/>
      <c r="Z407" s="398"/>
      <c r="AA407" s="398"/>
      <c r="AB407" s="398"/>
      <c r="AC407" s="398"/>
      <c r="AD407" s="398"/>
    </row>
    <row r="408" spans="1:30">
      <c r="A408" s="155"/>
      <c r="B408" s="398"/>
      <c r="C408" s="405"/>
      <c r="D408" s="398"/>
      <c r="E408" s="400"/>
      <c r="F408" s="401"/>
      <c r="G408" s="398"/>
      <c r="H408" s="400"/>
      <c r="I408" s="398"/>
      <c r="J408" s="398"/>
      <c r="K408" s="398"/>
      <c r="L408" s="398"/>
      <c r="M408" s="398"/>
      <c r="N408" s="398"/>
      <c r="O408" s="398"/>
      <c r="P408" s="398"/>
      <c r="Q408" s="718"/>
      <c r="R408" s="402"/>
      <c r="S408" s="398"/>
      <c r="T408" s="398"/>
      <c r="U408" s="398"/>
      <c r="V408" s="398"/>
      <c r="W408" s="398"/>
      <c r="X408" s="398"/>
      <c r="Y408" s="398"/>
      <c r="Z408" s="398"/>
      <c r="AA408" s="398"/>
      <c r="AB408" s="398"/>
      <c r="AC408" s="398"/>
      <c r="AD408" s="398"/>
    </row>
    <row r="409" spans="1:30">
      <c r="A409" s="155"/>
      <c r="B409" s="398"/>
      <c r="C409" s="405"/>
      <c r="D409" s="398"/>
      <c r="E409" s="400"/>
      <c r="F409" s="401"/>
      <c r="G409" s="398"/>
      <c r="H409" s="400"/>
      <c r="I409" s="398"/>
      <c r="J409" s="398"/>
      <c r="K409" s="398"/>
      <c r="L409" s="398"/>
      <c r="M409" s="398"/>
      <c r="N409" s="398"/>
      <c r="O409" s="398"/>
      <c r="P409" s="398"/>
      <c r="Q409" s="718"/>
      <c r="R409" s="402"/>
      <c r="S409" s="398"/>
      <c r="T409" s="398"/>
      <c r="U409" s="398"/>
      <c r="V409" s="398"/>
      <c r="W409" s="398"/>
      <c r="X409" s="398"/>
      <c r="Y409" s="398"/>
      <c r="Z409" s="398"/>
      <c r="AA409" s="398"/>
      <c r="AB409" s="398"/>
      <c r="AC409" s="398"/>
      <c r="AD409" s="398"/>
    </row>
    <row r="410" spans="1:30">
      <c r="A410" s="155"/>
      <c r="B410" s="398"/>
      <c r="C410" s="405"/>
      <c r="D410" s="398"/>
      <c r="E410" s="400"/>
      <c r="F410" s="401"/>
      <c r="G410" s="398"/>
      <c r="H410" s="400"/>
      <c r="I410" s="398"/>
      <c r="J410" s="398"/>
      <c r="K410" s="398"/>
      <c r="L410" s="398"/>
      <c r="M410" s="398"/>
      <c r="N410" s="398"/>
      <c r="O410" s="398"/>
      <c r="P410" s="398"/>
      <c r="Q410" s="718"/>
      <c r="R410" s="402"/>
      <c r="S410" s="398"/>
      <c r="T410" s="398"/>
      <c r="U410" s="398"/>
      <c r="V410" s="398"/>
      <c r="W410" s="398"/>
      <c r="X410" s="398"/>
      <c r="Y410" s="398"/>
      <c r="Z410" s="398"/>
      <c r="AA410" s="398"/>
      <c r="AB410" s="398"/>
      <c r="AC410" s="398"/>
      <c r="AD410" s="398"/>
    </row>
    <row r="411" spans="1:30">
      <c r="A411" s="155"/>
      <c r="B411" s="398"/>
      <c r="C411" s="405"/>
      <c r="D411" s="398"/>
      <c r="E411" s="400"/>
      <c r="F411" s="401"/>
      <c r="G411" s="398"/>
      <c r="H411" s="400"/>
      <c r="I411" s="398"/>
      <c r="J411" s="398"/>
      <c r="K411" s="398"/>
      <c r="L411" s="398"/>
      <c r="M411" s="398"/>
      <c r="N411" s="398"/>
      <c r="O411" s="398"/>
      <c r="P411" s="398"/>
      <c r="Q411" s="718"/>
      <c r="R411" s="402"/>
      <c r="S411" s="398"/>
      <c r="T411" s="398"/>
      <c r="U411" s="398"/>
      <c r="V411" s="398"/>
      <c r="W411" s="398"/>
      <c r="X411" s="398"/>
      <c r="Y411" s="398"/>
      <c r="Z411" s="398"/>
      <c r="AA411" s="398"/>
      <c r="AB411" s="398"/>
      <c r="AC411" s="398"/>
      <c r="AD411" s="398"/>
    </row>
    <row r="412" spans="1:30">
      <c r="A412" s="155"/>
      <c r="B412" s="398"/>
      <c r="C412" s="405"/>
      <c r="D412" s="398"/>
      <c r="E412" s="400"/>
      <c r="F412" s="401"/>
      <c r="G412" s="398"/>
      <c r="H412" s="400"/>
      <c r="I412" s="398"/>
      <c r="J412" s="398"/>
      <c r="K412" s="398"/>
      <c r="L412" s="398"/>
      <c r="M412" s="398"/>
      <c r="N412" s="398"/>
      <c r="O412" s="398"/>
      <c r="P412" s="398"/>
      <c r="Q412" s="718"/>
      <c r="R412" s="402"/>
      <c r="S412" s="398"/>
      <c r="T412" s="398"/>
      <c r="U412" s="398"/>
      <c r="V412" s="398"/>
      <c r="W412" s="398"/>
      <c r="X412" s="398"/>
      <c r="Y412" s="398"/>
      <c r="Z412" s="398"/>
      <c r="AA412" s="398"/>
      <c r="AB412" s="398"/>
      <c r="AC412" s="398"/>
      <c r="AD412" s="398"/>
    </row>
    <row r="413" spans="1:30">
      <c r="A413" s="155"/>
      <c r="B413" s="398"/>
      <c r="C413" s="405"/>
      <c r="D413" s="398"/>
      <c r="E413" s="400"/>
      <c r="F413" s="401"/>
      <c r="G413" s="398"/>
      <c r="H413" s="400"/>
      <c r="I413" s="398"/>
      <c r="J413" s="398"/>
      <c r="K413" s="398"/>
      <c r="L413" s="398"/>
      <c r="M413" s="398"/>
      <c r="N413" s="398"/>
      <c r="O413" s="398"/>
      <c r="P413" s="398"/>
      <c r="Q413" s="718"/>
      <c r="R413" s="402"/>
      <c r="S413" s="398"/>
      <c r="T413" s="398"/>
      <c r="U413" s="398"/>
      <c r="V413" s="398"/>
      <c r="W413" s="398"/>
      <c r="X413" s="398"/>
      <c r="Y413" s="398"/>
      <c r="Z413" s="398"/>
      <c r="AA413" s="398"/>
      <c r="AB413" s="398"/>
      <c r="AC413" s="398"/>
      <c r="AD413" s="398"/>
    </row>
    <row r="414" spans="1:30">
      <c r="A414" s="155"/>
      <c r="B414" s="398"/>
      <c r="C414" s="405"/>
      <c r="D414" s="398"/>
      <c r="E414" s="400"/>
      <c r="F414" s="401"/>
      <c r="G414" s="398"/>
      <c r="H414" s="400"/>
      <c r="I414" s="398"/>
      <c r="J414" s="398"/>
      <c r="K414" s="398"/>
      <c r="L414" s="398"/>
      <c r="M414" s="398"/>
      <c r="N414" s="398"/>
      <c r="O414" s="398"/>
      <c r="P414" s="398"/>
      <c r="Q414" s="718"/>
      <c r="R414" s="402"/>
      <c r="S414" s="398"/>
      <c r="T414" s="398"/>
      <c r="U414" s="398"/>
      <c r="V414" s="398"/>
      <c r="W414" s="398"/>
      <c r="X414" s="398"/>
      <c r="Y414" s="398"/>
      <c r="Z414" s="398"/>
      <c r="AA414" s="398"/>
      <c r="AB414" s="398"/>
      <c r="AC414" s="398"/>
      <c r="AD414" s="398"/>
    </row>
    <row r="415" spans="1:30">
      <c r="A415" s="155"/>
      <c r="B415" s="398"/>
      <c r="C415" s="405"/>
      <c r="D415" s="398"/>
      <c r="E415" s="400"/>
      <c r="F415" s="401"/>
      <c r="G415" s="398"/>
      <c r="H415" s="400"/>
      <c r="I415" s="398"/>
      <c r="J415" s="398"/>
      <c r="K415" s="398"/>
      <c r="L415" s="398"/>
      <c r="M415" s="398"/>
      <c r="N415" s="398"/>
      <c r="O415" s="398"/>
      <c r="P415" s="398"/>
      <c r="Q415" s="718"/>
      <c r="R415" s="402"/>
      <c r="S415" s="398"/>
      <c r="T415" s="398"/>
      <c r="U415" s="398"/>
      <c r="V415" s="398"/>
      <c r="W415" s="398"/>
      <c r="X415" s="398"/>
      <c r="Y415" s="398"/>
      <c r="Z415" s="398"/>
      <c r="AA415" s="398"/>
      <c r="AB415" s="398"/>
      <c r="AC415" s="398"/>
      <c r="AD415" s="398"/>
    </row>
    <row r="416" spans="1:30">
      <c r="A416" s="155"/>
      <c r="B416" s="398"/>
      <c r="C416" s="405"/>
      <c r="D416" s="398"/>
      <c r="E416" s="400"/>
      <c r="F416" s="401"/>
      <c r="G416" s="398"/>
      <c r="H416" s="400"/>
      <c r="I416" s="398"/>
      <c r="J416" s="398"/>
      <c r="K416" s="398"/>
      <c r="L416" s="398"/>
      <c r="M416" s="398"/>
      <c r="N416" s="398"/>
      <c r="O416" s="398"/>
      <c r="P416" s="398"/>
      <c r="Q416" s="718"/>
      <c r="R416" s="402"/>
      <c r="S416" s="398"/>
      <c r="T416" s="398"/>
      <c r="U416" s="398"/>
      <c r="V416" s="398"/>
      <c r="W416" s="398"/>
      <c r="X416" s="398"/>
      <c r="Y416" s="398"/>
      <c r="Z416" s="398"/>
      <c r="AA416" s="398"/>
      <c r="AB416" s="398"/>
      <c r="AC416" s="398"/>
      <c r="AD416" s="398"/>
    </row>
    <row r="417" spans="1:30">
      <c r="A417" s="155"/>
      <c r="B417" s="398"/>
      <c r="C417" s="405"/>
      <c r="D417" s="398"/>
      <c r="E417" s="400"/>
      <c r="F417" s="401"/>
      <c r="G417" s="398"/>
      <c r="H417" s="400"/>
      <c r="I417" s="398"/>
      <c r="J417" s="398"/>
      <c r="K417" s="398"/>
      <c r="L417" s="398"/>
      <c r="M417" s="398"/>
      <c r="N417" s="398"/>
      <c r="O417" s="398"/>
      <c r="P417" s="398"/>
      <c r="Q417" s="718"/>
      <c r="R417" s="402"/>
      <c r="S417" s="398"/>
      <c r="T417" s="398"/>
      <c r="U417" s="398"/>
      <c r="V417" s="398"/>
      <c r="W417" s="398"/>
      <c r="X417" s="398"/>
      <c r="Y417" s="398"/>
      <c r="Z417" s="398"/>
      <c r="AA417" s="398"/>
      <c r="AB417" s="398"/>
      <c r="AC417" s="398"/>
      <c r="AD417" s="398"/>
    </row>
    <row r="418" spans="1:30">
      <c r="A418" s="155"/>
      <c r="B418" s="398"/>
      <c r="C418" s="405"/>
      <c r="D418" s="398"/>
      <c r="E418" s="400"/>
      <c r="F418" s="401"/>
      <c r="G418" s="398"/>
      <c r="H418" s="400"/>
      <c r="I418" s="398"/>
      <c r="J418" s="398"/>
      <c r="K418" s="398"/>
      <c r="L418" s="398"/>
      <c r="M418" s="398"/>
      <c r="N418" s="398"/>
      <c r="O418" s="398"/>
      <c r="P418" s="398"/>
      <c r="Q418" s="718"/>
      <c r="R418" s="402"/>
      <c r="S418" s="398"/>
      <c r="T418" s="398"/>
      <c r="U418" s="398"/>
      <c r="V418" s="398"/>
      <c r="W418" s="398"/>
      <c r="X418" s="398"/>
      <c r="Y418" s="398"/>
      <c r="Z418" s="398"/>
      <c r="AA418" s="398"/>
      <c r="AB418" s="398"/>
      <c r="AC418" s="398"/>
      <c r="AD418" s="398"/>
    </row>
    <row r="419" spans="1:30">
      <c r="A419" s="155"/>
      <c r="B419" s="398"/>
      <c r="C419" s="405"/>
      <c r="D419" s="398"/>
      <c r="E419" s="400"/>
      <c r="F419" s="401"/>
      <c r="G419" s="398"/>
      <c r="H419" s="400"/>
      <c r="I419" s="398"/>
      <c r="J419" s="398"/>
      <c r="K419" s="398"/>
      <c r="L419" s="398"/>
      <c r="M419" s="398"/>
      <c r="N419" s="398"/>
      <c r="O419" s="398"/>
      <c r="P419" s="398"/>
      <c r="Q419" s="718"/>
      <c r="R419" s="402"/>
      <c r="S419" s="398"/>
      <c r="T419" s="398"/>
      <c r="U419" s="398"/>
      <c r="V419" s="398"/>
      <c r="W419" s="398"/>
      <c r="X419" s="398"/>
      <c r="Y419" s="398"/>
      <c r="Z419" s="398"/>
      <c r="AA419" s="398"/>
      <c r="AB419" s="398"/>
      <c r="AC419" s="398"/>
      <c r="AD419" s="398"/>
    </row>
    <row r="420" spans="1:30">
      <c r="A420" s="155"/>
      <c r="B420" s="398"/>
      <c r="C420" s="405"/>
      <c r="D420" s="398"/>
      <c r="E420" s="400"/>
      <c r="F420" s="401"/>
      <c r="G420" s="398"/>
      <c r="H420" s="400"/>
      <c r="I420" s="398"/>
      <c r="J420" s="398"/>
      <c r="K420" s="398"/>
      <c r="L420" s="398"/>
      <c r="M420" s="398"/>
      <c r="N420" s="398"/>
      <c r="O420" s="398"/>
      <c r="P420" s="398"/>
      <c r="Q420" s="718"/>
      <c r="R420" s="402"/>
      <c r="S420" s="398"/>
      <c r="T420" s="398"/>
      <c r="U420" s="398"/>
      <c r="V420" s="398"/>
      <c r="W420" s="398"/>
      <c r="X420" s="398"/>
      <c r="Y420" s="398"/>
      <c r="Z420" s="398"/>
      <c r="AA420" s="398"/>
      <c r="AB420" s="398"/>
      <c r="AC420" s="398"/>
      <c r="AD420" s="398"/>
    </row>
    <row r="421" spans="1:30">
      <c r="A421" s="155"/>
      <c r="B421" s="398"/>
      <c r="C421" s="405"/>
      <c r="D421" s="398"/>
      <c r="E421" s="400"/>
      <c r="F421" s="401"/>
      <c r="G421" s="398"/>
      <c r="H421" s="400"/>
      <c r="I421" s="398"/>
      <c r="J421" s="398"/>
      <c r="K421" s="398"/>
      <c r="L421" s="398"/>
      <c r="M421" s="398"/>
      <c r="N421" s="398"/>
      <c r="O421" s="398"/>
      <c r="P421" s="398"/>
      <c r="Q421" s="718"/>
      <c r="R421" s="402"/>
      <c r="S421" s="398"/>
      <c r="T421" s="398"/>
      <c r="U421" s="398"/>
      <c r="V421" s="398"/>
      <c r="W421" s="398"/>
      <c r="X421" s="398"/>
      <c r="Y421" s="398"/>
      <c r="Z421" s="398"/>
      <c r="AA421" s="398"/>
      <c r="AB421" s="398"/>
      <c r="AC421" s="398"/>
      <c r="AD421" s="398"/>
    </row>
    <row r="422" spans="1:30">
      <c r="A422" s="155"/>
      <c r="B422" s="398"/>
      <c r="C422" s="405"/>
      <c r="D422" s="398"/>
      <c r="E422" s="400"/>
      <c r="F422" s="401"/>
      <c r="G422" s="398"/>
      <c r="H422" s="400"/>
      <c r="I422" s="398"/>
      <c r="J422" s="398"/>
      <c r="K422" s="398"/>
      <c r="L422" s="398"/>
      <c r="M422" s="398"/>
      <c r="N422" s="398"/>
      <c r="O422" s="398"/>
      <c r="P422" s="398"/>
      <c r="Q422" s="718"/>
      <c r="R422" s="402"/>
      <c r="S422" s="398"/>
      <c r="T422" s="398"/>
      <c r="U422" s="398"/>
      <c r="V422" s="398"/>
      <c r="W422" s="398"/>
      <c r="X422" s="398"/>
      <c r="Y422" s="398"/>
      <c r="Z422" s="398"/>
      <c r="AA422" s="398"/>
      <c r="AB422" s="398"/>
      <c r="AC422" s="398"/>
      <c r="AD422" s="398"/>
    </row>
    <row r="423" spans="1:30">
      <c r="A423" s="155"/>
      <c r="B423" s="398"/>
      <c r="C423" s="405"/>
      <c r="D423" s="398"/>
      <c r="E423" s="400"/>
      <c r="F423" s="401"/>
      <c r="G423" s="398"/>
      <c r="H423" s="400"/>
      <c r="I423" s="398"/>
      <c r="J423" s="398"/>
      <c r="K423" s="398"/>
      <c r="L423" s="398"/>
      <c r="M423" s="398"/>
      <c r="N423" s="398"/>
      <c r="O423" s="398"/>
      <c r="P423" s="398"/>
      <c r="Q423" s="718"/>
      <c r="R423" s="402"/>
      <c r="S423" s="398"/>
      <c r="T423" s="398"/>
      <c r="U423" s="398"/>
      <c r="V423" s="398"/>
      <c r="W423" s="398"/>
      <c r="X423" s="398"/>
      <c r="Y423" s="398"/>
      <c r="Z423" s="398"/>
      <c r="AA423" s="398"/>
      <c r="AB423" s="398"/>
      <c r="AC423" s="398"/>
      <c r="AD423" s="398"/>
    </row>
    <row r="424" spans="1:30">
      <c r="A424" s="155"/>
      <c r="B424" s="398"/>
      <c r="C424" s="405"/>
      <c r="D424" s="398"/>
      <c r="E424" s="400"/>
      <c r="F424" s="401"/>
      <c r="G424" s="398"/>
      <c r="H424" s="400"/>
      <c r="I424" s="398"/>
      <c r="J424" s="398"/>
      <c r="K424" s="398"/>
      <c r="L424" s="398"/>
      <c r="M424" s="398"/>
      <c r="N424" s="398"/>
      <c r="O424" s="398"/>
      <c r="P424" s="398"/>
      <c r="Q424" s="718"/>
      <c r="R424" s="402"/>
      <c r="S424" s="398"/>
      <c r="T424" s="398"/>
      <c r="U424" s="398"/>
      <c r="V424" s="398"/>
      <c r="W424" s="398"/>
      <c r="X424" s="398"/>
      <c r="Y424" s="398"/>
      <c r="Z424" s="398"/>
      <c r="AA424" s="398"/>
      <c r="AB424" s="398"/>
      <c r="AC424" s="398"/>
      <c r="AD424" s="398"/>
    </row>
    <row r="425" spans="1:30">
      <c r="A425" s="155"/>
      <c r="B425" s="398"/>
      <c r="C425" s="405"/>
      <c r="D425" s="398"/>
      <c r="E425" s="400"/>
      <c r="F425" s="401"/>
      <c r="G425" s="398"/>
      <c r="H425" s="400"/>
      <c r="I425" s="398"/>
      <c r="J425" s="398"/>
      <c r="K425" s="398"/>
      <c r="L425" s="398"/>
      <c r="M425" s="398"/>
      <c r="N425" s="398"/>
      <c r="O425" s="398"/>
      <c r="P425" s="398"/>
      <c r="Q425" s="718"/>
      <c r="R425" s="402"/>
      <c r="S425" s="398"/>
      <c r="T425" s="398"/>
      <c r="U425" s="398"/>
      <c r="V425" s="398"/>
      <c r="W425" s="398"/>
      <c r="X425" s="398"/>
      <c r="Y425" s="398"/>
      <c r="Z425" s="398"/>
      <c r="AA425" s="398"/>
      <c r="AB425" s="398"/>
      <c r="AC425" s="398"/>
      <c r="AD425" s="398"/>
    </row>
    <row r="426" spans="1:30">
      <c r="A426" s="155"/>
      <c r="B426" s="398"/>
      <c r="C426" s="405"/>
      <c r="D426" s="398"/>
      <c r="E426" s="400"/>
      <c r="F426" s="401"/>
      <c r="G426" s="398"/>
      <c r="H426" s="400"/>
      <c r="I426" s="398"/>
      <c r="J426" s="398"/>
      <c r="K426" s="398"/>
      <c r="L426" s="398"/>
      <c r="M426" s="398"/>
      <c r="N426" s="398"/>
      <c r="O426" s="398"/>
      <c r="P426" s="398"/>
      <c r="Q426" s="718"/>
      <c r="R426" s="402"/>
      <c r="S426" s="398"/>
      <c r="T426" s="398"/>
      <c r="U426" s="398"/>
      <c r="V426" s="398"/>
      <c r="W426" s="398"/>
      <c r="X426" s="398"/>
      <c r="Y426" s="398"/>
      <c r="Z426" s="398"/>
      <c r="AA426" s="398"/>
      <c r="AB426" s="398"/>
      <c r="AC426" s="398"/>
      <c r="AD426" s="398"/>
    </row>
    <row r="427" spans="1:30">
      <c r="A427" s="155"/>
      <c r="B427" s="398"/>
      <c r="C427" s="405"/>
      <c r="D427" s="398"/>
      <c r="E427" s="400"/>
      <c r="F427" s="401"/>
      <c r="G427" s="398"/>
      <c r="H427" s="400"/>
      <c r="I427" s="398"/>
      <c r="J427" s="398"/>
      <c r="K427" s="398"/>
      <c r="L427" s="398"/>
      <c r="M427" s="398"/>
      <c r="N427" s="398"/>
      <c r="O427" s="398"/>
      <c r="P427" s="398"/>
      <c r="Q427" s="718"/>
      <c r="R427" s="402"/>
      <c r="S427" s="398"/>
      <c r="T427" s="398"/>
      <c r="U427" s="398"/>
      <c r="V427" s="398"/>
      <c r="W427" s="398"/>
      <c r="X427" s="398"/>
      <c r="Y427" s="398"/>
      <c r="Z427" s="398"/>
      <c r="AA427" s="398"/>
      <c r="AB427" s="398"/>
      <c r="AC427" s="398"/>
      <c r="AD427" s="398"/>
    </row>
    <row r="428" spans="1:30">
      <c r="A428" s="155"/>
      <c r="B428" s="398"/>
      <c r="C428" s="405"/>
      <c r="D428" s="398"/>
      <c r="E428" s="400"/>
      <c r="F428" s="401"/>
      <c r="G428" s="398"/>
      <c r="H428" s="400"/>
      <c r="I428" s="398"/>
      <c r="J428" s="398"/>
      <c r="K428" s="398"/>
      <c r="L428" s="398"/>
      <c r="M428" s="398"/>
      <c r="N428" s="398"/>
      <c r="O428" s="398"/>
      <c r="P428" s="398"/>
      <c r="Q428" s="718"/>
      <c r="R428" s="402"/>
      <c r="S428" s="398"/>
      <c r="T428" s="398"/>
      <c r="U428" s="398"/>
      <c r="V428" s="398"/>
      <c r="W428" s="398"/>
      <c r="X428" s="398"/>
      <c r="Y428" s="398"/>
      <c r="Z428" s="398"/>
      <c r="AA428" s="398"/>
      <c r="AB428" s="398"/>
      <c r="AC428" s="398"/>
      <c r="AD428" s="398"/>
    </row>
    <row r="429" spans="1:30">
      <c r="A429" s="155"/>
      <c r="B429" s="398"/>
      <c r="C429" s="405"/>
      <c r="D429" s="398"/>
      <c r="E429" s="400"/>
      <c r="F429" s="401"/>
      <c r="G429" s="398"/>
      <c r="H429" s="400"/>
      <c r="I429" s="398"/>
      <c r="J429" s="398"/>
      <c r="K429" s="398"/>
      <c r="L429" s="398"/>
      <c r="M429" s="398"/>
      <c r="N429" s="398"/>
      <c r="O429" s="398"/>
      <c r="P429" s="398"/>
      <c r="Q429" s="718"/>
      <c r="R429" s="402"/>
      <c r="S429" s="398"/>
      <c r="T429" s="398"/>
      <c r="U429" s="398"/>
      <c r="V429" s="398"/>
      <c r="W429" s="398"/>
      <c r="X429" s="398"/>
      <c r="Y429" s="398"/>
      <c r="Z429" s="398"/>
      <c r="AA429" s="398"/>
      <c r="AB429" s="398"/>
      <c r="AC429" s="398"/>
      <c r="AD429" s="398"/>
    </row>
    <row r="430" spans="1:30">
      <c r="A430" s="155"/>
      <c r="B430" s="398"/>
      <c r="C430" s="405"/>
      <c r="D430" s="398"/>
      <c r="E430" s="400"/>
      <c r="F430" s="401"/>
      <c r="G430" s="398"/>
      <c r="H430" s="400"/>
      <c r="I430" s="398"/>
      <c r="J430" s="398"/>
      <c r="K430" s="398"/>
      <c r="L430" s="398"/>
      <c r="M430" s="398"/>
      <c r="N430" s="398"/>
      <c r="O430" s="398"/>
      <c r="P430" s="398"/>
      <c r="Q430" s="718"/>
      <c r="R430" s="402"/>
      <c r="S430" s="398"/>
      <c r="T430" s="398"/>
      <c r="U430" s="398"/>
      <c r="V430" s="398"/>
      <c r="W430" s="398"/>
      <c r="X430" s="398"/>
      <c r="Y430" s="398"/>
      <c r="Z430" s="398"/>
      <c r="AA430" s="398"/>
      <c r="AB430" s="398"/>
      <c r="AC430" s="398"/>
      <c r="AD430" s="398"/>
    </row>
    <row r="431" spans="1:30">
      <c r="A431" s="155"/>
      <c r="B431" s="398"/>
      <c r="C431" s="405"/>
      <c r="D431" s="398"/>
      <c r="E431" s="400"/>
      <c r="F431" s="401"/>
      <c r="G431" s="398"/>
      <c r="H431" s="400"/>
      <c r="I431" s="398"/>
      <c r="J431" s="398"/>
      <c r="K431" s="398"/>
      <c r="L431" s="398"/>
      <c r="M431" s="398"/>
      <c r="N431" s="398"/>
      <c r="O431" s="398"/>
      <c r="P431" s="398"/>
      <c r="Q431" s="718"/>
      <c r="R431" s="402"/>
      <c r="S431" s="398"/>
      <c r="T431" s="398"/>
      <c r="U431" s="398"/>
      <c r="V431" s="398"/>
      <c r="W431" s="398"/>
      <c r="X431" s="398"/>
      <c r="Y431" s="398"/>
      <c r="Z431" s="398"/>
      <c r="AA431" s="398"/>
      <c r="AB431" s="398"/>
      <c r="AC431" s="398"/>
      <c r="AD431" s="398"/>
    </row>
    <row r="432" spans="1:30">
      <c r="A432" s="155"/>
      <c r="B432" s="398"/>
      <c r="C432" s="405"/>
      <c r="D432" s="398"/>
      <c r="E432" s="400"/>
      <c r="F432" s="401"/>
      <c r="G432" s="398"/>
      <c r="H432" s="400"/>
      <c r="I432" s="398"/>
      <c r="J432" s="398"/>
      <c r="K432" s="398"/>
      <c r="L432" s="398"/>
      <c r="M432" s="398"/>
      <c r="N432" s="398"/>
      <c r="O432" s="398"/>
      <c r="P432" s="398"/>
      <c r="Q432" s="718"/>
      <c r="R432" s="402"/>
      <c r="S432" s="398"/>
      <c r="T432" s="398"/>
      <c r="U432" s="398"/>
      <c r="V432" s="398"/>
      <c r="W432" s="398"/>
      <c r="X432" s="398"/>
      <c r="Y432" s="398"/>
      <c r="Z432" s="398"/>
      <c r="AA432" s="398"/>
      <c r="AB432" s="398"/>
      <c r="AC432" s="398"/>
      <c r="AD432" s="398"/>
    </row>
    <row r="433" spans="1:30">
      <c r="A433" s="155"/>
      <c r="B433" s="398"/>
      <c r="C433" s="405"/>
      <c r="D433" s="398"/>
      <c r="E433" s="400"/>
      <c r="F433" s="401"/>
      <c r="G433" s="398"/>
      <c r="H433" s="400"/>
      <c r="I433" s="398"/>
      <c r="J433" s="398"/>
      <c r="K433" s="398"/>
      <c r="L433" s="398"/>
      <c r="M433" s="398"/>
      <c r="N433" s="398"/>
      <c r="O433" s="398"/>
      <c r="P433" s="398"/>
      <c r="Q433" s="718"/>
      <c r="R433" s="402"/>
      <c r="S433" s="398"/>
      <c r="T433" s="398"/>
      <c r="U433" s="398"/>
      <c r="V433" s="398"/>
      <c r="W433" s="398"/>
      <c r="X433" s="398"/>
      <c r="Y433" s="398"/>
      <c r="Z433" s="398"/>
      <c r="AA433" s="398"/>
      <c r="AB433" s="398"/>
      <c r="AC433" s="398"/>
      <c r="AD433" s="398"/>
    </row>
    <row r="434" spans="1:30">
      <c r="A434" s="155"/>
      <c r="B434" s="398"/>
      <c r="C434" s="405"/>
      <c r="D434" s="398"/>
      <c r="E434" s="400"/>
      <c r="F434" s="401"/>
      <c r="G434" s="398"/>
      <c r="H434" s="400"/>
      <c r="I434" s="398"/>
      <c r="J434" s="398"/>
      <c r="K434" s="398"/>
      <c r="L434" s="398"/>
      <c r="M434" s="398"/>
      <c r="N434" s="398"/>
      <c r="O434" s="398"/>
      <c r="P434" s="398"/>
      <c r="Q434" s="718"/>
      <c r="R434" s="402"/>
      <c r="S434" s="398"/>
      <c r="T434" s="398"/>
      <c r="U434" s="398"/>
      <c r="V434" s="398"/>
      <c r="W434" s="398"/>
      <c r="X434" s="398"/>
      <c r="Y434" s="398"/>
      <c r="Z434" s="398"/>
      <c r="AA434" s="398"/>
      <c r="AB434" s="398"/>
      <c r="AC434" s="398"/>
      <c r="AD434" s="398"/>
    </row>
    <row r="435" spans="1:30">
      <c r="A435" s="155"/>
      <c r="B435" s="398"/>
      <c r="C435" s="405"/>
      <c r="D435" s="398"/>
      <c r="E435" s="400"/>
      <c r="F435" s="401"/>
      <c r="G435" s="398"/>
      <c r="H435" s="400"/>
      <c r="I435" s="398"/>
      <c r="J435" s="398"/>
      <c r="K435" s="398"/>
      <c r="L435" s="398"/>
      <c r="M435" s="398"/>
      <c r="N435" s="398"/>
      <c r="O435" s="398"/>
      <c r="P435" s="398"/>
      <c r="Q435" s="718"/>
      <c r="R435" s="402"/>
      <c r="S435" s="398"/>
      <c r="T435" s="398"/>
      <c r="U435" s="398"/>
      <c r="V435" s="398"/>
      <c r="W435" s="398"/>
      <c r="X435" s="398"/>
      <c r="Y435" s="398"/>
      <c r="Z435" s="398"/>
      <c r="AA435" s="398"/>
      <c r="AB435" s="398"/>
      <c r="AC435" s="398"/>
      <c r="AD435" s="398"/>
    </row>
    <row r="436" spans="1:30">
      <c r="A436" s="155"/>
      <c r="B436" s="398"/>
      <c r="C436" s="405"/>
      <c r="D436" s="398"/>
      <c r="E436" s="400"/>
      <c r="F436" s="401"/>
      <c r="G436" s="398"/>
      <c r="H436" s="400"/>
      <c r="I436" s="398"/>
      <c r="J436" s="398"/>
      <c r="K436" s="398"/>
      <c r="L436" s="398"/>
      <c r="M436" s="398"/>
      <c r="N436" s="398"/>
      <c r="O436" s="398"/>
      <c r="P436" s="398"/>
      <c r="Q436" s="718"/>
      <c r="R436" s="402"/>
      <c r="S436" s="398"/>
      <c r="T436" s="398"/>
      <c r="U436" s="398"/>
      <c r="V436" s="398"/>
      <c r="W436" s="398"/>
      <c r="X436" s="398"/>
      <c r="Y436" s="398"/>
      <c r="Z436" s="398"/>
      <c r="AA436" s="398"/>
      <c r="AB436" s="398"/>
      <c r="AC436" s="398"/>
      <c r="AD436" s="398"/>
    </row>
    <row r="437" spans="1:30">
      <c r="A437" s="155"/>
      <c r="B437" s="398"/>
      <c r="C437" s="405"/>
      <c r="D437" s="398"/>
      <c r="E437" s="400"/>
      <c r="F437" s="401"/>
      <c r="G437" s="398"/>
      <c r="H437" s="400"/>
      <c r="I437" s="398"/>
      <c r="J437" s="398"/>
      <c r="K437" s="398"/>
      <c r="L437" s="398"/>
      <c r="M437" s="398"/>
      <c r="N437" s="398"/>
      <c r="O437" s="398"/>
      <c r="P437" s="398"/>
      <c r="Q437" s="718"/>
      <c r="R437" s="402"/>
      <c r="S437" s="398"/>
      <c r="T437" s="398"/>
      <c r="U437" s="398"/>
      <c r="V437" s="398"/>
      <c r="W437" s="398"/>
      <c r="X437" s="398"/>
      <c r="Y437" s="398"/>
      <c r="Z437" s="398"/>
      <c r="AA437" s="398"/>
      <c r="AB437" s="398"/>
      <c r="AC437" s="398"/>
      <c r="AD437" s="398"/>
    </row>
    <row r="438" spans="1:30">
      <c r="A438" s="155"/>
      <c r="B438" s="398"/>
      <c r="C438" s="405"/>
      <c r="D438" s="398"/>
      <c r="E438" s="400"/>
      <c r="F438" s="401"/>
      <c r="G438" s="398"/>
      <c r="H438" s="400"/>
      <c r="I438" s="398"/>
      <c r="J438" s="398"/>
      <c r="K438" s="398"/>
      <c r="L438" s="398"/>
      <c r="M438" s="398"/>
      <c r="N438" s="398"/>
      <c r="O438" s="398"/>
      <c r="P438" s="398"/>
      <c r="Q438" s="718"/>
      <c r="R438" s="402"/>
      <c r="S438" s="398"/>
      <c r="T438" s="398"/>
      <c r="U438" s="398"/>
      <c r="V438" s="398"/>
      <c r="W438" s="398"/>
      <c r="X438" s="398"/>
      <c r="Y438" s="398"/>
      <c r="Z438" s="398"/>
      <c r="AA438" s="398"/>
      <c r="AB438" s="398"/>
      <c r="AC438" s="398"/>
      <c r="AD438" s="398"/>
    </row>
    <row r="439" spans="1:30">
      <c r="A439" s="155"/>
      <c r="B439" s="398"/>
      <c r="C439" s="405"/>
      <c r="D439" s="398"/>
      <c r="E439" s="400"/>
      <c r="F439" s="401"/>
      <c r="G439" s="398"/>
      <c r="H439" s="400"/>
      <c r="I439" s="398"/>
      <c r="J439" s="398"/>
      <c r="K439" s="398"/>
      <c r="L439" s="398"/>
      <c r="M439" s="398"/>
      <c r="N439" s="398"/>
      <c r="O439" s="398"/>
      <c r="P439" s="398"/>
      <c r="Q439" s="718"/>
      <c r="R439" s="402"/>
      <c r="S439" s="398"/>
      <c r="T439" s="398"/>
      <c r="U439" s="398"/>
      <c r="V439" s="398"/>
      <c r="W439" s="398"/>
      <c r="X439" s="398"/>
      <c r="Y439" s="398"/>
      <c r="Z439" s="398"/>
      <c r="AA439" s="398"/>
      <c r="AB439" s="398"/>
      <c r="AC439" s="398"/>
      <c r="AD439" s="398"/>
    </row>
    <row r="440" spans="1:30">
      <c r="A440" s="155"/>
      <c r="B440" s="398"/>
      <c r="C440" s="405"/>
      <c r="D440" s="398"/>
      <c r="E440" s="400"/>
      <c r="F440" s="401"/>
      <c r="G440" s="398"/>
      <c r="H440" s="400"/>
      <c r="I440" s="398"/>
      <c r="J440" s="398"/>
      <c r="K440" s="398"/>
      <c r="L440" s="398"/>
      <c r="M440" s="398"/>
      <c r="N440" s="398"/>
      <c r="O440" s="398"/>
      <c r="P440" s="398"/>
      <c r="Q440" s="718"/>
      <c r="R440" s="402"/>
      <c r="S440" s="398"/>
      <c r="T440" s="398"/>
      <c r="U440" s="398"/>
      <c r="V440" s="398"/>
      <c r="W440" s="398"/>
      <c r="X440" s="398"/>
      <c r="Y440" s="398"/>
      <c r="Z440" s="398"/>
      <c r="AA440" s="398"/>
      <c r="AB440" s="398"/>
      <c r="AC440" s="398"/>
      <c r="AD440" s="398"/>
    </row>
    <row r="441" spans="1:30">
      <c r="A441" s="155"/>
      <c r="B441" s="398"/>
      <c r="C441" s="405"/>
      <c r="D441" s="398"/>
      <c r="E441" s="400"/>
      <c r="F441" s="401"/>
      <c r="G441" s="398"/>
      <c r="H441" s="400"/>
      <c r="I441" s="398"/>
      <c r="J441" s="398"/>
      <c r="K441" s="398"/>
      <c r="L441" s="398"/>
      <c r="M441" s="398"/>
      <c r="N441" s="398"/>
      <c r="O441" s="398"/>
      <c r="P441" s="398"/>
      <c r="Q441" s="718"/>
      <c r="R441" s="402"/>
      <c r="S441" s="398"/>
      <c r="T441" s="398"/>
      <c r="U441" s="398"/>
      <c r="V441" s="398"/>
      <c r="W441" s="398"/>
      <c r="X441" s="398"/>
      <c r="Y441" s="398"/>
      <c r="Z441" s="398"/>
      <c r="AA441" s="398"/>
      <c r="AB441" s="398"/>
      <c r="AC441" s="398"/>
      <c r="AD441" s="398"/>
    </row>
    <row r="442" spans="1:30">
      <c r="A442" s="155"/>
      <c r="B442" s="398"/>
      <c r="C442" s="405"/>
      <c r="D442" s="398"/>
      <c r="E442" s="400"/>
      <c r="F442" s="401"/>
      <c r="G442" s="398"/>
      <c r="H442" s="400"/>
      <c r="I442" s="398"/>
      <c r="J442" s="398"/>
      <c r="K442" s="398"/>
      <c r="L442" s="398"/>
      <c r="M442" s="398"/>
      <c r="N442" s="398"/>
      <c r="O442" s="398"/>
      <c r="P442" s="398"/>
      <c r="Q442" s="718"/>
      <c r="R442" s="402"/>
      <c r="S442" s="398"/>
      <c r="T442" s="398"/>
      <c r="U442" s="398"/>
      <c r="V442" s="398"/>
      <c r="W442" s="398"/>
      <c r="X442" s="398"/>
      <c r="Y442" s="398"/>
      <c r="Z442" s="398"/>
      <c r="AA442" s="398"/>
      <c r="AB442" s="398"/>
      <c r="AC442" s="398"/>
      <c r="AD442" s="398"/>
    </row>
    <row r="443" spans="1:30">
      <c r="A443" s="155"/>
      <c r="B443" s="398"/>
      <c r="C443" s="405"/>
      <c r="D443" s="398"/>
      <c r="E443" s="400"/>
      <c r="F443" s="401"/>
      <c r="G443" s="398"/>
      <c r="H443" s="400"/>
      <c r="I443" s="398"/>
      <c r="J443" s="398"/>
      <c r="K443" s="398"/>
      <c r="L443" s="398"/>
      <c r="M443" s="398"/>
      <c r="N443" s="398"/>
      <c r="O443" s="398"/>
      <c r="P443" s="398"/>
      <c r="Q443" s="718"/>
      <c r="R443" s="402"/>
      <c r="S443" s="398"/>
      <c r="T443" s="398"/>
      <c r="U443" s="398"/>
      <c r="V443" s="398"/>
      <c r="W443" s="398"/>
      <c r="X443" s="398"/>
      <c r="Y443" s="398"/>
      <c r="Z443" s="398"/>
      <c r="AA443" s="398"/>
      <c r="AB443" s="398"/>
      <c r="AC443" s="398"/>
      <c r="AD443" s="398"/>
    </row>
    <row r="444" spans="1:30">
      <c r="A444" s="155"/>
      <c r="B444" s="398"/>
      <c r="C444" s="405"/>
      <c r="D444" s="398"/>
      <c r="E444" s="400"/>
      <c r="F444" s="401"/>
      <c r="G444" s="398"/>
      <c r="H444" s="400"/>
      <c r="I444" s="398"/>
      <c r="J444" s="398"/>
      <c r="K444" s="398"/>
      <c r="L444" s="398"/>
      <c r="M444" s="398"/>
      <c r="N444" s="398"/>
      <c r="O444" s="398"/>
      <c r="P444" s="398"/>
      <c r="Q444" s="718"/>
      <c r="R444" s="402"/>
      <c r="S444" s="398"/>
      <c r="T444" s="398"/>
      <c r="U444" s="398"/>
      <c r="V444" s="398"/>
      <c r="W444" s="398"/>
      <c r="X444" s="398"/>
      <c r="Y444" s="398"/>
      <c r="Z444" s="398"/>
      <c r="AA444" s="398"/>
      <c r="AB444" s="398"/>
      <c r="AC444" s="398"/>
      <c r="AD444" s="398"/>
    </row>
    <row r="445" spans="1:30">
      <c r="A445" s="155"/>
      <c r="B445" s="398"/>
      <c r="C445" s="405"/>
      <c r="D445" s="398"/>
      <c r="E445" s="400"/>
      <c r="F445" s="401"/>
      <c r="G445" s="398"/>
      <c r="H445" s="400"/>
      <c r="I445" s="398"/>
      <c r="J445" s="398"/>
      <c r="K445" s="398"/>
      <c r="L445" s="398"/>
      <c r="M445" s="398"/>
      <c r="N445" s="398"/>
      <c r="O445" s="398"/>
      <c r="P445" s="398"/>
      <c r="Q445" s="718"/>
      <c r="R445" s="402"/>
      <c r="S445" s="398"/>
      <c r="T445" s="398"/>
      <c r="U445" s="398"/>
      <c r="V445" s="398"/>
      <c r="W445" s="398"/>
      <c r="X445" s="398"/>
      <c r="Y445" s="398"/>
      <c r="Z445" s="398"/>
      <c r="AA445" s="398"/>
      <c r="AB445" s="398"/>
      <c r="AC445" s="398"/>
      <c r="AD445" s="398"/>
    </row>
    <row r="446" spans="1:30">
      <c r="A446" s="155"/>
      <c r="B446" s="398"/>
      <c r="C446" s="405"/>
      <c r="D446" s="398"/>
      <c r="E446" s="400"/>
      <c r="F446" s="401"/>
      <c r="G446" s="398"/>
      <c r="H446" s="400"/>
      <c r="I446" s="398"/>
      <c r="J446" s="398"/>
      <c r="K446" s="398"/>
      <c r="L446" s="398"/>
      <c r="M446" s="398"/>
      <c r="N446" s="398"/>
      <c r="O446" s="398"/>
      <c r="P446" s="398"/>
      <c r="Q446" s="718"/>
      <c r="R446" s="402"/>
      <c r="S446" s="398"/>
      <c r="T446" s="398"/>
      <c r="U446" s="398"/>
      <c r="V446" s="398"/>
      <c r="W446" s="398"/>
      <c r="X446" s="398"/>
      <c r="Y446" s="398"/>
      <c r="Z446" s="398"/>
      <c r="AA446" s="398"/>
      <c r="AB446" s="398"/>
      <c r="AC446" s="398"/>
      <c r="AD446" s="398"/>
    </row>
    <row r="447" spans="1:30">
      <c r="A447" s="155"/>
      <c r="B447" s="398"/>
      <c r="C447" s="405"/>
      <c r="D447" s="398"/>
      <c r="E447" s="400"/>
      <c r="F447" s="401"/>
      <c r="G447" s="398"/>
      <c r="H447" s="400"/>
      <c r="I447" s="398"/>
      <c r="J447" s="398"/>
      <c r="K447" s="398"/>
      <c r="L447" s="398"/>
      <c r="M447" s="398"/>
      <c r="N447" s="398"/>
      <c r="O447" s="398"/>
      <c r="P447" s="398"/>
      <c r="Q447" s="718"/>
      <c r="R447" s="402"/>
      <c r="S447" s="398"/>
      <c r="T447" s="398"/>
      <c r="U447" s="398"/>
      <c r="V447" s="398"/>
      <c r="W447" s="398"/>
      <c r="X447" s="398"/>
      <c r="Y447" s="398"/>
      <c r="Z447" s="398"/>
      <c r="AA447" s="398"/>
      <c r="AB447" s="398"/>
      <c r="AC447" s="398"/>
      <c r="AD447" s="398"/>
    </row>
    <row r="448" spans="1:30">
      <c r="A448" s="155"/>
      <c r="B448" s="398"/>
      <c r="C448" s="405"/>
      <c r="D448" s="398"/>
      <c r="E448" s="400"/>
      <c r="F448" s="401"/>
      <c r="G448" s="398"/>
      <c r="H448" s="400"/>
      <c r="I448" s="398"/>
      <c r="J448" s="398"/>
      <c r="K448" s="398"/>
      <c r="L448" s="398"/>
      <c r="M448" s="398"/>
      <c r="N448" s="398"/>
      <c r="O448" s="398"/>
      <c r="P448" s="398"/>
      <c r="Q448" s="718"/>
      <c r="R448" s="402"/>
      <c r="S448" s="398"/>
      <c r="T448" s="398"/>
      <c r="U448" s="398"/>
      <c r="V448" s="398"/>
      <c r="W448" s="398"/>
      <c r="X448" s="398"/>
      <c r="Y448" s="398"/>
      <c r="Z448" s="398"/>
      <c r="AA448" s="398"/>
      <c r="AB448" s="398"/>
      <c r="AC448" s="398"/>
      <c r="AD448" s="398"/>
    </row>
    <row r="449" spans="1:30">
      <c r="A449" s="155"/>
      <c r="B449" s="398"/>
      <c r="C449" s="405"/>
      <c r="D449" s="398"/>
      <c r="E449" s="400"/>
      <c r="F449" s="401"/>
      <c r="G449" s="398"/>
      <c r="H449" s="400"/>
      <c r="I449" s="398"/>
      <c r="J449" s="398"/>
      <c r="K449" s="398"/>
      <c r="L449" s="398"/>
      <c r="M449" s="398"/>
      <c r="N449" s="398"/>
      <c r="O449" s="398"/>
      <c r="P449" s="398"/>
      <c r="Q449" s="718"/>
      <c r="R449" s="402"/>
      <c r="S449" s="398"/>
      <c r="T449" s="398"/>
      <c r="U449" s="398"/>
      <c r="V449" s="398"/>
      <c r="W449" s="398"/>
      <c r="X449" s="398"/>
      <c r="Y449" s="398"/>
      <c r="Z449" s="398"/>
      <c r="AA449" s="398"/>
      <c r="AB449" s="398"/>
      <c r="AC449" s="398"/>
      <c r="AD449" s="398"/>
    </row>
    <row r="450" spans="1:30">
      <c r="A450" s="155"/>
      <c r="B450" s="398"/>
      <c r="C450" s="405"/>
      <c r="D450" s="398"/>
      <c r="E450" s="400"/>
      <c r="F450" s="401"/>
      <c r="G450" s="398"/>
      <c r="H450" s="400"/>
      <c r="I450" s="398"/>
      <c r="J450" s="398"/>
      <c r="K450" s="398"/>
      <c r="L450" s="398"/>
      <c r="M450" s="398"/>
      <c r="N450" s="398"/>
      <c r="O450" s="398"/>
      <c r="P450" s="398"/>
      <c r="Q450" s="718"/>
      <c r="R450" s="402"/>
      <c r="S450" s="398"/>
      <c r="T450" s="398"/>
      <c r="U450" s="398"/>
      <c r="V450" s="398"/>
      <c r="W450" s="398"/>
      <c r="X450" s="398"/>
      <c r="Y450" s="398"/>
      <c r="Z450" s="398"/>
      <c r="AA450" s="398"/>
      <c r="AB450" s="398"/>
      <c r="AC450" s="398"/>
      <c r="AD450" s="398"/>
    </row>
    <row r="451" spans="1:30">
      <c r="A451" s="155"/>
      <c r="B451" s="398"/>
      <c r="C451" s="405"/>
      <c r="D451" s="398"/>
      <c r="E451" s="400"/>
      <c r="F451" s="401"/>
      <c r="G451" s="398"/>
      <c r="H451" s="400"/>
      <c r="I451" s="398"/>
      <c r="J451" s="398"/>
      <c r="K451" s="398"/>
      <c r="L451" s="398"/>
      <c r="M451" s="398"/>
      <c r="N451" s="398"/>
      <c r="O451" s="398"/>
      <c r="P451" s="398"/>
      <c r="Q451" s="718"/>
      <c r="R451" s="402"/>
      <c r="S451" s="398"/>
      <c r="T451" s="398"/>
      <c r="U451" s="398"/>
      <c r="V451" s="398"/>
      <c r="W451" s="398"/>
      <c r="X451" s="398"/>
      <c r="Y451" s="398"/>
      <c r="Z451" s="398"/>
      <c r="AA451" s="398"/>
      <c r="AB451" s="398"/>
      <c r="AC451" s="398"/>
      <c r="AD451" s="398"/>
    </row>
    <row r="452" spans="1:30">
      <c r="A452" s="155"/>
      <c r="B452" s="398"/>
      <c r="C452" s="405"/>
      <c r="D452" s="398"/>
      <c r="E452" s="400"/>
      <c r="F452" s="401"/>
      <c r="G452" s="398"/>
      <c r="H452" s="400"/>
      <c r="I452" s="398"/>
      <c r="J452" s="398"/>
      <c r="K452" s="398"/>
      <c r="L452" s="398"/>
      <c r="M452" s="398"/>
      <c r="N452" s="398"/>
      <c r="O452" s="398"/>
      <c r="P452" s="398"/>
      <c r="Q452" s="718"/>
      <c r="R452" s="402"/>
      <c r="S452" s="398"/>
      <c r="T452" s="398"/>
      <c r="U452" s="398"/>
      <c r="V452" s="398"/>
      <c r="W452" s="398"/>
      <c r="X452" s="398"/>
      <c r="Y452" s="398"/>
      <c r="Z452" s="398"/>
      <c r="AA452" s="398"/>
      <c r="AB452" s="398"/>
      <c r="AC452" s="398"/>
      <c r="AD452" s="398"/>
    </row>
    <row r="453" spans="1:30">
      <c r="A453" s="155"/>
      <c r="B453" s="398"/>
      <c r="C453" s="405"/>
      <c r="D453" s="398"/>
      <c r="E453" s="400"/>
      <c r="F453" s="401"/>
      <c r="G453" s="398"/>
      <c r="H453" s="400"/>
      <c r="I453" s="398"/>
      <c r="J453" s="398"/>
      <c r="K453" s="398"/>
      <c r="L453" s="398"/>
      <c r="M453" s="398"/>
      <c r="N453" s="398"/>
      <c r="O453" s="398"/>
      <c r="P453" s="398"/>
      <c r="Q453" s="718"/>
      <c r="R453" s="402"/>
      <c r="S453" s="398"/>
      <c r="T453" s="398"/>
      <c r="U453" s="398"/>
      <c r="V453" s="398"/>
      <c r="W453" s="398"/>
      <c r="X453" s="398"/>
      <c r="Y453" s="398"/>
      <c r="Z453" s="398"/>
      <c r="AA453" s="398"/>
      <c r="AB453" s="398"/>
      <c r="AC453" s="398"/>
      <c r="AD453" s="398"/>
    </row>
    <row r="454" spans="1:30">
      <c r="A454" s="155"/>
      <c r="B454" s="398"/>
      <c r="C454" s="405"/>
      <c r="D454" s="398"/>
      <c r="E454" s="400"/>
      <c r="F454" s="401"/>
      <c r="G454" s="398"/>
      <c r="H454" s="400"/>
      <c r="I454" s="398"/>
      <c r="J454" s="398"/>
      <c r="K454" s="398"/>
      <c r="L454" s="398"/>
      <c r="M454" s="398"/>
      <c r="N454" s="398"/>
      <c r="O454" s="398"/>
      <c r="P454" s="398"/>
      <c r="Q454" s="718"/>
      <c r="R454" s="402"/>
      <c r="S454" s="398"/>
      <c r="T454" s="398"/>
      <c r="U454" s="398"/>
      <c r="V454" s="398"/>
      <c r="W454" s="398"/>
      <c r="X454" s="398"/>
      <c r="Y454" s="398"/>
      <c r="Z454" s="398"/>
      <c r="AA454" s="398"/>
      <c r="AB454" s="398"/>
      <c r="AC454" s="398"/>
      <c r="AD454" s="398"/>
    </row>
    <row r="455" spans="1:30">
      <c r="A455" s="155"/>
      <c r="B455" s="398"/>
      <c r="C455" s="405"/>
      <c r="D455" s="398"/>
      <c r="E455" s="400"/>
      <c r="F455" s="401"/>
      <c r="G455" s="398"/>
      <c r="H455" s="400"/>
      <c r="I455" s="398"/>
      <c r="J455" s="398"/>
      <c r="K455" s="398"/>
      <c r="L455" s="398"/>
      <c r="M455" s="398"/>
      <c r="N455" s="398"/>
      <c r="O455" s="398"/>
      <c r="P455" s="398"/>
      <c r="Q455" s="718"/>
      <c r="R455" s="402"/>
      <c r="S455" s="398"/>
      <c r="T455" s="398"/>
      <c r="U455" s="398"/>
      <c r="V455" s="398"/>
      <c r="W455" s="398"/>
      <c r="X455" s="398"/>
      <c r="Y455" s="398"/>
      <c r="Z455" s="398"/>
      <c r="AA455" s="398"/>
      <c r="AB455" s="398"/>
      <c r="AC455" s="398"/>
      <c r="AD455" s="398"/>
    </row>
    <row r="456" spans="1:30">
      <c r="A456" s="155"/>
      <c r="B456" s="398"/>
      <c r="C456" s="405"/>
      <c r="D456" s="398"/>
      <c r="E456" s="400"/>
      <c r="F456" s="401"/>
      <c r="G456" s="398"/>
      <c r="H456" s="400"/>
      <c r="I456" s="398"/>
      <c r="J456" s="398"/>
      <c r="K456" s="398"/>
      <c r="L456" s="398"/>
      <c r="M456" s="398"/>
      <c r="N456" s="398"/>
      <c r="O456" s="398"/>
      <c r="P456" s="398"/>
      <c r="Q456" s="718"/>
      <c r="R456" s="402"/>
      <c r="S456" s="398"/>
      <c r="T456" s="398"/>
      <c r="U456" s="398"/>
      <c r="V456" s="398"/>
      <c r="W456" s="398"/>
      <c r="X456" s="398"/>
      <c r="Y456" s="398"/>
      <c r="Z456" s="398"/>
      <c r="AA456" s="398"/>
      <c r="AB456" s="398"/>
      <c r="AC456" s="398"/>
      <c r="AD456" s="398"/>
    </row>
    <row r="457" spans="1:30">
      <c r="A457" s="155"/>
      <c r="B457" s="398"/>
      <c r="C457" s="405"/>
      <c r="D457" s="398"/>
      <c r="E457" s="400"/>
      <c r="F457" s="401"/>
      <c r="G457" s="398"/>
      <c r="H457" s="400"/>
      <c r="I457" s="398"/>
      <c r="J457" s="398"/>
      <c r="K457" s="398"/>
      <c r="L457" s="398"/>
      <c r="M457" s="398"/>
      <c r="N457" s="398"/>
      <c r="O457" s="398"/>
      <c r="P457" s="398"/>
      <c r="Q457" s="718"/>
      <c r="R457" s="402"/>
      <c r="S457" s="398"/>
      <c r="T457" s="398"/>
      <c r="U457" s="398"/>
      <c r="V457" s="398"/>
      <c r="W457" s="398"/>
      <c r="X457" s="398"/>
      <c r="Y457" s="398"/>
      <c r="Z457" s="398"/>
      <c r="AA457" s="398"/>
      <c r="AB457" s="398"/>
      <c r="AC457" s="398"/>
      <c r="AD457" s="398"/>
    </row>
    <row r="458" spans="1:30">
      <c r="A458" s="155"/>
      <c r="B458" s="398"/>
      <c r="C458" s="405"/>
      <c r="D458" s="398"/>
      <c r="E458" s="400"/>
      <c r="F458" s="401"/>
      <c r="G458" s="398"/>
      <c r="H458" s="400"/>
      <c r="I458" s="398"/>
      <c r="J458" s="398"/>
      <c r="K458" s="398"/>
      <c r="L458" s="398"/>
      <c r="M458" s="398"/>
      <c r="N458" s="398"/>
      <c r="O458" s="398"/>
      <c r="P458" s="398"/>
      <c r="Q458" s="718"/>
      <c r="R458" s="402"/>
      <c r="S458" s="398"/>
      <c r="T458" s="398"/>
      <c r="U458" s="398"/>
      <c r="V458" s="398"/>
      <c r="W458" s="398"/>
      <c r="X458" s="398"/>
      <c r="Y458" s="398"/>
      <c r="Z458" s="398"/>
      <c r="AA458" s="398"/>
      <c r="AB458" s="398"/>
      <c r="AC458" s="398"/>
      <c r="AD458" s="398"/>
    </row>
    <row r="459" spans="1:30">
      <c r="A459" s="155"/>
      <c r="B459" s="398"/>
      <c r="C459" s="405"/>
      <c r="D459" s="398"/>
      <c r="E459" s="400"/>
      <c r="F459" s="401"/>
      <c r="G459" s="398"/>
      <c r="H459" s="400"/>
      <c r="I459" s="398"/>
      <c r="J459" s="398"/>
      <c r="K459" s="398"/>
      <c r="L459" s="398"/>
      <c r="M459" s="398"/>
      <c r="N459" s="398"/>
      <c r="O459" s="398"/>
      <c r="P459" s="398"/>
      <c r="Q459" s="718"/>
      <c r="R459" s="402"/>
      <c r="S459" s="398"/>
      <c r="T459" s="398"/>
      <c r="U459" s="398"/>
      <c r="V459" s="398"/>
      <c r="W459" s="398"/>
      <c r="X459" s="398"/>
      <c r="Y459" s="398"/>
      <c r="Z459" s="398"/>
      <c r="AA459" s="398"/>
      <c r="AB459" s="398"/>
      <c r="AC459" s="398"/>
      <c r="AD459" s="398"/>
    </row>
    <row r="460" spans="1:30">
      <c r="A460" s="155"/>
      <c r="B460" s="398"/>
      <c r="C460" s="405"/>
      <c r="D460" s="398"/>
      <c r="E460" s="400"/>
      <c r="F460" s="401"/>
      <c r="G460" s="398"/>
      <c r="H460" s="400"/>
      <c r="I460" s="398"/>
      <c r="J460" s="398"/>
      <c r="K460" s="398"/>
      <c r="L460" s="398"/>
      <c r="M460" s="398"/>
      <c r="N460" s="398"/>
      <c r="O460" s="398"/>
      <c r="P460" s="398"/>
      <c r="Q460" s="718"/>
      <c r="R460" s="402"/>
      <c r="S460" s="398"/>
      <c r="T460" s="398"/>
      <c r="U460" s="398"/>
      <c r="V460" s="398"/>
      <c r="W460" s="398"/>
      <c r="X460" s="398"/>
      <c r="Y460" s="398"/>
      <c r="Z460" s="398"/>
      <c r="AA460" s="398"/>
      <c r="AB460" s="398"/>
      <c r="AC460" s="398"/>
      <c r="AD460" s="398"/>
    </row>
    <row r="461" spans="1:30">
      <c r="A461" s="155"/>
      <c r="B461" s="398"/>
      <c r="C461" s="405"/>
      <c r="D461" s="398"/>
      <c r="E461" s="400"/>
      <c r="F461" s="401"/>
      <c r="G461" s="398"/>
      <c r="H461" s="400"/>
      <c r="I461" s="398"/>
      <c r="J461" s="398"/>
      <c r="K461" s="398"/>
      <c r="L461" s="398"/>
      <c r="M461" s="398"/>
      <c r="N461" s="398"/>
      <c r="O461" s="398"/>
      <c r="P461" s="398"/>
      <c r="Q461" s="718"/>
      <c r="R461" s="402"/>
      <c r="S461" s="398"/>
      <c r="T461" s="398"/>
      <c r="U461" s="398"/>
      <c r="V461" s="398"/>
      <c r="W461" s="398"/>
      <c r="X461" s="398"/>
      <c r="Y461" s="398"/>
      <c r="Z461" s="398"/>
      <c r="AA461" s="398"/>
      <c r="AB461" s="398"/>
      <c r="AC461" s="398"/>
      <c r="AD461" s="398"/>
    </row>
    <row r="462" spans="1:30">
      <c r="A462" s="155"/>
      <c r="B462" s="398"/>
      <c r="C462" s="405"/>
      <c r="D462" s="398"/>
      <c r="E462" s="400"/>
      <c r="F462" s="401"/>
      <c r="G462" s="398"/>
      <c r="H462" s="400"/>
      <c r="I462" s="398"/>
      <c r="J462" s="398"/>
      <c r="K462" s="398"/>
      <c r="L462" s="398"/>
      <c r="M462" s="398"/>
      <c r="N462" s="398"/>
      <c r="O462" s="398"/>
      <c r="P462" s="398"/>
      <c r="Q462" s="718"/>
      <c r="R462" s="402"/>
      <c r="S462" s="398"/>
      <c r="T462" s="398"/>
      <c r="U462" s="398"/>
      <c r="V462" s="398"/>
      <c r="W462" s="398"/>
      <c r="X462" s="398"/>
      <c r="Y462" s="398"/>
      <c r="Z462" s="398"/>
      <c r="AA462" s="398"/>
      <c r="AB462" s="398"/>
      <c r="AC462" s="398"/>
      <c r="AD462" s="398"/>
    </row>
    <row r="463" spans="1:30">
      <c r="A463" s="155"/>
      <c r="B463" s="398"/>
      <c r="C463" s="405"/>
      <c r="D463" s="398"/>
      <c r="E463" s="400"/>
      <c r="F463" s="401"/>
      <c r="G463" s="398"/>
      <c r="H463" s="400"/>
      <c r="I463" s="398"/>
      <c r="J463" s="398"/>
      <c r="K463" s="398"/>
      <c r="L463" s="398"/>
      <c r="M463" s="398"/>
      <c r="N463" s="398"/>
      <c r="O463" s="398"/>
      <c r="P463" s="398"/>
      <c r="Q463" s="718"/>
      <c r="R463" s="402"/>
      <c r="S463" s="398"/>
      <c r="T463" s="398"/>
      <c r="U463" s="398"/>
      <c r="V463" s="398"/>
      <c r="W463" s="398"/>
      <c r="X463" s="398"/>
      <c r="Y463" s="398"/>
      <c r="Z463" s="398"/>
      <c r="AA463" s="398"/>
      <c r="AB463" s="398"/>
      <c r="AC463" s="398"/>
      <c r="AD463" s="398"/>
    </row>
    <row r="464" spans="1:30">
      <c r="A464" s="155"/>
      <c r="B464" s="398"/>
      <c r="C464" s="405"/>
      <c r="D464" s="398"/>
      <c r="E464" s="400"/>
      <c r="F464" s="401"/>
      <c r="G464" s="398"/>
      <c r="H464" s="400"/>
      <c r="I464" s="398"/>
      <c r="J464" s="398"/>
      <c r="K464" s="398"/>
      <c r="L464" s="398"/>
      <c r="M464" s="398"/>
      <c r="N464" s="398"/>
      <c r="O464" s="398"/>
      <c r="P464" s="398"/>
      <c r="Q464" s="718"/>
      <c r="R464" s="402"/>
      <c r="S464" s="398"/>
      <c r="T464" s="398"/>
      <c r="U464" s="398"/>
      <c r="V464" s="398"/>
      <c r="W464" s="398"/>
      <c r="X464" s="398"/>
      <c r="Y464" s="398"/>
      <c r="Z464" s="398"/>
      <c r="AA464" s="398"/>
      <c r="AB464" s="398"/>
      <c r="AC464" s="398"/>
      <c r="AD464" s="398"/>
    </row>
    <row r="465" spans="1:30">
      <c r="A465" s="155"/>
      <c r="B465" s="398"/>
      <c r="C465" s="405"/>
      <c r="D465" s="398"/>
      <c r="E465" s="400"/>
      <c r="F465" s="401"/>
      <c r="G465" s="398"/>
      <c r="H465" s="400"/>
      <c r="I465" s="398"/>
      <c r="J465" s="398"/>
      <c r="K465" s="398"/>
      <c r="L465" s="398"/>
      <c r="M465" s="398"/>
      <c r="N465" s="398"/>
      <c r="O465" s="398"/>
      <c r="P465" s="398"/>
      <c r="Q465" s="718"/>
      <c r="R465" s="402"/>
      <c r="S465" s="398"/>
      <c r="T465" s="398"/>
      <c r="U465" s="398"/>
      <c r="V465" s="398"/>
      <c r="W465" s="398"/>
      <c r="X465" s="398"/>
      <c r="Y465" s="398"/>
      <c r="Z465" s="398"/>
      <c r="AA465" s="398"/>
      <c r="AB465" s="398"/>
      <c r="AC465" s="398"/>
      <c r="AD465" s="398"/>
    </row>
    <row r="466" spans="1:30">
      <c r="A466" s="155"/>
      <c r="B466" s="398"/>
      <c r="C466" s="405"/>
      <c r="D466" s="398"/>
      <c r="E466" s="400"/>
      <c r="F466" s="401"/>
      <c r="G466" s="398"/>
      <c r="H466" s="400"/>
      <c r="I466" s="398"/>
      <c r="J466" s="398"/>
      <c r="K466" s="398"/>
      <c r="L466" s="398"/>
      <c r="M466" s="398"/>
      <c r="N466" s="398"/>
      <c r="O466" s="398"/>
      <c r="P466" s="398"/>
      <c r="Q466" s="718"/>
      <c r="R466" s="402"/>
      <c r="S466" s="398"/>
      <c r="T466" s="398"/>
      <c r="U466" s="398"/>
      <c r="V466" s="398"/>
      <c r="W466" s="398"/>
      <c r="X466" s="398"/>
      <c r="Y466" s="398"/>
      <c r="Z466" s="398"/>
      <c r="AA466" s="398"/>
      <c r="AB466" s="398"/>
      <c r="AC466" s="398"/>
      <c r="AD466" s="398"/>
    </row>
    <row r="467" spans="1:30">
      <c r="A467" s="155"/>
      <c r="B467" s="398"/>
      <c r="C467" s="405"/>
      <c r="D467" s="398"/>
      <c r="E467" s="400"/>
      <c r="F467" s="401"/>
      <c r="G467" s="398"/>
      <c r="H467" s="400"/>
      <c r="I467" s="398"/>
      <c r="J467" s="398"/>
      <c r="K467" s="398"/>
      <c r="L467" s="398"/>
      <c r="M467" s="398"/>
      <c r="N467" s="398"/>
      <c r="O467" s="398"/>
      <c r="P467" s="398"/>
      <c r="Q467" s="718"/>
      <c r="R467" s="402"/>
      <c r="S467" s="398"/>
      <c r="T467" s="398"/>
      <c r="U467" s="398"/>
      <c r="V467" s="398"/>
      <c r="W467" s="398"/>
      <c r="X467" s="398"/>
      <c r="Y467" s="398"/>
      <c r="Z467" s="398"/>
      <c r="AA467" s="398"/>
      <c r="AB467" s="398"/>
      <c r="AC467" s="398"/>
      <c r="AD467" s="398"/>
    </row>
    <row r="468" spans="1:30">
      <c r="A468" s="155"/>
      <c r="B468" s="398"/>
      <c r="C468" s="405"/>
      <c r="D468" s="398"/>
      <c r="E468" s="400"/>
      <c r="F468" s="401"/>
      <c r="G468" s="398"/>
      <c r="H468" s="400"/>
      <c r="I468" s="398"/>
      <c r="J468" s="398"/>
      <c r="K468" s="398"/>
      <c r="L468" s="398"/>
      <c r="M468" s="398"/>
      <c r="N468" s="398"/>
      <c r="O468" s="398"/>
      <c r="P468" s="398"/>
      <c r="Q468" s="718"/>
      <c r="R468" s="402"/>
      <c r="S468" s="398"/>
      <c r="T468" s="398"/>
      <c r="U468" s="398"/>
      <c r="V468" s="398"/>
      <c r="W468" s="398"/>
      <c r="X468" s="398"/>
      <c r="Y468" s="398"/>
      <c r="Z468" s="398"/>
      <c r="AA468" s="398"/>
      <c r="AB468" s="398"/>
      <c r="AC468" s="398"/>
      <c r="AD468" s="398"/>
    </row>
    <row r="469" spans="1:30">
      <c r="A469" s="155"/>
      <c r="B469" s="398"/>
      <c r="C469" s="405"/>
      <c r="D469" s="398"/>
      <c r="E469" s="400"/>
      <c r="F469" s="401"/>
      <c r="G469" s="398"/>
      <c r="H469" s="400"/>
      <c r="I469" s="398"/>
      <c r="J469" s="398"/>
      <c r="K469" s="398"/>
      <c r="L469" s="398"/>
      <c r="M469" s="398"/>
      <c r="N469" s="398"/>
      <c r="O469" s="398"/>
      <c r="P469" s="398"/>
      <c r="Q469" s="718"/>
      <c r="R469" s="402"/>
      <c r="S469" s="398"/>
      <c r="T469" s="398"/>
      <c r="U469" s="398"/>
      <c r="V469" s="398"/>
      <c r="W469" s="398"/>
      <c r="X469" s="398"/>
      <c r="Y469" s="398"/>
      <c r="Z469" s="398"/>
      <c r="AA469" s="398"/>
      <c r="AB469" s="398"/>
      <c r="AC469" s="398"/>
      <c r="AD469" s="398"/>
    </row>
    <row r="470" spans="1:30">
      <c r="A470" s="155"/>
      <c r="B470" s="398"/>
      <c r="C470" s="405"/>
      <c r="D470" s="398"/>
      <c r="E470" s="400"/>
      <c r="F470" s="401"/>
      <c r="G470" s="398"/>
      <c r="H470" s="400"/>
      <c r="I470" s="398"/>
      <c r="J470" s="398"/>
      <c r="K470" s="398"/>
      <c r="L470" s="398"/>
      <c r="M470" s="398"/>
      <c r="N470" s="398"/>
      <c r="O470" s="398"/>
      <c r="P470" s="398"/>
      <c r="Q470" s="718"/>
      <c r="R470" s="402"/>
      <c r="S470" s="398"/>
      <c r="T470" s="398"/>
      <c r="U470" s="398"/>
      <c r="V470" s="398"/>
      <c r="W470" s="398"/>
      <c r="X470" s="398"/>
      <c r="Y470" s="398"/>
      <c r="Z470" s="398"/>
      <c r="AA470" s="398"/>
      <c r="AB470" s="398"/>
      <c r="AC470" s="398"/>
      <c r="AD470" s="398"/>
    </row>
    <row r="471" spans="1:30">
      <c r="A471" s="155"/>
      <c r="B471" s="398"/>
      <c r="C471" s="405"/>
      <c r="D471" s="398"/>
      <c r="E471" s="400"/>
      <c r="F471" s="401"/>
      <c r="G471" s="398"/>
      <c r="H471" s="400"/>
      <c r="I471" s="398"/>
      <c r="J471" s="398"/>
      <c r="K471" s="398"/>
      <c r="L471" s="398"/>
      <c r="M471" s="398"/>
      <c r="N471" s="398"/>
      <c r="O471" s="398"/>
      <c r="P471" s="398"/>
      <c r="Q471" s="718"/>
      <c r="R471" s="402"/>
      <c r="S471" s="398"/>
      <c r="T471" s="398"/>
      <c r="U471" s="398"/>
      <c r="V471" s="398"/>
      <c r="W471" s="398"/>
      <c r="X471" s="398"/>
      <c r="Y471" s="398"/>
      <c r="Z471" s="398"/>
      <c r="AA471" s="398"/>
      <c r="AB471" s="398"/>
      <c r="AC471" s="398"/>
      <c r="AD471" s="398"/>
    </row>
    <row r="472" spans="1:30">
      <c r="A472" s="155"/>
      <c r="B472" s="398"/>
      <c r="C472" s="405"/>
      <c r="D472" s="398"/>
      <c r="E472" s="400"/>
      <c r="F472" s="401"/>
      <c r="G472" s="398"/>
      <c r="H472" s="400"/>
      <c r="I472" s="398"/>
      <c r="J472" s="398"/>
      <c r="K472" s="398"/>
      <c r="L472" s="398"/>
      <c r="M472" s="398"/>
      <c r="N472" s="398"/>
      <c r="O472" s="398"/>
      <c r="P472" s="398"/>
      <c r="Q472" s="718"/>
      <c r="R472" s="402"/>
      <c r="S472" s="398"/>
      <c r="T472" s="398"/>
      <c r="U472" s="398"/>
      <c r="V472" s="398"/>
      <c r="W472" s="398"/>
      <c r="X472" s="398"/>
      <c r="Y472" s="398"/>
      <c r="Z472" s="398"/>
      <c r="AA472" s="398"/>
      <c r="AB472" s="398"/>
      <c r="AC472" s="398"/>
      <c r="AD472" s="398"/>
    </row>
    <row r="473" spans="1:30">
      <c r="A473" s="155"/>
      <c r="B473" s="398"/>
      <c r="C473" s="405"/>
      <c r="D473" s="398"/>
      <c r="E473" s="400"/>
      <c r="F473" s="401"/>
      <c r="G473" s="398"/>
      <c r="H473" s="400"/>
      <c r="I473" s="398"/>
      <c r="J473" s="398"/>
      <c r="K473" s="398"/>
      <c r="L473" s="398"/>
      <c r="M473" s="398"/>
      <c r="N473" s="398"/>
      <c r="O473" s="398"/>
      <c r="P473" s="398"/>
      <c r="Q473" s="718"/>
      <c r="R473" s="402"/>
      <c r="S473" s="398"/>
      <c r="T473" s="398"/>
      <c r="U473" s="398"/>
      <c r="V473" s="398"/>
      <c r="W473" s="398"/>
      <c r="X473" s="398"/>
      <c r="Y473" s="398"/>
      <c r="Z473" s="398"/>
      <c r="AA473" s="398"/>
      <c r="AB473" s="398"/>
      <c r="AC473" s="398"/>
      <c r="AD473" s="398"/>
    </row>
    <row r="474" spans="1:30">
      <c r="A474" s="155"/>
      <c r="B474" s="398"/>
      <c r="C474" s="405"/>
      <c r="D474" s="398"/>
      <c r="E474" s="400"/>
      <c r="F474" s="401"/>
      <c r="G474" s="398"/>
      <c r="H474" s="400"/>
      <c r="I474" s="398"/>
      <c r="J474" s="398"/>
      <c r="K474" s="398"/>
      <c r="L474" s="398"/>
      <c r="M474" s="398"/>
      <c r="N474" s="398"/>
      <c r="O474" s="398"/>
      <c r="P474" s="398"/>
      <c r="Q474" s="718"/>
      <c r="R474" s="402"/>
      <c r="S474" s="398"/>
      <c r="T474" s="398"/>
      <c r="U474" s="398"/>
      <c r="V474" s="398"/>
      <c r="W474" s="398"/>
      <c r="X474" s="398"/>
      <c r="Y474" s="398"/>
      <c r="Z474" s="398"/>
      <c r="AA474" s="398"/>
      <c r="AB474" s="398"/>
      <c r="AC474" s="398"/>
      <c r="AD474" s="398"/>
    </row>
    <row r="475" spans="1:30">
      <c r="A475" s="155"/>
      <c r="B475" s="398"/>
      <c r="C475" s="405"/>
      <c r="D475" s="398"/>
      <c r="E475" s="400"/>
      <c r="F475" s="401"/>
      <c r="G475" s="398"/>
      <c r="H475" s="400"/>
      <c r="I475" s="398"/>
      <c r="J475" s="398"/>
      <c r="K475" s="398"/>
      <c r="L475" s="398"/>
      <c r="M475" s="398"/>
      <c r="N475" s="398"/>
      <c r="O475" s="398"/>
      <c r="P475" s="398"/>
      <c r="Q475" s="718"/>
      <c r="R475" s="402"/>
      <c r="S475" s="398"/>
      <c r="T475" s="398"/>
      <c r="U475" s="398"/>
      <c r="V475" s="398"/>
      <c r="W475" s="398"/>
      <c r="X475" s="398"/>
      <c r="Y475" s="398"/>
      <c r="Z475" s="398"/>
      <c r="AA475" s="398"/>
      <c r="AB475" s="398"/>
      <c r="AC475" s="398"/>
      <c r="AD475" s="398"/>
    </row>
    <row r="476" spans="1:30">
      <c r="A476" s="155"/>
      <c r="B476" s="398"/>
      <c r="C476" s="405"/>
      <c r="D476" s="398"/>
      <c r="E476" s="400"/>
      <c r="F476" s="401"/>
      <c r="G476" s="398"/>
      <c r="H476" s="400"/>
      <c r="I476" s="398"/>
      <c r="J476" s="398"/>
      <c r="K476" s="398"/>
      <c r="L476" s="398"/>
      <c r="M476" s="398"/>
      <c r="N476" s="398"/>
      <c r="O476" s="398"/>
      <c r="P476" s="398"/>
      <c r="Q476" s="718"/>
      <c r="R476" s="402"/>
      <c r="S476" s="398"/>
      <c r="T476" s="398"/>
      <c r="U476" s="398"/>
      <c r="V476" s="398"/>
      <c r="W476" s="398"/>
      <c r="X476" s="398"/>
      <c r="Y476" s="398"/>
      <c r="Z476" s="398"/>
      <c r="AA476" s="398"/>
      <c r="AB476" s="398"/>
      <c r="AC476" s="398"/>
      <c r="AD476" s="398"/>
    </row>
    <row r="477" spans="1:30">
      <c r="A477" s="155"/>
      <c r="B477" s="398"/>
      <c r="C477" s="405"/>
      <c r="D477" s="398"/>
      <c r="E477" s="400"/>
      <c r="F477" s="401"/>
      <c r="G477" s="398"/>
      <c r="H477" s="400"/>
      <c r="I477" s="398"/>
      <c r="J477" s="398"/>
      <c r="K477" s="398"/>
      <c r="L477" s="398"/>
      <c r="M477" s="398"/>
      <c r="N477" s="398"/>
      <c r="O477" s="398"/>
      <c r="P477" s="398"/>
      <c r="Q477" s="718"/>
      <c r="R477" s="402"/>
      <c r="S477" s="398"/>
      <c r="T477" s="398"/>
      <c r="U477" s="398"/>
      <c r="V477" s="398"/>
      <c r="W477" s="398"/>
      <c r="X477" s="398"/>
      <c r="Y477" s="398"/>
      <c r="Z477" s="398"/>
      <c r="AA477" s="398"/>
      <c r="AB477" s="398"/>
      <c r="AC477" s="398"/>
      <c r="AD477" s="398"/>
    </row>
    <row r="478" spans="1:30">
      <c r="A478" s="155"/>
      <c r="B478" s="398"/>
      <c r="C478" s="405"/>
      <c r="D478" s="398"/>
      <c r="E478" s="400"/>
      <c r="F478" s="401"/>
      <c r="G478" s="398"/>
      <c r="H478" s="400"/>
      <c r="I478" s="398"/>
      <c r="J478" s="398"/>
      <c r="K478" s="398"/>
      <c r="L478" s="398"/>
      <c r="M478" s="398"/>
      <c r="N478" s="398"/>
      <c r="O478" s="398"/>
      <c r="P478" s="398"/>
      <c r="Q478" s="718"/>
      <c r="R478" s="402"/>
      <c r="S478" s="398"/>
      <c r="T478" s="398"/>
      <c r="U478" s="398"/>
      <c r="V478" s="398"/>
      <c r="W478" s="398"/>
      <c r="X478" s="398"/>
      <c r="Y478" s="398"/>
      <c r="Z478" s="398"/>
      <c r="AA478" s="398"/>
      <c r="AB478" s="398"/>
      <c r="AC478" s="398"/>
      <c r="AD478" s="398"/>
    </row>
    <row r="479" spans="1:30">
      <c r="A479" s="155"/>
      <c r="B479" s="398"/>
      <c r="C479" s="405"/>
      <c r="D479" s="398"/>
      <c r="E479" s="400"/>
      <c r="F479" s="401"/>
      <c r="G479" s="398"/>
      <c r="H479" s="400"/>
      <c r="I479" s="398"/>
      <c r="J479" s="398"/>
      <c r="K479" s="398"/>
      <c r="L479" s="398"/>
      <c r="M479" s="398"/>
      <c r="N479" s="398"/>
      <c r="O479" s="398"/>
      <c r="P479" s="398"/>
      <c r="Q479" s="718"/>
      <c r="R479" s="402"/>
      <c r="S479" s="398"/>
      <c r="T479" s="398"/>
      <c r="U479" s="398"/>
      <c r="V479" s="398"/>
      <c r="W479" s="398"/>
      <c r="X479" s="398"/>
      <c r="Y479" s="398"/>
      <c r="Z479" s="398"/>
      <c r="AA479" s="398"/>
      <c r="AB479" s="398"/>
      <c r="AC479" s="398"/>
      <c r="AD479" s="398"/>
    </row>
    <row r="480" spans="1:30">
      <c r="A480" s="155"/>
      <c r="B480" s="398"/>
      <c r="C480" s="405"/>
      <c r="D480" s="398"/>
      <c r="E480" s="400"/>
      <c r="F480" s="401"/>
      <c r="G480" s="398"/>
      <c r="H480" s="400"/>
      <c r="I480" s="398"/>
      <c r="J480" s="398"/>
      <c r="K480" s="398"/>
      <c r="L480" s="398"/>
      <c r="M480" s="398"/>
      <c r="N480" s="398"/>
      <c r="O480" s="398"/>
      <c r="P480" s="398"/>
      <c r="Q480" s="718"/>
      <c r="R480" s="402"/>
      <c r="S480" s="398"/>
      <c r="T480" s="398"/>
      <c r="U480" s="398"/>
      <c r="V480" s="398"/>
      <c r="W480" s="398"/>
      <c r="X480" s="398"/>
      <c r="Y480" s="398"/>
      <c r="Z480" s="398"/>
      <c r="AA480" s="398"/>
      <c r="AB480" s="398"/>
      <c r="AC480" s="398"/>
      <c r="AD480" s="398"/>
    </row>
    <row r="481" spans="1:30">
      <c r="A481" s="155"/>
      <c r="B481" s="398"/>
      <c r="C481" s="405"/>
      <c r="D481" s="398"/>
      <c r="E481" s="400"/>
      <c r="F481" s="401"/>
      <c r="G481" s="398"/>
      <c r="H481" s="400"/>
      <c r="I481" s="398"/>
      <c r="J481" s="398"/>
      <c r="K481" s="398"/>
      <c r="L481" s="398"/>
      <c r="M481" s="398"/>
      <c r="N481" s="398"/>
      <c r="O481" s="398"/>
      <c r="P481" s="398"/>
      <c r="Q481" s="718"/>
      <c r="R481" s="402"/>
      <c r="S481" s="398"/>
      <c r="T481" s="398"/>
      <c r="U481" s="398"/>
      <c r="V481" s="398"/>
      <c r="W481" s="398"/>
      <c r="X481" s="398"/>
      <c r="Y481" s="398"/>
      <c r="Z481" s="398"/>
      <c r="AA481" s="398"/>
      <c r="AB481" s="398"/>
      <c r="AC481" s="398"/>
      <c r="AD481" s="398"/>
    </row>
    <row r="482" spans="1:30">
      <c r="A482" s="155"/>
      <c r="B482" s="398"/>
      <c r="C482" s="405"/>
      <c r="D482" s="398"/>
      <c r="E482" s="400"/>
      <c r="F482" s="401"/>
      <c r="G482" s="398"/>
      <c r="H482" s="400"/>
      <c r="I482" s="398"/>
      <c r="J482" s="398"/>
      <c r="K482" s="398"/>
      <c r="L482" s="398"/>
      <c r="M482" s="398"/>
      <c r="N482" s="398"/>
      <c r="O482" s="398"/>
      <c r="P482" s="398"/>
      <c r="Q482" s="718"/>
      <c r="R482" s="402"/>
      <c r="S482" s="398"/>
      <c r="T482" s="398"/>
      <c r="U482" s="398"/>
      <c r="V482" s="398"/>
      <c r="W482" s="398"/>
      <c r="X482" s="398"/>
      <c r="Y482" s="398"/>
      <c r="Z482" s="398"/>
      <c r="AA482" s="398"/>
      <c r="AB482" s="398"/>
      <c r="AC482" s="398"/>
      <c r="AD482" s="398"/>
    </row>
  </sheetData>
  <sheetProtection algorithmName="SHA-512" hashValue="vLMdXcPl9/z5b7hPPHafc0GnFRmGMGIfWXDg9QdRVnzdWeuwsVzsS9YQ2wBGQeclrwn96JWVT5ggYCGF3S2TNg==" saltValue="h/qHNw2smgNl7BBFHIm/mg==" spinCount="100000" sheet="1" objects="1" scenarios="1"/>
  <mergeCells count="1">
    <mergeCell ref="T5:U5"/>
  </mergeCells>
  <phoneticPr fontId="0" type="noConversion"/>
  <conditionalFormatting sqref="AA5:AD6">
    <cfRule type="cellIs" priority="272" stopIfTrue="1" operator="between">
      <formula>0.000000001</formula>
      <formula>100000000</formula>
    </cfRule>
  </conditionalFormatting>
  <conditionalFormatting sqref="AE5:AP6 Z39:Z1048576">
    <cfRule type="cellIs" priority="26" stopIfTrue="1" operator="between">
      <formula>"0,000000001"</formula>
      <formula>100000000</formula>
    </cfRule>
  </conditionalFormatting>
  <conditionalFormatting sqref="Z1:Z28 Z33:Z38">
    <cfRule type="cellIs" priority="273" stopIfTrue="1" operator="between">
      <formula>"0,000000001"</formula>
      <formula>100000000</formula>
    </cfRule>
  </conditionalFormatting>
  <conditionalFormatting sqref="AQ5:AQ6">
    <cfRule type="cellIs" priority="11" stopIfTrue="1" operator="between">
      <formula>"0,000000001"</formula>
      <formula>100000000</formula>
    </cfRule>
  </conditionalFormatting>
  <conditionalFormatting sqref="Z29:Z32">
    <cfRule type="cellIs" priority="10" stopIfTrue="1" operator="between">
      <formula>"0,000000001"</formula>
      <formula>100000000</formula>
    </cfRule>
  </conditionalFormatting>
  <conditionalFormatting sqref="D1:D1048576 I1:K1048576 F1:F1048576 M1:N1048576 R1:Y1048576">
    <cfRule type="cellIs" priority="274" stopIfTrue="1" operator="between">
      <formula>0.000000001</formula>
      <formula>100000000</formula>
    </cfRule>
  </conditionalFormatting>
  <conditionalFormatting sqref="G1:G1048576">
    <cfRule type="cellIs" dxfId="76" priority="275" stopIfTrue="1" operator="between">
      <formula>6.81</formula>
      <formula>14</formula>
    </cfRule>
    <cfRule type="cellIs" dxfId="75" priority="276" stopIfTrue="1" operator="between">
      <formula>6.5</formula>
      <formula>6.8</formula>
    </cfRule>
    <cfRule type="cellIs" dxfId="74" priority="277" stopIfTrue="1" operator="between">
      <formula>6.2</formula>
      <formula>6.49</formula>
    </cfRule>
    <cfRule type="cellIs" dxfId="73" priority="278" stopIfTrue="1" operator="between">
      <formula>5.6</formula>
      <formula>6.19</formula>
    </cfRule>
    <cfRule type="cellIs" dxfId="72" priority="279" stopIfTrue="1" operator="between">
      <formula>3</formula>
      <formula>5.59</formula>
    </cfRule>
  </conditionalFormatting>
  <conditionalFormatting sqref="E1:E1048576">
    <cfRule type="cellIs" dxfId="71" priority="280" stopIfTrue="1" operator="between">
      <formula>7</formula>
      <formula>30</formula>
    </cfRule>
    <cfRule type="cellIs" dxfId="70" priority="281" stopIfTrue="1" operator="between">
      <formula>5</formula>
      <formula>6.99</formula>
    </cfRule>
    <cfRule type="cellIs" dxfId="69" priority="282" stopIfTrue="1" operator="between">
      <formula>3</formula>
      <formula>4.99</formula>
    </cfRule>
    <cfRule type="cellIs" dxfId="68" priority="283" stopIfTrue="1" operator="between">
      <formula>1</formula>
      <formula>2.99</formula>
    </cfRule>
    <cfRule type="cellIs" dxfId="67" priority="284" stopIfTrue="1" operator="between">
      <formula>0.001</formula>
      <formula>0.99</formula>
    </cfRule>
  </conditionalFormatting>
  <conditionalFormatting sqref="L1:L1048576">
    <cfRule type="cellIs" dxfId="66" priority="285" stopIfTrue="1" operator="between">
      <formula>0.01</formula>
      <formula>12.5</formula>
    </cfRule>
    <cfRule type="cellIs" dxfId="65" priority="286" stopIfTrue="1" operator="between">
      <formula>12.6</formula>
      <formula>25</formula>
    </cfRule>
    <cfRule type="cellIs" dxfId="64" priority="287" stopIfTrue="1" operator="between">
      <formula>26</formula>
      <formula>50</formula>
    </cfRule>
    <cfRule type="cellIs" dxfId="63" priority="288" stopIfTrue="1" operator="between">
      <formula>51</formula>
      <formula>100</formula>
    </cfRule>
    <cfRule type="cellIs" dxfId="62" priority="289" stopIfTrue="1" operator="between">
      <formula>101</formula>
      <formula>2000</formula>
    </cfRule>
  </conditionalFormatting>
  <conditionalFormatting sqref="O1:O1048576">
    <cfRule type="cellIs" dxfId="61" priority="290" stopIfTrue="1" operator="between">
      <formula>0.01</formula>
      <formula>300</formula>
    </cfRule>
    <cfRule type="cellIs" dxfId="60" priority="291" stopIfTrue="1" operator="between">
      <formula>301</formula>
      <formula>625</formula>
    </cfRule>
    <cfRule type="cellIs" dxfId="59" priority="292" stopIfTrue="1" operator="between">
      <formula>626</formula>
      <formula>1250</formula>
    </cfRule>
    <cfRule type="cellIs" dxfId="58" priority="293" stopIfTrue="1" operator="between">
      <formula>1251</formula>
      <formula>5000</formula>
    </cfRule>
    <cfRule type="cellIs" dxfId="57" priority="294" stopIfTrue="1" operator="between">
      <formula>5001</formula>
      <formula>100000</formula>
    </cfRule>
  </conditionalFormatting>
  <conditionalFormatting sqref="H1:H1048576">
    <cfRule type="cellIs" dxfId="56" priority="295" stopIfTrue="1" operator="between">
      <formula>0.01</formula>
      <formula>0.5</formula>
    </cfRule>
    <cfRule type="cellIs" dxfId="55" priority="296" stopIfTrue="1" operator="between">
      <formula>0.51</formula>
      <formula>1</formula>
    </cfRule>
    <cfRule type="cellIs" dxfId="54" priority="297" stopIfTrue="1" operator="between">
      <formula>1.01</formula>
      <formula>2.5</formula>
    </cfRule>
    <cfRule type="cellIs" dxfId="53" priority="298" stopIfTrue="1" operator="between">
      <formula>2.51</formula>
      <formula>7</formula>
    </cfRule>
    <cfRule type="cellIs" dxfId="52" priority="299" stopIfTrue="1" operator="between">
      <formula>7.01</formula>
      <formula>300</formula>
    </cfRule>
  </conditionalFormatting>
  <conditionalFormatting sqref="P1:P1048576">
    <cfRule type="cellIs" dxfId="51" priority="300" stopIfTrue="1" operator="between">
      <formula>0.01</formula>
      <formula>2</formula>
    </cfRule>
    <cfRule type="cellIs" dxfId="50" priority="301" stopIfTrue="1" operator="between">
      <formula>2.01</formula>
      <formula>5</formula>
    </cfRule>
    <cfRule type="cellIs" dxfId="49" priority="302" stopIfTrue="1" operator="between">
      <formula>5.01</formula>
      <formula>12</formula>
    </cfRule>
    <cfRule type="cellIs" dxfId="48" priority="303" stopIfTrue="1" operator="between">
      <formula>12.01</formula>
      <formula>25</formula>
    </cfRule>
    <cfRule type="cellIs" dxfId="47" priority="304" stopIfTrue="1" operator="between">
      <formula>25.01</formula>
      <formula>300</formula>
    </cfRule>
  </conditionalFormatting>
  <conditionalFormatting sqref="Q1:Q1048576">
    <cfRule type="cellIs" dxfId="46" priority="305" stopIfTrue="1" operator="between">
      <formula>8</formula>
      <formula>100</formula>
    </cfRule>
    <cfRule type="cellIs" dxfId="45" priority="306" stopIfTrue="1" operator="between">
      <formula>5</formula>
      <formula>7.99</formula>
    </cfRule>
    <cfRule type="cellIs" dxfId="44" priority="307" stopIfTrue="1" operator="between">
      <formula>2.5</formula>
      <formula>4.99</formula>
    </cfRule>
    <cfRule type="cellIs" dxfId="43" priority="308" stopIfTrue="1" operator="between">
      <formula>1</formula>
      <formula>2.49</formula>
    </cfRule>
    <cfRule type="cellIs" dxfId="42" priority="309" stopIfTrue="1" operator="between">
      <formula>0.01</formula>
      <formula>0.99</formula>
    </cfRule>
  </conditionalFormatting>
  <pageMargins left="0.19685039370078741" right="0.23622047244094491" top="0.71" bottom="0.27" header="0.51181102362204722" footer="0.19"/>
  <pageSetup paperSize="9" scale="70" orientation="landscape" r:id="rId1"/>
  <headerFooter alignWithMargins="0"/>
  <ignoredErrors>
    <ignoredError sqref="D266:N372 Q266:Q372 Q250 D250:N25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08" r:id="rId4" name="Button 944">
              <controlPr defaultSize="0" autoFill="0" autoPict="0" macro="[0]!Färg">
                <anchor moveWithCells="1" sizeWithCells="1">
                  <from>
                    <xdr:col>3</xdr:col>
                    <xdr:colOff>0</xdr:colOff>
                    <xdr:row>0</xdr:row>
                    <xdr:rowOff>438150</xdr:rowOff>
                  </from>
                  <to>
                    <xdr:col>5</xdr:col>
                    <xdr:colOff>31750</xdr:colOff>
                    <xdr:row>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9" r:id="rId5" name="Button 945">
              <controlPr defaultSize="0" autoFill="0" autoPict="0" macro="[0]!Avmarkera">
                <anchor moveWithCells="1" sizeWithCells="1">
                  <from>
                    <xdr:col>5</xdr:col>
                    <xdr:colOff>158750</xdr:colOff>
                    <xdr:row>0</xdr:row>
                    <xdr:rowOff>438150</xdr:rowOff>
                  </from>
                  <to>
                    <xdr:col>7</xdr:col>
                    <xdr:colOff>336550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7AD9-4CF1-4477-94D6-8E6FF2883345}">
  <sheetPr codeName="Blad10">
    <tabColor rgb="FF00B050"/>
  </sheetPr>
  <dimension ref="A1:AR131"/>
  <sheetViews>
    <sheetView showRowColHeaders="0" zoomScaleNormal="100" workbookViewId="0">
      <pane xSplit="2" ySplit="4" topLeftCell="C5" activePane="bottomRight" state="frozen"/>
      <selection pane="topRight"/>
      <selection pane="bottomLeft"/>
      <selection pane="bottomRight" activeCell="Z27" sqref="Z27"/>
    </sheetView>
  </sheetViews>
  <sheetFormatPr defaultColWidth="6.90625" defaultRowHeight="11.5"/>
  <cols>
    <col min="1" max="1" width="7" style="1" hidden="1" customWidth="1"/>
    <col min="2" max="2" width="41.36328125" style="3" customWidth="1"/>
    <col min="3" max="3" width="11.54296875" style="221" customWidth="1"/>
    <col min="4" max="4" width="6.36328125" style="78" customWidth="1"/>
    <col min="5" max="5" width="7" style="78" customWidth="1"/>
    <col min="6" max="6" width="5.453125" style="6" customWidth="1"/>
    <col min="7" max="7" width="6" style="78" customWidth="1"/>
    <col min="8" max="8" width="6" style="8" customWidth="1"/>
    <col min="9" max="9" width="5.90625" style="78" customWidth="1"/>
    <col min="10" max="10" width="6" style="78" customWidth="1"/>
    <col min="11" max="11" width="6.36328125" style="6" customWidth="1"/>
    <col min="12" max="12" width="6" style="6" customWidth="1"/>
    <col min="13" max="13" width="8.90625" style="6" customWidth="1"/>
    <col min="14" max="14" width="7" style="6" customWidth="1"/>
    <col min="15" max="15" width="8.90625" style="6" customWidth="1"/>
    <col min="16" max="16" width="24" style="104" customWidth="1"/>
    <col min="17" max="16384" width="6.90625" style="3"/>
  </cols>
  <sheetData>
    <row r="1" spans="1:44" s="388" customFormat="1" ht="77.25" customHeight="1">
      <c r="A1" s="389"/>
      <c r="B1" s="390" t="s">
        <v>405</v>
      </c>
      <c r="C1" s="391"/>
      <c r="D1" s="392"/>
      <c r="E1" s="392"/>
      <c r="F1" s="393"/>
      <c r="G1" s="392"/>
      <c r="H1" s="394"/>
      <c r="I1" s="392"/>
      <c r="J1" s="392"/>
      <c r="K1" s="393"/>
      <c r="L1" s="393"/>
      <c r="M1" s="393"/>
      <c r="N1" s="393"/>
      <c r="O1" s="393"/>
      <c r="P1" s="395"/>
    </row>
    <row r="2" spans="1:44" s="388" customFormat="1" ht="12.75" customHeight="1">
      <c r="A2" s="389"/>
      <c r="C2" s="391"/>
      <c r="D2" s="396" t="s">
        <v>343</v>
      </c>
      <c r="E2" s="392"/>
      <c r="F2" s="393"/>
      <c r="G2" s="392"/>
      <c r="H2" s="394"/>
      <c r="I2" s="392"/>
      <c r="J2" s="392"/>
      <c r="K2" s="393"/>
      <c r="L2" s="393"/>
      <c r="M2" s="393"/>
      <c r="N2" s="393"/>
      <c r="O2" s="396"/>
      <c r="P2" s="395"/>
    </row>
    <row r="3" spans="1:44" s="160" customFormat="1" ht="11.25" customHeight="1">
      <c r="A3" s="162" t="s">
        <v>2</v>
      </c>
      <c r="B3" s="181" t="s">
        <v>3</v>
      </c>
      <c r="C3" s="219" t="s">
        <v>4</v>
      </c>
      <c r="D3" s="183" t="s">
        <v>335</v>
      </c>
      <c r="E3" s="183" t="s">
        <v>336</v>
      </c>
      <c r="F3" s="184" t="s">
        <v>337</v>
      </c>
      <c r="G3" s="183" t="s">
        <v>330</v>
      </c>
      <c r="H3" s="183" t="s">
        <v>338</v>
      </c>
      <c r="I3" s="183" t="s">
        <v>339</v>
      </c>
      <c r="J3" s="183" t="s">
        <v>340</v>
      </c>
      <c r="K3" s="183" t="s">
        <v>331</v>
      </c>
      <c r="L3" s="183" t="s">
        <v>341</v>
      </c>
      <c r="M3" s="183" t="s">
        <v>342</v>
      </c>
      <c r="N3" s="183" t="s">
        <v>332</v>
      </c>
      <c r="O3" s="183" t="s">
        <v>334</v>
      </c>
      <c r="P3" s="181" t="s">
        <v>13</v>
      </c>
    </row>
    <row r="4" spans="1:44" s="161" customFormat="1" ht="12">
      <c r="A4" s="163" t="s">
        <v>14</v>
      </c>
      <c r="B4" s="164" t="s">
        <v>15</v>
      </c>
      <c r="C4" s="220" t="s">
        <v>16</v>
      </c>
      <c r="D4" s="177" t="s">
        <v>169</v>
      </c>
      <c r="E4" s="177" t="s">
        <v>169</v>
      </c>
      <c r="F4" s="177" t="s">
        <v>169</v>
      </c>
      <c r="G4" s="177" t="s">
        <v>106</v>
      </c>
      <c r="H4" s="177" t="s">
        <v>169</v>
      </c>
      <c r="I4" s="177" t="s">
        <v>169</v>
      </c>
      <c r="J4" s="177" t="s">
        <v>333</v>
      </c>
      <c r="K4" s="177" t="s">
        <v>106</v>
      </c>
      <c r="L4" s="177" t="s">
        <v>169</v>
      </c>
      <c r="M4" s="177" t="s">
        <v>169</v>
      </c>
      <c r="N4" s="177" t="s">
        <v>106</v>
      </c>
      <c r="O4" s="177" t="s">
        <v>429</v>
      </c>
      <c r="P4" s="165"/>
    </row>
    <row r="5" spans="1:44" s="388" customFormat="1" ht="12" customHeight="1">
      <c r="A5" s="118">
        <v>3</v>
      </c>
      <c r="B5" s="102" t="s">
        <v>252</v>
      </c>
      <c r="C5" s="712">
        <v>45671</v>
      </c>
      <c r="D5" s="212">
        <v>0.76</v>
      </c>
      <c r="E5" s="701">
        <v>3.2000000000000001E-2</v>
      </c>
      <c r="F5" s="704" t="s">
        <v>426</v>
      </c>
      <c r="G5" s="195">
        <v>76</v>
      </c>
      <c r="H5" s="192">
        <v>1.2</v>
      </c>
      <c r="I5" s="212">
        <v>0.12</v>
      </c>
      <c r="J5" s="194" t="s">
        <v>149</v>
      </c>
      <c r="K5" s="192">
        <v>6.1</v>
      </c>
      <c r="L5" s="212">
        <v>1.1000000000000001</v>
      </c>
      <c r="M5" s="192" t="s">
        <v>65</v>
      </c>
      <c r="N5" s="192">
        <v>7.6</v>
      </c>
      <c r="O5" s="195">
        <v>12</v>
      </c>
      <c r="P5" s="309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</row>
    <row r="6" spans="1:44" s="102" customFormat="1" ht="12" customHeight="1">
      <c r="A6" s="117">
        <v>3</v>
      </c>
      <c r="B6" s="102" t="s">
        <v>252</v>
      </c>
      <c r="C6" s="713">
        <v>45706</v>
      </c>
      <c r="D6" s="212">
        <v>0.68</v>
      </c>
      <c r="E6" s="701" t="s">
        <v>433</v>
      </c>
      <c r="F6" s="704" t="s">
        <v>426</v>
      </c>
      <c r="G6" s="195">
        <v>77</v>
      </c>
      <c r="H6" s="192">
        <v>1.1000000000000001</v>
      </c>
      <c r="I6" s="212">
        <v>9.8000000000000004E-2</v>
      </c>
      <c r="J6" s="194" t="s">
        <v>149</v>
      </c>
      <c r="K6" s="192">
        <v>6.3</v>
      </c>
      <c r="L6" s="212">
        <v>1.1000000000000001</v>
      </c>
      <c r="M6" s="192" t="s">
        <v>65</v>
      </c>
      <c r="N6" s="192">
        <v>7.8</v>
      </c>
      <c r="O6" s="195">
        <v>12</v>
      </c>
      <c r="P6" s="309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</row>
    <row r="7" spans="1:44" s="102" customFormat="1" ht="12" customHeight="1">
      <c r="A7" s="118">
        <v>3</v>
      </c>
      <c r="B7" s="102" t="s">
        <v>252</v>
      </c>
      <c r="C7" s="713">
        <v>45734</v>
      </c>
      <c r="D7" s="212">
        <v>0.62</v>
      </c>
      <c r="E7" s="701">
        <v>2.5000000000000001E-2</v>
      </c>
      <c r="F7" s="704" t="s">
        <v>426</v>
      </c>
      <c r="G7" s="195">
        <v>85</v>
      </c>
      <c r="H7" s="192">
        <v>0.88</v>
      </c>
      <c r="I7" s="212">
        <v>9.0999999999999998E-2</v>
      </c>
      <c r="J7" s="194" t="s">
        <v>149</v>
      </c>
      <c r="K7" s="192">
        <v>6.8</v>
      </c>
      <c r="L7" s="212">
        <v>0.98</v>
      </c>
      <c r="M7" s="192" t="s">
        <v>65</v>
      </c>
      <c r="N7" s="192">
        <v>7.7</v>
      </c>
      <c r="O7" s="195">
        <v>13</v>
      </c>
      <c r="P7" s="309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</row>
    <row r="8" spans="1:44" s="102" customFormat="1" ht="12" customHeight="1">
      <c r="A8" s="117">
        <v>3</v>
      </c>
      <c r="B8" s="102" t="s">
        <v>252</v>
      </c>
      <c r="C8" s="713">
        <v>45761</v>
      </c>
      <c r="D8" s="212">
        <v>0.76</v>
      </c>
      <c r="E8" s="701">
        <v>2.5999999999999999E-2</v>
      </c>
      <c r="F8" s="704" t="s">
        <v>426</v>
      </c>
      <c r="G8" s="195">
        <v>87</v>
      </c>
      <c r="H8" s="192">
        <v>0.99</v>
      </c>
      <c r="I8" s="212">
        <v>8.6999999999999994E-2</v>
      </c>
      <c r="J8" s="194" t="s">
        <v>149</v>
      </c>
      <c r="K8" s="192">
        <v>7.1</v>
      </c>
      <c r="L8" s="212">
        <v>1.1000000000000001</v>
      </c>
      <c r="M8" s="192">
        <v>1.2</v>
      </c>
      <c r="N8" s="192">
        <v>7.9</v>
      </c>
      <c r="O8" s="195">
        <v>14</v>
      </c>
      <c r="P8" s="309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/>
      <c r="AQ8" s="412"/>
      <c r="AR8" s="412"/>
    </row>
    <row r="9" spans="1:44" s="102" customFormat="1" ht="12" customHeight="1">
      <c r="A9" s="118">
        <v>3</v>
      </c>
      <c r="B9" s="102" t="s">
        <v>252</v>
      </c>
      <c r="C9" s="713">
        <v>45790</v>
      </c>
      <c r="D9" s="212">
        <v>0.92</v>
      </c>
      <c r="E9" s="701" t="s">
        <v>433</v>
      </c>
      <c r="F9" s="704" t="s">
        <v>426</v>
      </c>
      <c r="G9" s="195">
        <v>86</v>
      </c>
      <c r="H9" s="192">
        <v>0.84</v>
      </c>
      <c r="I9" s="212">
        <v>7.3999999999999996E-2</v>
      </c>
      <c r="J9" s="194" t="s">
        <v>149</v>
      </c>
      <c r="K9" s="192">
        <v>6.9</v>
      </c>
      <c r="L9" s="212">
        <v>0.92</v>
      </c>
      <c r="M9" s="192" t="s">
        <v>65</v>
      </c>
      <c r="N9" s="192">
        <v>7.7</v>
      </c>
      <c r="O9" s="195">
        <v>14</v>
      </c>
      <c r="P9" s="309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</row>
    <row r="10" spans="1:44" ht="12" customHeight="1">
      <c r="A10" s="117">
        <v>3</v>
      </c>
      <c r="B10" s="122" t="s">
        <v>252</v>
      </c>
      <c r="C10" s="713">
        <v>45826</v>
      </c>
      <c r="D10" s="212">
        <v>1.3</v>
      </c>
      <c r="E10" s="701" t="s">
        <v>433</v>
      </c>
      <c r="F10" s="704" t="s">
        <v>426</v>
      </c>
      <c r="G10" s="195">
        <v>78</v>
      </c>
      <c r="H10" s="192">
        <v>0.78</v>
      </c>
      <c r="I10" s="212">
        <v>8.5000000000000006E-2</v>
      </c>
      <c r="J10" s="194" t="s">
        <v>149</v>
      </c>
      <c r="K10" s="192">
        <v>6.6</v>
      </c>
      <c r="L10" s="212">
        <v>0.9</v>
      </c>
      <c r="M10" s="192" t="s">
        <v>65</v>
      </c>
      <c r="N10" s="192">
        <v>7.4</v>
      </c>
      <c r="O10" s="195">
        <v>12</v>
      </c>
      <c r="P10" s="309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</row>
    <row r="11" spans="1:44" s="388" customFormat="1" ht="12" customHeight="1">
      <c r="A11" s="118">
        <v>3</v>
      </c>
      <c r="B11" s="102" t="s">
        <v>252</v>
      </c>
      <c r="C11" s="713">
        <v>45848</v>
      </c>
      <c r="D11" s="212">
        <v>1.7</v>
      </c>
      <c r="E11" s="701" t="s">
        <v>433</v>
      </c>
      <c r="F11" s="704" t="s">
        <v>426</v>
      </c>
      <c r="G11" s="195">
        <v>79</v>
      </c>
      <c r="H11" s="192">
        <v>0.73</v>
      </c>
      <c r="I11" s="212">
        <v>8.8999999999999996E-2</v>
      </c>
      <c r="J11" s="194" t="s">
        <v>149</v>
      </c>
      <c r="K11" s="192">
        <v>6.6</v>
      </c>
      <c r="L11" s="212">
        <v>0.95</v>
      </c>
      <c r="M11" s="192" t="s">
        <v>65</v>
      </c>
      <c r="N11" s="192">
        <v>7.7</v>
      </c>
      <c r="O11" s="195">
        <v>12</v>
      </c>
      <c r="P11" s="309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</row>
    <row r="12" spans="1:44" s="102" customFormat="1" ht="12" customHeight="1">
      <c r="A12" s="117">
        <v>3</v>
      </c>
      <c r="B12" s="102" t="s">
        <v>252</v>
      </c>
      <c r="C12" s="713"/>
      <c r="D12" s="212"/>
      <c r="E12" s="701"/>
      <c r="F12" s="704"/>
      <c r="G12" s="195"/>
      <c r="H12" s="192"/>
      <c r="I12" s="212"/>
      <c r="J12" s="194"/>
      <c r="K12" s="192"/>
      <c r="L12" s="212"/>
      <c r="M12" s="192"/>
      <c r="N12" s="192"/>
      <c r="O12" s="195"/>
      <c r="P12" s="309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</row>
    <row r="13" spans="1:44" ht="12" customHeight="1">
      <c r="A13" s="118">
        <v>3</v>
      </c>
      <c r="B13" s="102" t="s">
        <v>252</v>
      </c>
      <c r="C13" s="713"/>
      <c r="D13" s="212"/>
      <c r="E13" s="701"/>
      <c r="F13" s="704"/>
      <c r="G13" s="195"/>
      <c r="H13" s="192"/>
      <c r="I13" s="212"/>
      <c r="J13" s="194"/>
      <c r="K13" s="192"/>
      <c r="L13" s="212"/>
      <c r="M13" s="192"/>
      <c r="N13" s="192"/>
      <c r="O13" s="195"/>
      <c r="P13" s="309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</row>
    <row r="14" spans="1:44" s="388" customFormat="1" ht="12" customHeight="1">
      <c r="A14" s="117">
        <v>3</v>
      </c>
      <c r="B14" s="102" t="s">
        <v>252</v>
      </c>
      <c r="C14" s="713"/>
      <c r="D14" s="212"/>
      <c r="E14" s="701"/>
      <c r="F14" s="704"/>
      <c r="G14" s="195"/>
      <c r="H14" s="192"/>
      <c r="I14" s="212"/>
      <c r="J14" s="194"/>
      <c r="K14" s="192"/>
      <c r="L14" s="212"/>
      <c r="M14" s="192"/>
      <c r="N14" s="192"/>
      <c r="O14" s="195"/>
      <c r="P14" s="309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</row>
    <row r="15" spans="1:44" s="102" customFormat="1" ht="12" customHeight="1">
      <c r="A15" s="118">
        <v>3</v>
      </c>
      <c r="B15" s="102" t="s">
        <v>252</v>
      </c>
      <c r="C15" s="713"/>
      <c r="D15" s="212"/>
      <c r="E15" s="701"/>
      <c r="F15" s="704"/>
      <c r="G15" s="195"/>
      <c r="H15" s="192"/>
      <c r="I15" s="212"/>
      <c r="J15" s="194"/>
      <c r="K15" s="192"/>
      <c r="L15" s="212"/>
      <c r="M15" s="192"/>
      <c r="N15" s="192"/>
      <c r="O15" s="195"/>
      <c r="P15" s="309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</row>
    <row r="16" spans="1:44" s="102" customFormat="1" ht="12" customHeight="1">
      <c r="A16" s="117">
        <v>3</v>
      </c>
      <c r="B16" s="102" t="s">
        <v>252</v>
      </c>
      <c r="C16" s="713"/>
      <c r="D16" s="212"/>
      <c r="E16" s="701"/>
      <c r="F16" s="704"/>
      <c r="G16" s="195"/>
      <c r="H16" s="192"/>
      <c r="I16" s="212"/>
      <c r="J16" s="194"/>
      <c r="K16" s="192"/>
      <c r="L16" s="212"/>
      <c r="M16" s="192"/>
      <c r="N16" s="192"/>
      <c r="O16" s="195"/>
      <c r="P16" s="309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</row>
    <row r="17" spans="1:44">
      <c r="B17" s="388"/>
      <c r="C17" s="714"/>
      <c r="D17" s="700"/>
      <c r="E17" s="702"/>
      <c r="F17" s="705"/>
      <c r="G17" s="706"/>
      <c r="H17" s="394"/>
      <c r="I17" s="700"/>
      <c r="J17" s="392"/>
      <c r="K17" s="394"/>
      <c r="L17" s="703"/>
      <c r="M17" s="394"/>
      <c r="N17" s="394"/>
      <c r="O17" s="393"/>
      <c r="P17" s="395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8"/>
      <c r="AO17" s="388"/>
      <c r="AP17" s="388"/>
      <c r="AQ17" s="388"/>
      <c r="AR17" s="388"/>
    </row>
    <row r="18" spans="1:44" s="102" customFormat="1" ht="12" customHeight="1">
      <c r="A18" s="118">
        <v>11</v>
      </c>
      <c r="B18" s="102" t="s">
        <v>256</v>
      </c>
      <c r="C18" s="712">
        <v>45670</v>
      </c>
      <c r="D18" s="212">
        <v>0.46</v>
      </c>
      <c r="E18" s="701">
        <v>0.05</v>
      </c>
      <c r="F18" s="704">
        <v>2.4E-2</v>
      </c>
      <c r="G18" s="195">
        <v>80</v>
      </c>
      <c r="H18" s="192">
        <v>1.7</v>
      </c>
      <c r="I18" s="212">
        <v>0.14000000000000001</v>
      </c>
      <c r="J18" s="194" t="s">
        <v>149</v>
      </c>
      <c r="K18" s="192">
        <v>6.8</v>
      </c>
      <c r="L18" s="212">
        <v>1.7</v>
      </c>
      <c r="M18" s="192">
        <v>1.3</v>
      </c>
      <c r="N18" s="192">
        <v>7.8</v>
      </c>
      <c r="O18" s="195">
        <v>13</v>
      </c>
      <c r="P18" s="309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</row>
    <row r="19" spans="1:44" s="102" customFormat="1" ht="12" customHeight="1">
      <c r="A19" s="118">
        <v>11</v>
      </c>
      <c r="B19" s="102" t="s">
        <v>256</v>
      </c>
      <c r="C19" s="713">
        <v>45728</v>
      </c>
      <c r="D19" s="212">
        <v>0.5</v>
      </c>
      <c r="E19" s="701">
        <v>3.2000000000000001E-2</v>
      </c>
      <c r="F19" s="704">
        <v>0.02</v>
      </c>
      <c r="G19" s="195">
        <v>88</v>
      </c>
      <c r="H19" s="192">
        <v>1.3</v>
      </c>
      <c r="I19" s="212">
        <v>0.1</v>
      </c>
      <c r="J19" s="194" t="s">
        <v>149</v>
      </c>
      <c r="K19" s="192">
        <v>7.5</v>
      </c>
      <c r="L19" s="212">
        <v>1.6</v>
      </c>
      <c r="M19" s="192" t="s">
        <v>65</v>
      </c>
      <c r="N19" s="192">
        <v>5.8</v>
      </c>
      <c r="O19" s="195">
        <v>14</v>
      </c>
      <c r="P19" s="309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</row>
    <row r="20" spans="1:44" ht="12" customHeight="1">
      <c r="A20" s="118">
        <v>11</v>
      </c>
      <c r="B20" s="102" t="s">
        <v>256</v>
      </c>
      <c r="C20" s="713">
        <v>45790</v>
      </c>
      <c r="D20" s="212">
        <v>0.71</v>
      </c>
      <c r="E20" s="701">
        <v>2.5999999999999999E-2</v>
      </c>
      <c r="F20" s="704">
        <v>1.4E-2</v>
      </c>
      <c r="G20" s="195">
        <v>91</v>
      </c>
      <c r="H20" s="192">
        <v>0.92</v>
      </c>
      <c r="I20" s="212">
        <v>6.9000000000000006E-2</v>
      </c>
      <c r="J20" s="194" t="s">
        <v>149</v>
      </c>
      <c r="K20" s="192">
        <v>7.9</v>
      </c>
      <c r="L20" s="212">
        <v>1.4</v>
      </c>
      <c r="M20" s="192" t="s">
        <v>65</v>
      </c>
      <c r="N20" s="192">
        <v>5.0999999999999996</v>
      </c>
      <c r="O20" s="195">
        <v>14</v>
      </c>
      <c r="P20" s="309"/>
      <c r="Q20" s="411"/>
      <c r="R20" s="411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1"/>
      <c r="AN20" s="411"/>
      <c r="AO20" s="411"/>
      <c r="AP20" s="411"/>
      <c r="AQ20" s="411"/>
      <c r="AR20" s="411"/>
    </row>
    <row r="21" spans="1:44" s="388" customFormat="1" ht="12" customHeight="1">
      <c r="A21" s="118">
        <v>11</v>
      </c>
      <c r="B21" s="102" t="s">
        <v>256</v>
      </c>
      <c r="C21" s="713">
        <v>45848</v>
      </c>
      <c r="D21" s="212">
        <v>1.1000000000000001</v>
      </c>
      <c r="E21" s="701">
        <v>2.5000000000000001E-2</v>
      </c>
      <c r="F21" s="704">
        <v>1.6E-2</v>
      </c>
      <c r="G21" s="195">
        <v>88</v>
      </c>
      <c r="H21" s="192">
        <v>0.91</v>
      </c>
      <c r="I21" s="212">
        <v>6.7000000000000004E-2</v>
      </c>
      <c r="J21" s="194" t="s">
        <v>149</v>
      </c>
      <c r="K21" s="192">
        <v>6.6</v>
      </c>
      <c r="L21" s="212">
        <v>1.4</v>
      </c>
      <c r="M21" s="192" t="s">
        <v>65</v>
      </c>
      <c r="N21" s="192">
        <v>5.2</v>
      </c>
      <c r="O21" s="195">
        <v>14</v>
      </c>
      <c r="P21" s="309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</row>
    <row r="22" spans="1:44" s="110" customFormat="1" ht="12" customHeight="1">
      <c r="A22" s="118">
        <v>11</v>
      </c>
      <c r="B22" s="102" t="s">
        <v>256</v>
      </c>
      <c r="C22" s="713"/>
      <c r="D22" s="212"/>
      <c r="E22" s="701"/>
      <c r="F22" s="704"/>
      <c r="G22" s="195"/>
      <c r="H22" s="192"/>
      <c r="I22" s="212"/>
      <c r="J22" s="194"/>
      <c r="K22" s="192"/>
      <c r="L22" s="212"/>
      <c r="M22" s="192"/>
      <c r="N22" s="192"/>
      <c r="O22" s="195"/>
      <c r="P22" s="309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</row>
    <row r="23" spans="1:44" ht="12" customHeight="1">
      <c r="A23" s="118">
        <v>11</v>
      </c>
      <c r="B23" s="102" t="s">
        <v>256</v>
      </c>
      <c r="C23" s="713"/>
      <c r="D23" s="212"/>
      <c r="E23" s="701"/>
      <c r="F23" s="704"/>
      <c r="G23" s="195"/>
      <c r="H23" s="192"/>
      <c r="I23" s="212"/>
      <c r="J23" s="194"/>
      <c r="K23" s="192"/>
      <c r="L23" s="212"/>
      <c r="M23" s="192"/>
      <c r="N23" s="192"/>
      <c r="O23" s="195"/>
      <c r="P23" s="309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</row>
    <row r="24" spans="1:44">
      <c r="B24" s="388"/>
      <c r="C24" s="714"/>
      <c r="D24" s="700"/>
      <c r="E24" s="702"/>
      <c r="F24" s="705"/>
      <c r="G24" s="706"/>
      <c r="H24" s="394"/>
      <c r="I24" s="700"/>
      <c r="J24" s="392"/>
      <c r="K24" s="394"/>
      <c r="L24" s="703"/>
      <c r="M24" s="394"/>
      <c r="N24" s="394"/>
      <c r="O24" s="393"/>
      <c r="P24" s="395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  <c r="AQ24" s="388"/>
      <c r="AR24" s="388"/>
    </row>
    <row r="25" spans="1:44" s="388" customFormat="1" ht="12" customHeight="1">
      <c r="A25" s="118">
        <v>19</v>
      </c>
      <c r="B25" s="102" t="s">
        <v>260</v>
      </c>
      <c r="C25" s="712">
        <v>45671</v>
      </c>
      <c r="D25" s="212">
        <v>0.42</v>
      </c>
      <c r="E25" s="701">
        <v>3.3000000000000002E-2</v>
      </c>
      <c r="F25" s="704">
        <v>1.9E-2</v>
      </c>
      <c r="G25" s="195">
        <v>89</v>
      </c>
      <c r="H25" s="192">
        <v>1.7</v>
      </c>
      <c r="I25" s="212">
        <v>0.14000000000000001</v>
      </c>
      <c r="J25" s="194" t="s">
        <v>149</v>
      </c>
      <c r="K25" s="192">
        <v>6.4</v>
      </c>
      <c r="L25" s="212">
        <v>0.91</v>
      </c>
      <c r="M25" s="192">
        <v>1.9</v>
      </c>
      <c r="N25" s="192">
        <v>6.3</v>
      </c>
      <c r="O25" s="195">
        <v>14</v>
      </c>
      <c r="P25" s="309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</row>
    <row r="26" spans="1:44" s="102" customFormat="1" ht="12" customHeight="1">
      <c r="A26" s="118">
        <v>19</v>
      </c>
      <c r="B26" s="102" t="s">
        <v>260</v>
      </c>
      <c r="C26" s="713">
        <v>45734</v>
      </c>
      <c r="D26" s="212">
        <v>0.36</v>
      </c>
      <c r="E26" s="701">
        <v>0.02</v>
      </c>
      <c r="F26" s="704">
        <v>1.0999999999999999E-2</v>
      </c>
      <c r="G26" s="195">
        <v>81</v>
      </c>
      <c r="H26" s="192">
        <v>1.2</v>
      </c>
      <c r="I26" s="212">
        <v>7.2999999999999995E-2</v>
      </c>
      <c r="J26" s="194" t="s">
        <v>149</v>
      </c>
      <c r="K26" s="192">
        <v>7.1</v>
      </c>
      <c r="L26" s="212">
        <v>0.85</v>
      </c>
      <c r="M26" s="192">
        <v>1.7</v>
      </c>
      <c r="N26" s="192">
        <v>6.3</v>
      </c>
      <c r="O26" s="195">
        <v>13</v>
      </c>
      <c r="P26" s="309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</row>
    <row r="27" spans="1:44" s="102" customFormat="1" ht="12" customHeight="1">
      <c r="A27" s="118">
        <v>19</v>
      </c>
      <c r="B27" s="102" t="s">
        <v>260</v>
      </c>
      <c r="C27" s="713">
        <v>45790</v>
      </c>
      <c r="D27" s="212">
        <v>0.78</v>
      </c>
      <c r="E27" s="701">
        <v>4.4999999999999998E-2</v>
      </c>
      <c r="F27" s="704">
        <v>1.6E-2</v>
      </c>
      <c r="G27" s="195">
        <v>78</v>
      </c>
      <c r="H27" s="192">
        <v>1.3</v>
      </c>
      <c r="I27" s="212">
        <v>7.0999999999999994E-2</v>
      </c>
      <c r="J27" s="194" t="s">
        <v>149</v>
      </c>
      <c r="K27" s="192">
        <v>7.9</v>
      </c>
      <c r="L27" s="212">
        <v>1.3</v>
      </c>
      <c r="M27" s="192">
        <v>5.9</v>
      </c>
      <c r="N27" s="192">
        <v>7.5</v>
      </c>
      <c r="O27" s="195">
        <v>13</v>
      </c>
      <c r="P27" s="309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</row>
    <row r="28" spans="1:44" s="102" customFormat="1" ht="12" customHeight="1">
      <c r="A28" s="118">
        <v>19</v>
      </c>
      <c r="B28" s="102" t="s">
        <v>260</v>
      </c>
      <c r="C28" s="713">
        <v>45848</v>
      </c>
      <c r="D28" s="212">
        <v>0.94</v>
      </c>
      <c r="E28" s="701">
        <v>3.6999999999999998E-2</v>
      </c>
      <c r="F28" s="704">
        <v>1.2999999999999999E-2</v>
      </c>
      <c r="G28" s="195">
        <v>65</v>
      </c>
      <c r="H28" s="192">
        <v>1.1000000000000001</v>
      </c>
      <c r="I28" s="212">
        <v>9.0999999999999998E-2</v>
      </c>
      <c r="J28" s="194" t="s">
        <v>149</v>
      </c>
      <c r="K28" s="192">
        <v>6.8</v>
      </c>
      <c r="L28" s="212">
        <v>1.6</v>
      </c>
      <c r="M28" s="192">
        <v>3.9</v>
      </c>
      <c r="N28" s="192">
        <v>6.1</v>
      </c>
      <c r="O28" s="195">
        <v>11</v>
      </c>
      <c r="P28" s="309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1"/>
      <c r="AL28" s="411"/>
      <c r="AM28" s="411"/>
      <c r="AN28" s="411"/>
      <c r="AO28" s="411"/>
      <c r="AP28" s="411"/>
      <c r="AQ28" s="411"/>
      <c r="AR28" s="411"/>
    </row>
    <row r="29" spans="1:44" s="102" customFormat="1" ht="12" customHeight="1">
      <c r="A29" s="118">
        <v>19</v>
      </c>
      <c r="B29" s="102" t="s">
        <v>260</v>
      </c>
      <c r="C29" s="713"/>
      <c r="D29" s="212"/>
      <c r="E29" s="701"/>
      <c r="F29" s="704"/>
      <c r="G29" s="195"/>
      <c r="H29" s="192"/>
      <c r="I29" s="212"/>
      <c r="J29" s="194"/>
      <c r="K29" s="192"/>
      <c r="L29" s="212"/>
      <c r="M29" s="192"/>
      <c r="N29" s="192"/>
      <c r="O29" s="195"/>
      <c r="P29" s="309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</row>
    <row r="30" spans="1:44" ht="12" customHeight="1">
      <c r="A30" s="118">
        <v>19</v>
      </c>
      <c r="B30" s="102" t="s">
        <v>260</v>
      </c>
      <c r="C30" s="713"/>
      <c r="D30" s="212"/>
      <c r="E30" s="701"/>
      <c r="F30" s="704"/>
      <c r="G30" s="195"/>
      <c r="H30" s="192"/>
      <c r="I30" s="212"/>
      <c r="J30" s="194"/>
      <c r="K30" s="192"/>
      <c r="L30" s="212"/>
      <c r="M30" s="192"/>
      <c r="N30" s="192"/>
      <c r="O30" s="195"/>
      <c r="P30" s="309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</row>
    <row r="31" spans="1:44">
      <c r="B31" s="388"/>
      <c r="C31" s="714"/>
      <c r="D31" s="700"/>
      <c r="E31" s="702"/>
      <c r="F31" s="705"/>
      <c r="G31" s="706"/>
      <c r="H31" s="394"/>
      <c r="I31" s="700"/>
      <c r="J31" s="392"/>
      <c r="K31" s="394"/>
      <c r="L31" s="703"/>
      <c r="M31" s="394"/>
      <c r="N31" s="394"/>
      <c r="O31" s="393"/>
      <c r="P31" s="395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</row>
    <row r="32" spans="1:44" s="388" customFormat="1" ht="12" customHeight="1">
      <c r="A32" s="118">
        <v>22</v>
      </c>
      <c r="B32" s="102" t="s">
        <v>268</v>
      </c>
      <c r="C32" s="712">
        <v>45671</v>
      </c>
      <c r="D32" s="212">
        <v>0.43</v>
      </c>
      <c r="E32" s="701">
        <v>9.5000000000000001E-2</v>
      </c>
      <c r="F32" s="704">
        <v>4.2000000000000003E-2</v>
      </c>
      <c r="G32" s="195">
        <v>69</v>
      </c>
      <c r="H32" s="192">
        <v>2.2999999999999998</v>
      </c>
      <c r="I32" s="212">
        <v>0.16</v>
      </c>
      <c r="J32" s="194" t="s">
        <v>149</v>
      </c>
      <c r="K32" s="192">
        <v>3.8</v>
      </c>
      <c r="L32" s="212">
        <v>0.7</v>
      </c>
      <c r="M32" s="192">
        <v>2.2999999999999998</v>
      </c>
      <c r="N32" s="192">
        <v>8.6</v>
      </c>
      <c r="O32" s="195">
        <v>10</v>
      </c>
      <c r="P32" s="309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</row>
    <row r="33" spans="1:44" s="102" customFormat="1" ht="12" customHeight="1">
      <c r="A33" s="118">
        <v>22</v>
      </c>
      <c r="B33" s="102" t="s">
        <v>268</v>
      </c>
      <c r="C33" s="713">
        <v>45734</v>
      </c>
      <c r="D33" s="212">
        <v>0.43</v>
      </c>
      <c r="E33" s="701">
        <v>7.0000000000000007E-2</v>
      </c>
      <c r="F33" s="704">
        <v>3.2000000000000001E-2</v>
      </c>
      <c r="G33" s="195">
        <v>76</v>
      </c>
      <c r="H33" s="192">
        <v>1.5</v>
      </c>
      <c r="I33" s="212">
        <v>0.1</v>
      </c>
      <c r="J33" s="194" t="s">
        <v>149</v>
      </c>
      <c r="K33" s="192">
        <v>4.0999999999999996</v>
      </c>
      <c r="L33" s="212">
        <v>0.66</v>
      </c>
      <c r="M33" s="192">
        <v>1.4</v>
      </c>
      <c r="N33" s="192">
        <v>7.9</v>
      </c>
      <c r="O33" s="195">
        <v>12</v>
      </c>
      <c r="P33" s="309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</row>
    <row r="34" spans="1:44" ht="12" customHeight="1">
      <c r="A34" s="118">
        <v>22</v>
      </c>
      <c r="B34" s="102" t="s">
        <v>268</v>
      </c>
      <c r="C34" s="713">
        <v>45790</v>
      </c>
      <c r="D34" s="212">
        <v>0.66</v>
      </c>
      <c r="E34" s="701">
        <v>2.5000000000000001E-2</v>
      </c>
      <c r="F34" s="704">
        <v>0.02</v>
      </c>
      <c r="G34" s="195">
        <v>79</v>
      </c>
      <c r="H34" s="192">
        <v>1.2</v>
      </c>
      <c r="I34" s="212">
        <v>7.1999999999999995E-2</v>
      </c>
      <c r="J34" s="194" t="s">
        <v>149</v>
      </c>
      <c r="K34" s="192">
        <v>4.7</v>
      </c>
      <c r="L34" s="212">
        <v>0.7</v>
      </c>
      <c r="M34" s="192" t="s">
        <v>65</v>
      </c>
      <c r="N34" s="192">
        <v>8.4</v>
      </c>
      <c r="O34" s="195">
        <v>12</v>
      </c>
      <c r="P34" s="309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</row>
    <row r="35" spans="1:44" s="388" customFormat="1" ht="12" customHeight="1">
      <c r="A35" s="118">
        <v>22</v>
      </c>
      <c r="B35" s="102" t="s">
        <v>268</v>
      </c>
      <c r="C35" s="713">
        <v>45848</v>
      </c>
      <c r="D35" s="212">
        <v>1.3</v>
      </c>
      <c r="E35" s="701">
        <v>2.9000000000000001E-2</v>
      </c>
      <c r="F35" s="704">
        <v>1.2E-2</v>
      </c>
      <c r="G35" s="195">
        <v>78</v>
      </c>
      <c r="H35" s="192">
        <v>1.2</v>
      </c>
      <c r="I35" s="212">
        <v>7.9000000000000001E-2</v>
      </c>
      <c r="J35" s="194" t="s">
        <v>149</v>
      </c>
      <c r="K35" s="192">
        <v>4.5999999999999996</v>
      </c>
      <c r="L35" s="212">
        <v>0.71</v>
      </c>
      <c r="M35" s="192" t="s">
        <v>65</v>
      </c>
      <c r="N35" s="192">
        <v>8.3000000000000007</v>
      </c>
      <c r="O35" s="195">
        <v>12</v>
      </c>
      <c r="P35" s="309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</row>
    <row r="36" spans="1:44" s="102" customFormat="1" ht="12" customHeight="1">
      <c r="A36" s="118">
        <v>22</v>
      </c>
      <c r="B36" s="102" t="s">
        <v>268</v>
      </c>
      <c r="C36" s="713"/>
      <c r="D36" s="212"/>
      <c r="E36" s="701"/>
      <c r="F36" s="704"/>
      <c r="G36" s="195"/>
      <c r="H36" s="192"/>
      <c r="I36" s="212"/>
      <c r="J36" s="194"/>
      <c r="K36" s="192"/>
      <c r="L36" s="212"/>
      <c r="M36" s="192"/>
      <c r="N36" s="192"/>
      <c r="O36" s="195"/>
      <c r="P36" s="309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</row>
    <row r="37" spans="1:44" s="102" customFormat="1" ht="12" customHeight="1">
      <c r="A37" s="118">
        <v>22</v>
      </c>
      <c r="B37" s="102" t="s">
        <v>268</v>
      </c>
      <c r="C37" s="713"/>
      <c r="D37" s="212"/>
      <c r="E37" s="701"/>
      <c r="F37" s="704"/>
      <c r="G37" s="195"/>
      <c r="H37" s="192"/>
      <c r="I37" s="212"/>
      <c r="J37" s="194"/>
      <c r="K37" s="192"/>
      <c r="L37" s="212"/>
      <c r="M37" s="192"/>
      <c r="N37" s="192"/>
      <c r="O37" s="195"/>
      <c r="P37" s="309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</row>
    <row r="38" spans="1:44">
      <c r="B38" s="388"/>
      <c r="C38" s="391"/>
      <c r="D38" s="392"/>
      <c r="E38" s="392"/>
      <c r="F38" s="393"/>
      <c r="G38" s="392"/>
      <c r="H38" s="394"/>
      <c r="I38" s="392"/>
      <c r="J38" s="392"/>
      <c r="K38" s="393"/>
      <c r="L38" s="393"/>
      <c r="M38" s="393"/>
      <c r="N38" s="393"/>
      <c r="O38" s="393"/>
      <c r="P38" s="395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</row>
    <row r="39" spans="1:44">
      <c r="B39" s="388"/>
      <c r="C39" s="391"/>
      <c r="D39" s="392"/>
      <c r="E39" s="392"/>
      <c r="F39" s="393"/>
      <c r="G39" s="392"/>
      <c r="H39" s="394"/>
      <c r="I39" s="392"/>
      <c r="J39" s="392"/>
      <c r="K39" s="393"/>
      <c r="L39" s="393"/>
      <c r="M39" s="393"/>
      <c r="N39" s="393"/>
      <c r="O39" s="393"/>
      <c r="P39" s="395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  <c r="AE39" s="388"/>
      <c r="AF39" s="388"/>
      <c r="AG39" s="388"/>
      <c r="AH39" s="388"/>
      <c r="AI39" s="388"/>
      <c r="AJ39" s="388"/>
      <c r="AK39" s="388"/>
      <c r="AL39" s="388"/>
      <c r="AM39" s="388"/>
      <c r="AN39" s="388"/>
      <c r="AO39" s="388"/>
      <c r="AP39" s="388"/>
      <c r="AQ39" s="388"/>
      <c r="AR39" s="388"/>
    </row>
    <row r="40" spans="1:44">
      <c r="B40" s="388"/>
      <c r="C40" s="391"/>
      <c r="D40" s="392"/>
      <c r="E40" s="392"/>
      <c r="F40" s="393"/>
      <c r="G40" s="392"/>
      <c r="H40" s="394"/>
      <c r="I40" s="392"/>
      <c r="J40" s="392"/>
      <c r="K40" s="393"/>
      <c r="L40" s="393"/>
      <c r="M40" s="393"/>
      <c r="N40" s="393"/>
      <c r="O40" s="393"/>
      <c r="P40" s="395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O40" s="388"/>
      <c r="AP40" s="388"/>
      <c r="AQ40" s="388"/>
      <c r="AR40" s="388"/>
    </row>
    <row r="41" spans="1:44">
      <c r="B41" s="388"/>
      <c r="C41" s="391"/>
      <c r="D41" s="392"/>
      <c r="E41" s="392"/>
      <c r="F41" s="393"/>
      <c r="G41" s="392"/>
      <c r="H41" s="394"/>
      <c r="I41" s="392"/>
      <c r="J41" s="392"/>
      <c r="K41" s="393"/>
      <c r="L41" s="393"/>
      <c r="M41" s="393"/>
      <c r="N41" s="393"/>
      <c r="O41" s="393"/>
      <c r="P41" s="395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  <c r="AQ41" s="388"/>
      <c r="AR41" s="388"/>
    </row>
    <row r="42" spans="1:44">
      <c r="B42" s="388"/>
      <c r="C42" s="391"/>
      <c r="D42" s="392"/>
      <c r="E42" s="392"/>
      <c r="F42" s="393"/>
      <c r="G42" s="392"/>
      <c r="H42" s="394"/>
      <c r="I42" s="392"/>
      <c r="J42" s="392"/>
      <c r="K42" s="393"/>
      <c r="L42" s="393"/>
      <c r="M42" s="393"/>
      <c r="N42" s="393"/>
      <c r="O42" s="393"/>
      <c r="P42" s="395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  <c r="AQ42" s="388"/>
      <c r="AR42" s="388"/>
    </row>
    <row r="43" spans="1:44">
      <c r="B43" s="388"/>
      <c r="C43" s="391"/>
      <c r="D43" s="392"/>
      <c r="E43" s="392"/>
      <c r="F43" s="393"/>
      <c r="G43" s="392"/>
      <c r="H43" s="394"/>
      <c r="I43" s="392"/>
      <c r="J43" s="392"/>
      <c r="K43" s="393"/>
      <c r="L43" s="393"/>
      <c r="M43" s="393"/>
      <c r="N43" s="393"/>
      <c r="O43" s="393"/>
      <c r="P43" s="395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  <c r="AO43" s="388"/>
      <c r="AP43" s="388"/>
      <c r="AQ43" s="388"/>
      <c r="AR43" s="388"/>
    </row>
    <row r="44" spans="1:44">
      <c r="B44" s="388"/>
      <c r="C44" s="391"/>
      <c r="D44" s="392"/>
      <c r="E44" s="392"/>
      <c r="F44" s="393"/>
      <c r="G44" s="392"/>
      <c r="H44" s="394"/>
      <c r="I44" s="392"/>
      <c r="J44" s="392"/>
      <c r="K44" s="393"/>
      <c r="L44" s="393"/>
      <c r="M44" s="393"/>
      <c r="N44" s="393"/>
      <c r="O44" s="393"/>
      <c r="P44" s="395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</row>
    <row r="45" spans="1:44">
      <c r="B45" s="388"/>
      <c r="C45" s="391"/>
      <c r="D45" s="392"/>
      <c r="E45" s="392"/>
      <c r="F45" s="393"/>
      <c r="G45" s="392"/>
      <c r="H45" s="394"/>
      <c r="I45" s="392"/>
      <c r="J45" s="392"/>
      <c r="K45" s="393"/>
      <c r="L45" s="393"/>
      <c r="M45" s="393"/>
      <c r="N45" s="393"/>
      <c r="O45" s="393"/>
      <c r="P45" s="395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</row>
    <row r="46" spans="1:44">
      <c r="B46" s="388"/>
      <c r="C46" s="391"/>
      <c r="D46" s="392"/>
      <c r="E46" s="392"/>
      <c r="F46" s="393"/>
      <c r="G46" s="392"/>
      <c r="H46" s="394"/>
      <c r="I46" s="392"/>
      <c r="J46" s="392"/>
      <c r="K46" s="393"/>
      <c r="L46" s="393"/>
      <c r="M46" s="393"/>
      <c r="N46" s="393"/>
      <c r="O46" s="393"/>
      <c r="P46" s="395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</row>
    <row r="47" spans="1:44">
      <c r="B47" s="388"/>
      <c r="C47" s="391"/>
      <c r="D47" s="392"/>
      <c r="E47" s="392"/>
      <c r="F47" s="393"/>
      <c r="G47" s="392"/>
      <c r="H47" s="394"/>
      <c r="I47" s="392"/>
      <c r="J47" s="392"/>
      <c r="K47" s="393"/>
      <c r="L47" s="393"/>
      <c r="M47" s="393"/>
      <c r="N47" s="393"/>
      <c r="O47" s="393"/>
      <c r="P47" s="395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  <c r="AQ47" s="388"/>
      <c r="AR47" s="388"/>
    </row>
    <row r="48" spans="1:44">
      <c r="B48" s="388"/>
      <c r="C48" s="391"/>
      <c r="D48" s="392"/>
      <c r="E48" s="392"/>
      <c r="F48" s="393"/>
      <c r="G48" s="392"/>
      <c r="H48" s="394"/>
      <c r="I48" s="392"/>
      <c r="J48" s="392"/>
      <c r="K48" s="393"/>
      <c r="L48" s="393"/>
      <c r="M48" s="393"/>
      <c r="N48" s="393"/>
      <c r="O48" s="393"/>
      <c r="P48" s="395"/>
      <c r="Q48" s="388"/>
      <c r="R48" s="388"/>
      <c r="S48" s="388"/>
      <c r="T48" s="388"/>
      <c r="U48" s="388"/>
      <c r="V48" s="388"/>
      <c r="W48" s="388"/>
      <c r="X48" s="388"/>
      <c r="Y48" s="388"/>
      <c r="Z48" s="388"/>
      <c r="AA48" s="388"/>
      <c r="AB48" s="388"/>
      <c r="AC48" s="388"/>
      <c r="AD48" s="388"/>
      <c r="AE48" s="388"/>
      <c r="AF48" s="388"/>
      <c r="AG48" s="388"/>
      <c r="AH48" s="388"/>
      <c r="AI48" s="388"/>
      <c r="AJ48" s="388"/>
      <c r="AK48" s="388"/>
      <c r="AL48" s="388"/>
      <c r="AM48" s="388"/>
      <c r="AN48" s="388"/>
      <c r="AO48" s="388"/>
      <c r="AP48" s="388"/>
      <c r="AQ48" s="388"/>
      <c r="AR48" s="388"/>
    </row>
    <row r="49" spans="2:44">
      <c r="B49" s="388"/>
      <c r="C49" s="391"/>
      <c r="D49" s="392"/>
      <c r="E49" s="392"/>
      <c r="F49" s="393"/>
      <c r="G49" s="392"/>
      <c r="H49" s="394"/>
      <c r="I49" s="392"/>
      <c r="J49" s="392"/>
      <c r="K49" s="393"/>
      <c r="L49" s="393"/>
      <c r="M49" s="393"/>
      <c r="N49" s="393"/>
      <c r="O49" s="393"/>
      <c r="P49" s="395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88"/>
      <c r="AH49" s="388"/>
      <c r="AI49" s="388"/>
      <c r="AJ49" s="388"/>
      <c r="AK49" s="388"/>
      <c r="AL49" s="388"/>
      <c r="AM49" s="388"/>
      <c r="AN49" s="388"/>
      <c r="AO49" s="388"/>
      <c r="AP49" s="388"/>
      <c r="AQ49" s="388"/>
      <c r="AR49" s="388"/>
    </row>
    <row r="50" spans="2:44">
      <c r="B50" s="388"/>
      <c r="C50" s="391"/>
      <c r="D50" s="392"/>
      <c r="E50" s="392"/>
      <c r="F50" s="393"/>
      <c r="G50" s="392"/>
      <c r="H50" s="394"/>
      <c r="I50" s="392"/>
      <c r="J50" s="392"/>
      <c r="K50" s="393"/>
      <c r="L50" s="393"/>
      <c r="M50" s="393"/>
      <c r="N50" s="393"/>
      <c r="O50" s="393"/>
      <c r="P50" s="395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88"/>
      <c r="AD50" s="388"/>
      <c r="AE50" s="388"/>
      <c r="AF50" s="388"/>
      <c r="AG50" s="388"/>
      <c r="AH50" s="388"/>
      <c r="AI50" s="388"/>
      <c r="AJ50" s="388"/>
      <c r="AK50" s="388"/>
      <c r="AL50" s="388"/>
      <c r="AM50" s="388"/>
      <c r="AN50" s="388"/>
      <c r="AO50" s="388"/>
      <c r="AP50" s="388"/>
      <c r="AQ50" s="388"/>
      <c r="AR50" s="388"/>
    </row>
    <row r="51" spans="2:44">
      <c r="B51" s="388"/>
      <c r="C51" s="391"/>
      <c r="D51" s="392"/>
      <c r="E51" s="392"/>
      <c r="F51" s="393"/>
      <c r="G51" s="392"/>
      <c r="H51" s="394"/>
      <c r="I51" s="392"/>
      <c r="J51" s="392"/>
      <c r="K51" s="393"/>
      <c r="L51" s="393"/>
      <c r="M51" s="393"/>
      <c r="N51" s="393"/>
      <c r="O51" s="393"/>
      <c r="P51" s="395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8"/>
      <c r="AD51" s="388"/>
      <c r="AE51" s="388"/>
      <c r="AF51" s="388"/>
      <c r="AG51" s="388"/>
      <c r="AH51" s="388"/>
      <c r="AI51" s="388"/>
      <c r="AJ51" s="388"/>
      <c r="AK51" s="388"/>
      <c r="AL51" s="388"/>
      <c r="AM51" s="388"/>
      <c r="AN51" s="388"/>
      <c r="AO51" s="388"/>
      <c r="AP51" s="388"/>
      <c r="AQ51" s="388"/>
      <c r="AR51" s="388"/>
    </row>
    <row r="52" spans="2:44">
      <c r="B52" s="388"/>
      <c r="C52" s="391"/>
      <c r="D52" s="392"/>
      <c r="E52" s="392"/>
      <c r="F52" s="393"/>
      <c r="G52" s="392"/>
      <c r="H52" s="394"/>
      <c r="I52" s="392"/>
      <c r="J52" s="392"/>
      <c r="K52" s="393"/>
      <c r="L52" s="393"/>
      <c r="M52" s="393"/>
      <c r="N52" s="393"/>
      <c r="O52" s="393"/>
      <c r="P52" s="395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8"/>
      <c r="AH52" s="388"/>
      <c r="AI52" s="388"/>
      <c r="AJ52" s="388"/>
      <c r="AK52" s="388"/>
      <c r="AL52" s="388"/>
      <c r="AM52" s="388"/>
      <c r="AN52" s="388"/>
      <c r="AO52" s="388"/>
      <c r="AP52" s="388"/>
      <c r="AQ52" s="388"/>
      <c r="AR52" s="388"/>
    </row>
    <row r="53" spans="2:44">
      <c r="B53" s="388"/>
      <c r="C53" s="391"/>
      <c r="D53" s="392"/>
      <c r="E53" s="392"/>
      <c r="F53" s="393"/>
      <c r="G53" s="392"/>
      <c r="H53" s="394"/>
      <c r="I53" s="392"/>
      <c r="J53" s="392"/>
      <c r="K53" s="393"/>
      <c r="L53" s="393"/>
      <c r="M53" s="393"/>
      <c r="N53" s="393"/>
      <c r="O53" s="393"/>
      <c r="P53" s="395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8"/>
      <c r="AK53" s="388"/>
      <c r="AL53" s="388"/>
      <c r="AM53" s="388"/>
      <c r="AN53" s="388"/>
      <c r="AO53" s="388"/>
      <c r="AP53" s="388"/>
      <c r="AQ53" s="388"/>
      <c r="AR53" s="388"/>
    </row>
    <row r="54" spans="2:44">
      <c r="B54" s="388"/>
      <c r="C54" s="391"/>
      <c r="D54" s="392"/>
      <c r="E54" s="392"/>
      <c r="F54" s="393"/>
      <c r="G54" s="392"/>
      <c r="H54" s="394"/>
      <c r="I54" s="392"/>
      <c r="J54" s="392"/>
      <c r="K54" s="393"/>
      <c r="L54" s="393"/>
      <c r="M54" s="393"/>
      <c r="N54" s="393"/>
      <c r="O54" s="393"/>
      <c r="P54" s="395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8"/>
      <c r="AL54" s="388"/>
      <c r="AM54" s="388"/>
      <c r="AN54" s="388"/>
      <c r="AO54" s="388"/>
      <c r="AP54" s="388"/>
      <c r="AQ54" s="388"/>
      <c r="AR54" s="388"/>
    </row>
    <row r="55" spans="2:44">
      <c r="B55" s="388"/>
      <c r="C55" s="391"/>
      <c r="D55" s="392"/>
      <c r="E55" s="392"/>
      <c r="F55" s="393"/>
      <c r="G55" s="392"/>
      <c r="H55" s="394"/>
      <c r="I55" s="392"/>
      <c r="J55" s="392"/>
      <c r="K55" s="393"/>
      <c r="L55" s="393"/>
      <c r="M55" s="393"/>
      <c r="N55" s="393"/>
      <c r="O55" s="393"/>
      <c r="P55" s="395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8"/>
      <c r="AL55" s="388"/>
      <c r="AM55" s="388"/>
      <c r="AN55" s="388"/>
      <c r="AO55" s="388"/>
      <c r="AP55" s="388"/>
      <c r="AQ55" s="388"/>
      <c r="AR55" s="388"/>
    </row>
    <row r="56" spans="2:44">
      <c r="B56" s="388"/>
      <c r="C56" s="391"/>
      <c r="D56" s="392"/>
      <c r="E56" s="392"/>
      <c r="F56" s="393"/>
      <c r="G56" s="392"/>
      <c r="H56" s="394"/>
      <c r="I56" s="392"/>
      <c r="J56" s="392"/>
      <c r="K56" s="393"/>
      <c r="L56" s="393"/>
      <c r="M56" s="393"/>
      <c r="N56" s="393"/>
      <c r="O56" s="393"/>
      <c r="P56" s="395"/>
      <c r="Q56" s="388"/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388"/>
      <c r="AD56" s="388"/>
      <c r="AE56" s="388"/>
      <c r="AF56" s="388"/>
      <c r="AG56" s="388"/>
      <c r="AH56" s="388"/>
      <c r="AI56" s="388"/>
      <c r="AJ56" s="388"/>
      <c r="AK56" s="388"/>
      <c r="AL56" s="388"/>
      <c r="AM56" s="388"/>
      <c r="AN56" s="388"/>
      <c r="AO56" s="388"/>
      <c r="AP56" s="388"/>
      <c r="AQ56" s="388"/>
      <c r="AR56" s="388"/>
    </row>
    <row r="57" spans="2:44">
      <c r="B57" s="388"/>
      <c r="C57" s="391"/>
      <c r="D57" s="392"/>
      <c r="E57" s="392"/>
      <c r="F57" s="393"/>
      <c r="G57" s="392"/>
      <c r="H57" s="394"/>
      <c r="I57" s="392"/>
      <c r="J57" s="392"/>
      <c r="K57" s="393"/>
      <c r="L57" s="393"/>
      <c r="M57" s="393"/>
      <c r="N57" s="393"/>
      <c r="O57" s="393"/>
      <c r="P57" s="395"/>
      <c r="Q57" s="388"/>
      <c r="R57" s="388"/>
      <c r="S57" s="388"/>
      <c r="T57" s="388"/>
      <c r="U57" s="388"/>
      <c r="V57" s="388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8"/>
      <c r="AK57" s="388"/>
      <c r="AL57" s="388"/>
      <c r="AM57" s="388"/>
      <c r="AN57" s="388"/>
      <c r="AO57" s="388"/>
      <c r="AP57" s="388"/>
      <c r="AQ57" s="388"/>
      <c r="AR57" s="388"/>
    </row>
    <row r="58" spans="2:44">
      <c r="B58" s="388"/>
      <c r="C58" s="391"/>
      <c r="D58" s="392"/>
      <c r="E58" s="392"/>
      <c r="F58" s="393"/>
      <c r="G58" s="392"/>
      <c r="H58" s="394"/>
      <c r="I58" s="392"/>
      <c r="J58" s="392"/>
      <c r="K58" s="393"/>
      <c r="L58" s="393"/>
      <c r="M58" s="393"/>
      <c r="N58" s="393"/>
      <c r="O58" s="393"/>
      <c r="P58" s="395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8"/>
      <c r="AL58" s="388"/>
      <c r="AM58" s="388"/>
      <c r="AN58" s="388"/>
      <c r="AO58" s="388"/>
      <c r="AP58" s="388"/>
      <c r="AQ58" s="388"/>
      <c r="AR58" s="388"/>
    </row>
    <row r="59" spans="2:44">
      <c r="B59" s="388"/>
      <c r="C59" s="391"/>
      <c r="D59" s="392"/>
      <c r="E59" s="392"/>
      <c r="F59" s="393"/>
      <c r="G59" s="392"/>
      <c r="H59" s="394"/>
      <c r="I59" s="392"/>
      <c r="J59" s="392"/>
      <c r="K59" s="393"/>
      <c r="L59" s="393"/>
      <c r="M59" s="393"/>
      <c r="N59" s="393"/>
      <c r="O59" s="393"/>
      <c r="P59" s="395"/>
      <c r="Q59" s="388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8"/>
      <c r="AH59" s="388"/>
      <c r="AI59" s="388"/>
      <c r="AJ59" s="388"/>
      <c r="AK59" s="388"/>
      <c r="AL59" s="388"/>
      <c r="AM59" s="388"/>
      <c r="AN59" s="388"/>
      <c r="AO59" s="388"/>
      <c r="AP59" s="388"/>
      <c r="AQ59" s="388"/>
      <c r="AR59" s="388"/>
    </row>
    <row r="60" spans="2:44">
      <c r="B60" s="388"/>
      <c r="C60" s="391"/>
      <c r="D60" s="392"/>
      <c r="E60" s="392"/>
      <c r="F60" s="393"/>
      <c r="G60" s="392"/>
      <c r="H60" s="394"/>
      <c r="I60" s="392"/>
      <c r="J60" s="392"/>
      <c r="K60" s="393"/>
      <c r="L60" s="393"/>
      <c r="M60" s="393"/>
      <c r="N60" s="393"/>
      <c r="O60" s="393"/>
      <c r="P60" s="395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</row>
    <row r="61" spans="2:44">
      <c r="B61" s="388"/>
      <c r="C61" s="391"/>
      <c r="D61" s="392"/>
      <c r="E61" s="392"/>
      <c r="F61" s="393"/>
      <c r="G61" s="392"/>
      <c r="H61" s="394"/>
      <c r="I61" s="392"/>
      <c r="J61" s="392"/>
      <c r="K61" s="393"/>
      <c r="L61" s="393"/>
      <c r="M61" s="393"/>
      <c r="N61" s="393"/>
      <c r="O61" s="393"/>
      <c r="P61" s="395"/>
      <c r="Q61" s="388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88"/>
      <c r="AD61" s="388"/>
      <c r="AE61" s="388"/>
      <c r="AF61" s="388"/>
      <c r="AG61" s="388"/>
      <c r="AH61" s="388"/>
      <c r="AI61" s="388"/>
      <c r="AJ61" s="388"/>
      <c r="AK61" s="388"/>
      <c r="AL61" s="388"/>
      <c r="AM61" s="388"/>
      <c r="AN61" s="388"/>
      <c r="AO61" s="388"/>
      <c r="AP61" s="388"/>
      <c r="AQ61" s="388"/>
      <c r="AR61" s="388"/>
    </row>
    <row r="62" spans="2:44">
      <c r="B62" s="388"/>
      <c r="C62" s="391"/>
      <c r="D62" s="392"/>
      <c r="E62" s="392"/>
      <c r="F62" s="393"/>
      <c r="G62" s="392"/>
      <c r="H62" s="394"/>
      <c r="I62" s="392"/>
      <c r="J62" s="392"/>
      <c r="K62" s="393"/>
      <c r="L62" s="393"/>
      <c r="M62" s="393"/>
      <c r="N62" s="393"/>
      <c r="O62" s="393"/>
      <c r="P62" s="395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8"/>
      <c r="AH62" s="388"/>
      <c r="AI62" s="388"/>
      <c r="AJ62" s="388"/>
      <c r="AK62" s="388"/>
      <c r="AL62" s="388"/>
      <c r="AM62" s="388"/>
      <c r="AN62" s="388"/>
      <c r="AO62" s="388"/>
      <c r="AP62" s="388"/>
      <c r="AQ62" s="388"/>
      <c r="AR62" s="388"/>
    </row>
    <row r="63" spans="2:44">
      <c r="B63" s="388"/>
      <c r="C63" s="391"/>
      <c r="D63" s="392"/>
      <c r="E63" s="392"/>
      <c r="F63" s="393"/>
      <c r="G63" s="392"/>
      <c r="H63" s="394"/>
      <c r="I63" s="392"/>
      <c r="J63" s="392"/>
      <c r="K63" s="393"/>
      <c r="L63" s="393"/>
      <c r="M63" s="393"/>
      <c r="N63" s="393"/>
      <c r="O63" s="393"/>
      <c r="P63" s="395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8"/>
      <c r="AO63" s="388"/>
      <c r="AP63" s="388"/>
      <c r="AQ63" s="388"/>
      <c r="AR63" s="388"/>
    </row>
    <row r="64" spans="2:44">
      <c r="B64" s="388"/>
      <c r="C64" s="391"/>
      <c r="D64" s="392"/>
      <c r="E64" s="392"/>
      <c r="F64" s="393"/>
      <c r="G64" s="392"/>
      <c r="H64" s="394"/>
      <c r="I64" s="392"/>
      <c r="J64" s="392"/>
      <c r="K64" s="393"/>
      <c r="L64" s="393"/>
      <c r="M64" s="393"/>
      <c r="N64" s="393"/>
      <c r="O64" s="393"/>
      <c r="P64" s="395"/>
      <c r="Q64" s="388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88"/>
      <c r="AD64" s="388"/>
      <c r="AE64" s="388"/>
      <c r="AF64" s="388"/>
      <c r="AG64" s="388"/>
      <c r="AH64" s="388"/>
      <c r="AI64" s="388"/>
      <c r="AJ64" s="388"/>
      <c r="AK64" s="388"/>
      <c r="AL64" s="388"/>
      <c r="AM64" s="388"/>
      <c r="AN64" s="388"/>
      <c r="AO64" s="388"/>
      <c r="AP64" s="388"/>
      <c r="AQ64" s="388"/>
      <c r="AR64" s="388"/>
    </row>
    <row r="65" spans="2:44">
      <c r="B65" s="388"/>
      <c r="C65" s="391"/>
      <c r="D65" s="392"/>
      <c r="E65" s="392"/>
      <c r="F65" s="393"/>
      <c r="G65" s="392"/>
      <c r="H65" s="394"/>
      <c r="I65" s="392"/>
      <c r="J65" s="392"/>
      <c r="K65" s="393"/>
      <c r="L65" s="393"/>
      <c r="M65" s="393"/>
      <c r="N65" s="393"/>
      <c r="O65" s="393"/>
      <c r="P65" s="395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8"/>
      <c r="AF65" s="388"/>
      <c r="AG65" s="388"/>
      <c r="AH65" s="388"/>
      <c r="AI65" s="388"/>
      <c r="AJ65" s="388"/>
      <c r="AK65" s="388"/>
      <c r="AL65" s="388"/>
      <c r="AM65" s="388"/>
      <c r="AN65" s="388"/>
      <c r="AO65" s="388"/>
      <c r="AP65" s="388"/>
      <c r="AQ65" s="388"/>
      <c r="AR65" s="388"/>
    </row>
    <row r="66" spans="2:44">
      <c r="B66" s="388"/>
      <c r="C66" s="391"/>
      <c r="D66" s="392"/>
      <c r="E66" s="392"/>
      <c r="F66" s="393"/>
      <c r="G66" s="392"/>
      <c r="H66" s="394"/>
      <c r="I66" s="392"/>
      <c r="J66" s="392"/>
      <c r="K66" s="393"/>
      <c r="L66" s="393"/>
      <c r="M66" s="393"/>
      <c r="N66" s="393"/>
      <c r="O66" s="393"/>
      <c r="P66" s="395"/>
      <c r="Q66" s="388"/>
      <c r="R66" s="388"/>
      <c r="S66" s="388"/>
      <c r="T66" s="388"/>
      <c r="U66" s="388"/>
      <c r="V66" s="388"/>
      <c r="W66" s="388"/>
      <c r="X66" s="388"/>
      <c r="Y66" s="388"/>
      <c r="Z66" s="388"/>
      <c r="AA66" s="388"/>
      <c r="AB66" s="388"/>
      <c r="AC66" s="388"/>
      <c r="AD66" s="388"/>
      <c r="AE66" s="388"/>
      <c r="AF66" s="388"/>
      <c r="AG66" s="388"/>
      <c r="AH66" s="388"/>
      <c r="AI66" s="388"/>
      <c r="AJ66" s="388"/>
      <c r="AK66" s="388"/>
      <c r="AL66" s="388"/>
      <c r="AM66" s="388"/>
      <c r="AN66" s="388"/>
      <c r="AO66" s="388"/>
      <c r="AP66" s="388"/>
      <c r="AQ66" s="388"/>
      <c r="AR66" s="388"/>
    </row>
    <row r="67" spans="2:44">
      <c r="B67" s="388"/>
      <c r="C67" s="391"/>
      <c r="D67" s="392"/>
      <c r="E67" s="392"/>
      <c r="F67" s="393"/>
      <c r="G67" s="392"/>
      <c r="H67" s="394"/>
      <c r="I67" s="392"/>
      <c r="J67" s="392"/>
      <c r="K67" s="393"/>
      <c r="L67" s="393"/>
      <c r="M67" s="393"/>
      <c r="N67" s="393"/>
      <c r="O67" s="393"/>
      <c r="P67" s="395"/>
      <c r="Q67" s="388"/>
      <c r="R67" s="388"/>
      <c r="S67" s="388"/>
      <c r="T67" s="388"/>
      <c r="U67" s="388"/>
      <c r="V67" s="388"/>
      <c r="W67" s="388"/>
      <c r="X67" s="388"/>
      <c r="Y67" s="388"/>
      <c r="Z67" s="388"/>
      <c r="AA67" s="388"/>
      <c r="AB67" s="388"/>
      <c r="AC67" s="388"/>
      <c r="AD67" s="388"/>
      <c r="AE67" s="388"/>
      <c r="AF67" s="388"/>
      <c r="AG67" s="388"/>
      <c r="AH67" s="388"/>
      <c r="AI67" s="388"/>
      <c r="AJ67" s="388"/>
      <c r="AK67" s="388"/>
      <c r="AL67" s="388"/>
      <c r="AM67" s="388"/>
      <c r="AN67" s="388"/>
      <c r="AO67" s="388"/>
      <c r="AP67" s="388"/>
      <c r="AQ67" s="388"/>
      <c r="AR67" s="388"/>
    </row>
    <row r="68" spans="2:44">
      <c r="B68" s="388"/>
      <c r="C68" s="391"/>
      <c r="D68" s="392"/>
      <c r="E68" s="392"/>
      <c r="F68" s="393"/>
      <c r="G68" s="392"/>
      <c r="H68" s="394"/>
      <c r="I68" s="392"/>
      <c r="J68" s="392"/>
      <c r="K68" s="393"/>
      <c r="L68" s="393"/>
      <c r="M68" s="393"/>
      <c r="N68" s="393"/>
      <c r="O68" s="393"/>
      <c r="P68" s="395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8"/>
      <c r="AH68" s="388"/>
      <c r="AI68" s="388"/>
      <c r="AJ68" s="388"/>
      <c r="AK68" s="388"/>
      <c r="AL68" s="388"/>
      <c r="AM68" s="388"/>
      <c r="AN68" s="388"/>
      <c r="AO68" s="388"/>
      <c r="AP68" s="388"/>
      <c r="AQ68" s="388"/>
      <c r="AR68" s="388"/>
    </row>
    <row r="69" spans="2:44">
      <c r="B69" s="388"/>
      <c r="C69" s="391"/>
      <c r="D69" s="392"/>
      <c r="E69" s="392"/>
      <c r="F69" s="393"/>
      <c r="G69" s="392"/>
      <c r="H69" s="394"/>
      <c r="I69" s="392"/>
      <c r="J69" s="392"/>
      <c r="K69" s="393"/>
      <c r="L69" s="393"/>
      <c r="M69" s="393"/>
      <c r="N69" s="393"/>
      <c r="O69" s="393"/>
      <c r="P69" s="395"/>
      <c r="Q69" s="388"/>
      <c r="R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88"/>
      <c r="AD69" s="388"/>
      <c r="AE69" s="388"/>
      <c r="AF69" s="388"/>
      <c r="AG69" s="388"/>
      <c r="AH69" s="388"/>
      <c r="AI69" s="388"/>
      <c r="AJ69" s="388"/>
      <c r="AK69" s="388"/>
      <c r="AL69" s="388"/>
      <c r="AM69" s="388"/>
      <c r="AN69" s="388"/>
      <c r="AO69" s="388"/>
      <c r="AP69" s="388"/>
      <c r="AQ69" s="388"/>
      <c r="AR69" s="388"/>
    </row>
    <row r="70" spans="2:44">
      <c r="B70" s="388"/>
      <c r="C70" s="391"/>
      <c r="D70" s="392"/>
      <c r="E70" s="392"/>
      <c r="F70" s="393"/>
      <c r="G70" s="392"/>
      <c r="H70" s="394"/>
      <c r="I70" s="392"/>
      <c r="J70" s="392"/>
      <c r="K70" s="393"/>
      <c r="L70" s="393"/>
      <c r="M70" s="393"/>
      <c r="N70" s="393"/>
      <c r="O70" s="393"/>
      <c r="P70" s="395"/>
      <c r="Q70" s="388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88"/>
      <c r="AD70" s="388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</row>
    <row r="71" spans="2:44">
      <c r="B71" s="388"/>
      <c r="C71" s="391"/>
      <c r="D71" s="392"/>
      <c r="E71" s="392"/>
      <c r="F71" s="393"/>
      <c r="G71" s="392"/>
      <c r="H71" s="394"/>
      <c r="I71" s="392"/>
      <c r="J71" s="392"/>
      <c r="K71" s="393"/>
      <c r="L71" s="393"/>
      <c r="M71" s="393"/>
      <c r="N71" s="393"/>
      <c r="O71" s="393"/>
      <c r="P71" s="395"/>
      <c r="Q71" s="388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F71" s="388"/>
      <c r="AG71" s="388"/>
      <c r="AH71" s="388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</row>
    <row r="72" spans="2:44">
      <c r="B72" s="388"/>
      <c r="C72" s="391"/>
      <c r="D72" s="392"/>
      <c r="E72" s="392"/>
      <c r="F72" s="393"/>
      <c r="G72" s="392"/>
      <c r="H72" s="394"/>
      <c r="I72" s="392"/>
      <c r="J72" s="392"/>
      <c r="K72" s="393"/>
      <c r="L72" s="393"/>
      <c r="M72" s="393"/>
      <c r="N72" s="393"/>
      <c r="O72" s="393"/>
      <c r="P72" s="395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  <c r="AD72" s="388"/>
      <c r="AE72" s="388"/>
      <c r="AF72" s="388"/>
      <c r="AG72" s="388"/>
      <c r="AH72" s="388"/>
      <c r="AI72" s="388"/>
      <c r="AJ72" s="388"/>
      <c r="AK72" s="388"/>
      <c r="AL72" s="388"/>
      <c r="AM72" s="388"/>
      <c r="AN72" s="388"/>
      <c r="AO72" s="388"/>
      <c r="AP72" s="388"/>
      <c r="AQ72" s="388"/>
      <c r="AR72" s="388"/>
    </row>
    <row r="73" spans="2:44">
      <c r="B73" s="388"/>
      <c r="C73" s="391"/>
      <c r="D73" s="392"/>
      <c r="E73" s="392"/>
      <c r="F73" s="393"/>
      <c r="G73" s="392"/>
      <c r="H73" s="394"/>
      <c r="I73" s="392"/>
      <c r="J73" s="392"/>
      <c r="K73" s="393"/>
      <c r="L73" s="393"/>
      <c r="M73" s="393"/>
      <c r="N73" s="393"/>
      <c r="O73" s="393"/>
      <c r="P73" s="395"/>
      <c r="Q73" s="388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8"/>
      <c r="AD73" s="388"/>
      <c r="AE73" s="388"/>
      <c r="AF73" s="388"/>
      <c r="AG73" s="388"/>
      <c r="AH73" s="388"/>
      <c r="AI73" s="388"/>
      <c r="AJ73" s="388"/>
      <c r="AK73" s="388"/>
      <c r="AL73" s="388"/>
      <c r="AM73" s="388"/>
      <c r="AN73" s="388"/>
      <c r="AO73" s="388"/>
      <c r="AP73" s="388"/>
      <c r="AQ73" s="388"/>
      <c r="AR73" s="388"/>
    </row>
    <row r="74" spans="2:44">
      <c r="B74" s="388"/>
      <c r="C74" s="391"/>
      <c r="D74" s="392"/>
      <c r="E74" s="392"/>
      <c r="F74" s="393"/>
      <c r="G74" s="392"/>
      <c r="H74" s="394"/>
      <c r="I74" s="392"/>
      <c r="J74" s="392"/>
      <c r="K74" s="393"/>
      <c r="L74" s="393"/>
      <c r="M74" s="393"/>
      <c r="N74" s="393"/>
      <c r="O74" s="393"/>
      <c r="P74" s="395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  <c r="AD74" s="388"/>
      <c r="AE74" s="388"/>
      <c r="AF74" s="388"/>
      <c r="AG74" s="388"/>
      <c r="AH74" s="388"/>
      <c r="AI74" s="388"/>
      <c r="AJ74" s="388"/>
      <c r="AK74" s="388"/>
      <c r="AL74" s="388"/>
      <c r="AM74" s="388"/>
      <c r="AN74" s="388"/>
      <c r="AO74" s="388"/>
      <c r="AP74" s="388"/>
      <c r="AQ74" s="388"/>
      <c r="AR74" s="388"/>
    </row>
    <row r="75" spans="2:44">
      <c r="B75" s="388"/>
      <c r="C75" s="391"/>
      <c r="D75" s="392"/>
      <c r="E75" s="392"/>
      <c r="F75" s="393"/>
      <c r="G75" s="392"/>
      <c r="H75" s="394"/>
      <c r="I75" s="392"/>
      <c r="J75" s="392"/>
      <c r="K75" s="393"/>
      <c r="L75" s="393"/>
      <c r="M75" s="393"/>
      <c r="N75" s="393"/>
      <c r="O75" s="393"/>
      <c r="P75" s="395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</row>
    <row r="76" spans="2:44">
      <c r="B76" s="388"/>
      <c r="C76" s="391"/>
      <c r="D76" s="392"/>
      <c r="E76" s="392"/>
      <c r="F76" s="393"/>
      <c r="G76" s="392"/>
      <c r="H76" s="394"/>
      <c r="I76" s="392"/>
      <c r="J76" s="392"/>
      <c r="K76" s="393"/>
      <c r="L76" s="393"/>
      <c r="M76" s="393"/>
      <c r="N76" s="393"/>
      <c r="O76" s="393"/>
      <c r="P76" s="395"/>
      <c r="Q76" s="388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88"/>
      <c r="AK76" s="388"/>
      <c r="AL76" s="388"/>
      <c r="AM76" s="388"/>
      <c r="AN76" s="388"/>
      <c r="AO76" s="388"/>
      <c r="AP76" s="388"/>
      <c r="AQ76" s="388"/>
      <c r="AR76" s="388"/>
    </row>
    <row r="77" spans="2:44">
      <c r="B77" s="388"/>
      <c r="C77" s="391"/>
      <c r="D77" s="392"/>
      <c r="E77" s="392"/>
      <c r="F77" s="393"/>
      <c r="G77" s="392"/>
      <c r="H77" s="394"/>
      <c r="I77" s="392"/>
      <c r="J77" s="392"/>
      <c r="K77" s="393"/>
      <c r="L77" s="393"/>
      <c r="M77" s="393"/>
      <c r="N77" s="393"/>
      <c r="O77" s="393"/>
      <c r="P77" s="395"/>
      <c r="Q77" s="388"/>
      <c r="R77" s="388"/>
      <c r="S77" s="388"/>
      <c r="T77" s="388"/>
      <c r="U77" s="388"/>
      <c r="V77" s="388"/>
      <c r="W77" s="388"/>
      <c r="X77" s="388"/>
      <c r="Y77" s="388"/>
      <c r="Z77" s="388"/>
      <c r="AA77" s="388"/>
      <c r="AB77" s="388"/>
      <c r="AC77" s="388"/>
      <c r="AD77" s="388"/>
      <c r="AE77" s="388"/>
      <c r="AF77" s="388"/>
      <c r="AG77" s="388"/>
      <c r="AH77" s="388"/>
      <c r="AI77" s="388"/>
      <c r="AJ77" s="388"/>
      <c r="AK77" s="388"/>
      <c r="AL77" s="388"/>
      <c r="AM77" s="388"/>
      <c r="AN77" s="388"/>
      <c r="AO77" s="388"/>
      <c r="AP77" s="388"/>
      <c r="AQ77" s="388"/>
      <c r="AR77" s="388"/>
    </row>
    <row r="78" spans="2:44">
      <c r="B78" s="388"/>
      <c r="C78" s="391"/>
      <c r="D78" s="392"/>
      <c r="E78" s="392"/>
      <c r="F78" s="393"/>
      <c r="G78" s="392"/>
      <c r="H78" s="394"/>
      <c r="I78" s="392"/>
      <c r="J78" s="392"/>
      <c r="K78" s="393"/>
      <c r="L78" s="393"/>
      <c r="M78" s="393"/>
      <c r="N78" s="393"/>
      <c r="O78" s="393"/>
      <c r="P78" s="395"/>
      <c r="Q78" s="388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  <c r="AD78" s="388"/>
      <c r="AE78" s="388"/>
      <c r="AF78" s="388"/>
      <c r="AG78" s="388"/>
      <c r="AH78" s="388"/>
      <c r="AI78" s="388"/>
      <c r="AJ78" s="388"/>
      <c r="AK78" s="388"/>
      <c r="AL78" s="388"/>
      <c r="AM78" s="388"/>
      <c r="AN78" s="388"/>
      <c r="AO78" s="388"/>
      <c r="AP78" s="388"/>
      <c r="AQ78" s="388"/>
      <c r="AR78" s="388"/>
    </row>
    <row r="79" spans="2:44">
      <c r="B79" s="388"/>
      <c r="C79" s="391"/>
      <c r="D79" s="392"/>
      <c r="E79" s="392"/>
      <c r="F79" s="393"/>
      <c r="G79" s="392"/>
      <c r="H79" s="394"/>
      <c r="I79" s="392"/>
      <c r="J79" s="392"/>
      <c r="K79" s="393"/>
      <c r="L79" s="393"/>
      <c r="M79" s="393"/>
      <c r="N79" s="393"/>
      <c r="O79" s="393"/>
      <c r="P79" s="395"/>
      <c r="Q79" s="388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  <c r="AD79" s="388"/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8"/>
      <c r="AQ79" s="388"/>
      <c r="AR79" s="388"/>
    </row>
    <row r="80" spans="2:44">
      <c r="B80" s="388"/>
      <c r="C80" s="391"/>
      <c r="D80" s="392"/>
      <c r="E80" s="392"/>
      <c r="F80" s="393"/>
      <c r="G80" s="392"/>
      <c r="H80" s="394"/>
      <c r="I80" s="392"/>
      <c r="J80" s="392"/>
      <c r="K80" s="393"/>
      <c r="L80" s="393"/>
      <c r="M80" s="393"/>
      <c r="N80" s="393"/>
      <c r="O80" s="393"/>
      <c r="P80" s="395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8"/>
      <c r="AQ80" s="388"/>
      <c r="AR80" s="388"/>
    </row>
    <row r="81" spans="2:44">
      <c r="B81" s="388"/>
      <c r="C81" s="391"/>
      <c r="D81" s="392"/>
      <c r="E81" s="392"/>
      <c r="F81" s="393"/>
      <c r="G81" s="392"/>
      <c r="H81" s="394"/>
      <c r="I81" s="392"/>
      <c r="J81" s="392"/>
      <c r="K81" s="393"/>
      <c r="L81" s="393"/>
      <c r="M81" s="393"/>
      <c r="N81" s="393"/>
      <c r="O81" s="393"/>
      <c r="P81" s="395"/>
      <c r="Q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8"/>
      <c r="AQ81" s="388"/>
      <c r="AR81" s="388"/>
    </row>
    <row r="82" spans="2:44">
      <c r="B82" s="388"/>
      <c r="C82" s="391"/>
      <c r="D82" s="392"/>
      <c r="E82" s="392"/>
      <c r="F82" s="393"/>
      <c r="G82" s="392"/>
      <c r="H82" s="394"/>
      <c r="I82" s="392"/>
      <c r="J82" s="392"/>
      <c r="K82" s="393"/>
      <c r="L82" s="393"/>
      <c r="M82" s="393"/>
      <c r="N82" s="393"/>
      <c r="O82" s="393"/>
      <c r="P82" s="395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</row>
    <row r="83" spans="2:44">
      <c r="B83" s="388"/>
      <c r="C83" s="391"/>
      <c r="D83" s="392"/>
      <c r="E83" s="392"/>
      <c r="F83" s="393"/>
      <c r="G83" s="392"/>
      <c r="H83" s="394"/>
      <c r="I83" s="392"/>
      <c r="J83" s="392"/>
      <c r="K83" s="393"/>
      <c r="L83" s="393"/>
      <c r="M83" s="393"/>
      <c r="N83" s="393"/>
      <c r="O83" s="393"/>
      <c r="P83" s="395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8"/>
      <c r="AQ83" s="388"/>
      <c r="AR83" s="388"/>
    </row>
    <row r="84" spans="2:44">
      <c r="B84" s="388"/>
      <c r="C84" s="391"/>
      <c r="D84" s="392"/>
      <c r="E84" s="392"/>
      <c r="F84" s="393"/>
      <c r="G84" s="392"/>
      <c r="H84" s="394"/>
      <c r="I84" s="392"/>
      <c r="J84" s="392"/>
      <c r="K84" s="393"/>
      <c r="L84" s="393"/>
      <c r="M84" s="393"/>
      <c r="N84" s="393"/>
      <c r="O84" s="393"/>
      <c r="P84" s="395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  <c r="AD84" s="388"/>
      <c r="AE84" s="388"/>
      <c r="AF84" s="388"/>
      <c r="AG84" s="388"/>
      <c r="AH84" s="388"/>
      <c r="AI84" s="388"/>
      <c r="AJ84" s="388"/>
      <c r="AK84" s="388"/>
      <c r="AL84" s="388"/>
      <c r="AM84" s="388"/>
      <c r="AN84" s="388"/>
      <c r="AO84" s="388"/>
      <c r="AP84" s="388"/>
      <c r="AQ84" s="388"/>
      <c r="AR84" s="388"/>
    </row>
    <row r="85" spans="2:44">
      <c r="B85" s="388"/>
      <c r="C85" s="391"/>
      <c r="D85" s="392"/>
      <c r="E85" s="392"/>
      <c r="F85" s="393"/>
      <c r="G85" s="392"/>
      <c r="H85" s="394"/>
      <c r="I85" s="392"/>
      <c r="J85" s="392"/>
      <c r="K85" s="393"/>
      <c r="L85" s="393"/>
      <c r="M85" s="393"/>
      <c r="N85" s="393"/>
      <c r="O85" s="393"/>
      <c r="P85" s="395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388"/>
      <c r="AK85" s="388"/>
      <c r="AL85" s="388"/>
      <c r="AM85" s="388"/>
      <c r="AN85" s="388"/>
      <c r="AO85" s="388"/>
      <c r="AP85" s="388"/>
      <c r="AQ85" s="388"/>
      <c r="AR85" s="388"/>
    </row>
    <row r="86" spans="2:44">
      <c r="B86" s="388"/>
      <c r="C86" s="391"/>
      <c r="D86" s="392"/>
      <c r="E86" s="392"/>
      <c r="F86" s="393"/>
      <c r="G86" s="392"/>
      <c r="H86" s="394"/>
      <c r="I86" s="392"/>
      <c r="J86" s="392"/>
      <c r="K86" s="393"/>
      <c r="L86" s="393"/>
      <c r="M86" s="393"/>
      <c r="N86" s="393"/>
      <c r="O86" s="393"/>
      <c r="P86" s="395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88"/>
      <c r="AQ86" s="388"/>
      <c r="AR86" s="388"/>
    </row>
    <row r="87" spans="2:44">
      <c r="B87" s="388"/>
      <c r="C87" s="391"/>
      <c r="D87" s="392"/>
      <c r="E87" s="392"/>
      <c r="F87" s="393"/>
      <c r="G87" s="392"/>
      <c r="H87" s="394"/>
      <c r="I87" s="392"/>
      <c r="J87" s="392"/>
      <c r="K87" s="393"/>
      <c r="L87" s="393"/>
      <c r="M87" s="393"/>
      <c r="N87" s="393"/>
      <c r="O87" s="393"/>
      <c r="P87" s="395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  <c r="AC87" s="388"/>
      <c r="AD87" s="388"/>
      <c r="AE87" s="388"/>
      <c r="AF87" s="388"/>
      <c r="AG87" s="388"/>
      <c r="AH87" s="388"/>
      <c r="AI87" s="388"/>
      <c r="AJ87" s="388"/>
      <c r="AK87" s="388"/>
      <c r="AL87" s="388"/>
      <c r="AM87" s="388"/>
      <c r="AN87" s="388"/>
      <c r="AO87" s="388"/>
      <c r="AP87" s="388"/>
      <c r="AQ87" s="388"/>
      <c r="AR87" s="388"/>
    </row>
    <row r="88" spans="2:44">
      <c r="B88" s="388"/>
      <c r="C88" s="391"/>
      <c r="D88" s="392"/>
      <c r="E88" s="392"/>
      <c r="F88" s="393"/>
      <c r="G88" s="392"/>
      <c r="H88" s="394"/>
      <c r="I88" s="392"/>
      <c r="J88" s="392"/>
      <c r="K88" s="393"/>
      <c r="L88" s="393"/>
      <c r="M88" s="393"/>
      <c r="N88" s="393"/>
      <c r="O88" s="393"/>
      <c r="P88" s="395"/>
      <c r="Q88" s="388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  <c r="AC88" s="388"/>
      <c r="AD88" s="388"/>
      <c r="AE88" s="388"/>
      <c r="AF88" s="388"/>
      <c r="AG88" s="388"/>
      <c r="AH88" s="388"/>
      <c r="AI88" s="388"/>
      <c r="AJ88" s="388"/>
      <c r="AK88" s="388"/>
      <c r="AL88" s="388"/>
      <c r="AM88" s="388"/>
      <c r="AN88" s="388"/>
      <c r="AO88" s="388"/>
      <c r="AP88" s="388"/>
      <c r="AQ88" s="388"/>
      <c r="AR88" s="388"/>
    </row>
    <row r="89" spans="2:44">
      <c r="B89" s="388"/>
      <c r="C89" s="391"/>
      <c r="D89" s="392"/>
      <c r="E89" s="392"/>
      <c r="F89" s="393"/>
      <c r="G89" s="392"/>
      <c r="H89" s="394"/>
      <c r="I89" s="392"/>
      <c r="J89" s="392"/>
      <c r="K89" s="393"/>
      <c r="L89" s="393"/>
      <c r="M89" s="393"/>
      <c r="N89" s="393"/>
      <c r="O89" s="393"/>
      <c r="P89" s="395"/>
      <c r="Q89" s="388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  <c r="AD89" s="388"/>
      <c r="AE89" s="388"/>
      <c r="AF89" s="388"/>
      <c r="AG89" s="388"/>
      <c r="AH89" s="388"/>
      <c r="AI89" s="388"/>
      <c r="AJ89" s="388"/>
      <c r="AK89" s="388"/>
      <c r="AL89" s="388"/>
      <c r="AM89" s="388"/>
      <c r="AN89" s="388"/>
      <c r="AO89" s="388"/>
      <c r="AP89" s="388"/>
      <c r="AQ89" s="388"/>
      <c r="AR89" s="388"/>
    </row>
    <row r="90" spans="2:44">
      <c r="B90" s="388"/>
      <c r="C90" s="391"/>
      <c r="D90" s="392"/>
      <c r="E90" s="392"/>
      <c r="F90" s="393"/>
      <c r="G90" s="392"/>
      <c r="H90" s="394"/>
      <c r="I90" s="392"/>
      <c r="J90" s="392"/>
      <c r="K90" s="393"/>
      <c r="L90" s="393"/>
      <c r="M90" s="393"/>
      <c r="N90" s="393"/>
      <c r="O90" s="393"/>
      <c r="P90" s="395"/>
      <c r="Q90" s="388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8"/>
      <c r="AJ90" s="388"/>
      <c r="AK90" s="388"/>
      <c r="AL90" s="388"/>
      <c r="AM90" s="388"/>
      <c r="AN90" s="388"/>
      <c r="AO90" s="388"/>
      <c r="AP90" s="388"/>
      <c r="AQ90" s="388"/>
      <c r="AR90" s="388"/>
    </row>
    <row r="91" spans="2:44">
      <c r="B91" s="388"/>
      <c r="C91" s="391"/>
      <c r="D91" s="392"/>
      <c r="E91" s="392"/>
      <c r="F91" s="393"/>
      <c r="G91" s="392"/>
      <c r="H91" s="394"/>
      <c r="I91" s="392"/>
      <c r="J91" s="392"/>
      <c r="K91" s="393"/>
      <c r="L91" s="393"/>
      <c r="M91" s="393"/>
      <c r="N91" s="393"/>
      <c r="O91" s="393"/>
      <c r="P91" s="395"/>
      <c r="Q91" s="388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388"/>
      <c r="AD91" s="388"/>
      <c r="AE91" s="388"/>
      <c r="AF91" s="388"/>
      <c r="AG91" s="388"/>
      <c r="AH91" s="388"/>
      <c r="AI91" s="388"/>
      <c r="AJ91" s="388"/>
      <c r="AK91" s="388"/>
      <c r="AL91" s="388"/>
      <c r="AM91" s="388"/>
      <c r="AN91" s="388"/>
      <c r="AO91" s="388"/>
      <c r="AP91" s="388"/>
      <c r="AQ91" s="388"/>
      <c r="AR91" s="388"/>
    </row>
    <row r="92" spans="2:44">
      <c r="B92" s="388"/>
      <c r="C92" s="391"/>
      <c r="D92" s="392"/>
      <c r="E92" s="392"/>
      <c r="F92" s="393"/>
      <c r="G92" s="392"/>
      <c r="H92" s="394"/>
      <c r="I92" s="392"/>
      <c r="J92" s="392"/>
      <c r="K92" s="393"/>
      <c r="L92" s="393"/>
      <c r="M92" s="393"/>
      <c r="N92" s="393"/>
      <c r="O92" s="393"/>
      <c r="P92" s="395"/>
      <c r="Q92" s="388"/>
      <c r="R92" s="388"/>
      <c r="S92" s="388"/>
      <c r="T92" s="388"/>
      <c r="U92" s="388"/>
      <c r="V92" s="388"/>
      <c r="W92" s="388"/>
      <c r="X92" s="388"/>
      <c r="Y92" s="388"/>
      <c r="Z92" s="388"/>
      <c r="AA92" s="388"/>
      <c r="AB92" s="388"/>
      <c r="AC92" s="388"/>
      <c r="AD92" s="388"/>
      <c r="AE92" s="388"/>
      <c r="AF92" s="388"/>
      <c r="AG92" s="388"/>
      <c r="AH92" s="388"/>
      <c r="AI92" s="388"/>
      <c r="AJ92" s="388"/>
      <c r="AK92" s="388"/>
      <c r="AL92" s="388"/>
      <c r="AM92" s="388"/>
      <c r="AN92" s="388"/>
      <c r="AO92" s="388"/>
      <c r="AP92" s="388"/>
      <c r="AQ92" s="388"/>
      <c r="AR92" s="388"/>
    </row>
    <row r="93" spans="2:44">
      <c r="B93" s="388"/>
      <c r="C93" s="391"/>
      <c r="D93" s="392"/>
      <c r="E93" s="392"/>
      <c r="F93" s="393"/>
      <c r="G93" s="392"/>
      <c r="H93" s="394"/>
      <c r="I93" s="392"/>
      <c r="J93" s="392"/>
      <c r="K93" s="393"/>
      <c r="L93" s="393"/>
      <c r="M93" s="393"/>
      <c r="N93" s="393"/>
      <c r="O93" s="393"/>
      <c r="P93" s="395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38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</row>
    <row r="94" spans="2:44">
      <c r="B94" s="388"/>
      <c r="C94" s="391"/>
      <c r="D94" s="392"/>
      <c r="E94" s="392"/>
      <c r="F94" s="393"/>
      <c r="G94" s="392"/>
      <c r="H94" s="394"/>
      <c r="I94" s="392"/>
      <c r="J94" s="392"/>
      <c r="K94" s="393"/>
      <c r="L94" s="393"/>
      <c r="M94" s="393"/>
      <c r="N94" s="393"/>
      <c r="O94" s="393"/>
      <c r="P94" s="395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8"/>
      <c r="AG94" s="388"/>
      <c r="AH94" s="388"/>
      <c r="AI94" s="388"/>
      <c r="AJ94" s="388"/>
      <c r="AK94" s="388"/>
      <c r="AL94" s="388"/>
      <c r="AM94" s="388"/>
      <c r="AN94" s="388"/>
      <c r="AO94" s="388"/>
      <c r="AP94" s="388"/>
      <c r="AQ94" s="388"/>
      <c r="AR94" s="388"/>
    </row>
    <row r="95" spans="2:44">
      <c r="B95" s="388"/>
      <c r="C95" s="391"/>
      <c r="D95" s="392"/>
      <c r="E95" s="392"/>
      <c r="F95" s="393"/>
      <c r="G95" s="392"/>
      <c r="H95" s="394"/>
      <c r="I95" s="392"/>
      <c r="J95" s="392"/>
      <c r="K95" s="393"/>
      <c r="L95" s="393"/>
      <c r="M95" s="393"/>
      <c r="N95" s="393"/>
      <c r="O95" s="393"/>
      <c r="P95" s="395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388"/>
      <c r="AH95" s="388"/>
      <c r="AI95" s="388"/>
      <c r="AJ95" s="388"/>
      <c r="AK95" s="388"/>
      <c r="AL95" s="388"/>
      <c r="AM95" s="388"/>
      <c r="AN95" s="388"/>
      <c r="AO95" s="388"/>
      <c r="AP95" s="388"/>
      <c r="AQ95" s="388"/>
      <c r="AR95" s="388"/>
    </row>
    <row r="96" spans="2:44">
      <c r="B96" s="388"/>
      <c r="C96" s="391"/>
      <c r="D96" s="392"/>
      <c r="E96" s="392"/>
      <c r="F96" s="393"/>
      <c r="G96" s="392"/>
      <c r="H96" s="394"/>
      <c r="I96" s="392"/>
      <c r="J96" s="392"/>
      <c r="K96" s="393"/>
      <c r="L96" s="393"/>
      <c r="M96" s="393"/>
      <c r="N96" s="393"/>
      <c r="O96" s="393"/>
      <c r="P96" s="395"/>
      <c r="Q96" s="388"/>
      <c r="R96" s="388"/>
      <c r="S96" s="388"/>
      <c r="T96" s="388"/>
      <c r="U96" s="388"/>
      <c r="V96" s="388"/>
      <c r="W96" s="388"/>
      <c r="X96" s="388"/>
      <c r="Y96" s="388"/>
      <c r="Z96" s="388"/>
      <c r="AA96" s="388"/>
      <c r="AB96" s="388"/>
      <c r="AC96" s="388"/>
      <c r="AD96" s="388"/>
      <c r="AE96" s="388"/>
      <c r="AF96" s="388"/>
      <c r="AG96" s="388"/>
      <c r="AH96" s="388"/>
      <c r="AI96" s="388"/>
      <c r="AJ96" s="388"/>
      <c r="AK96" s="388"/>
      <c r="AL96" s="388"/>
      <c r="AM96" s="388"/>
      <c r="AN96" s="388"/>
      <c r="AO96" s="388"/>
      <c r="AP96" s="388"/>
      <c r="AQ96" s="388"/>
      <c r="AR96" s="388"/>
    </row>
    <row r="97" spans="2:44">
      <c r="B97" s="388"/>
      <c r="C97" s="391"/>
      <c r="D97" s="392"/>
      <c r="E97" s="392"/>
      <c r="F97" s="393"/>
      <c r="G97" s="392"/>
      <c r="H97" s="394"/>
      <c r="I97" s="392"/>
      <c r="J97" s="392"/>
      <c r="K97" s="393"/>
      <c r="L97" s="393"/>
      <c r="M97" s="393"/>
      <c r="N97" s="393"/>
      <c r="O97" s="393"/>
      <c r="P97" s="395"/>
      <c r="Q97" s="388"/>
      <c r="R97" s="388"/>
      <c r="S97" s="388"/>
      <c r="T97" s="388"/>
      <c r="U97" s="388"/>
      <c r="V97" s="388"/>
      <c r="W97" s="388"/>
      <c r="X97" s="388"/>
      <c r="Y97" s="388"/>
      <c r="Z97" s="388"/>
      <c r="AA97" s="388"/>
      <c r="AB97" s="388"/>
      <c r="AC97" s="388"/>
      <c r="AD97" s="388"/>
      <c r="AE97" s="388"/>
      <c r="AF97" s="388"/>
      <c r="AG97" s="388"/>
      <c r="AH97" s="388"/>
      <c r="AI97" s="388"/>
      <c r="AJ97" s="388"/>
      <c r="AK97" s="388"/>
      <c r="AL97" s="388"/>
      <c r="AM97" s="388"/>
      <c r="AN97" s="388"/>
      <c r="AO97" s="388"/>
      <c r="AP97" s="388"/>
      <c r="AQ97" s="388"/>
      <c r="AR97" s="388"/>
    </row>
    <row r="98" spans="2:44">
      <c r="B98" s="388"/>
      <c r="C98" s="391"/>
      <c r="D98" s="392"/>
      <c r="E98" s="392"/>
      <c r="F98" s="393"/>
      <c r="G98" s="392"/>
      <c r="H98" s="394"/>
      <c r="I98" s="392"/>
      <c r="J98" s="392"/>
      <c r="K98" s="393"/>
      <c r="L98" s="393"/>
      <c r="M98" s="393"/>
      <c r="N98" s="393"/>
      <c r="O98" s="393"/>
      <c r="P98" s="395"/>
      <c r="Q98" s="388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  <c r="AD98" s="388"/>
      <c r="AE98" s="388"/>
      <c r="AF98" s="388"/>
      <c r="AG98" s="388"/>
      <c r="AH98" s="388"/>
      <c r="AI98" s="388"/>
      <c r="AJ98" s="388"/>
      <c r="AK98" s="388"/>
      <c r="AL98" s="388"/>
      <c r="AM98" s="388"/>
      <c r="AN98" s="388"/>
      <c r="AO98" s="388"/>
      <c r="AP98" s="388"/>
      <c r="AQ98" s="388"/>
      <c r="AR98" s="388"/>
    </row>
    <row r="99" spans="2:44">
      <c r="B99" s="388"/>
      <c r="C99" s="391"/>
      <c r="D99" s="392"/>
      <c r="E99" s="392"/>
      <c r="F99" s="393"/>
      <c r="G99" s="392"/>
      <c r="H99" s="394"/>
      <c r="I99" s="392"/>
      <c r="J99" s="392"/>
      <c r="K99" s="393"/>
      <c r="L99" s="393"/>
      <c r="M99" s="393"/>
      <c r="N99" s="393"/>
      <c r="O99" s="393"/>
      <c r="P99" s="395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  <c r="AD99" s="388"/>
      <c r="AE99" s="388"/>
      <c r="AF99" s="388"/>
      <c r="AG99" s="388"/>
      <c r="AH99" s="388"/>
      <c r="AI99" s="388"/>
      <c r="AJ99" s="388"/>
      <c r="AK99" s="388"/>
      <c r="AL99" s="388"/>
      <c r="AM99" s="388"/>
      <c r="AN99" s="388"/>
      <c r="AO99" s="388"/>
      <c r="AP99" s="388"/>
      <c r="AQ99" s="388"/>
      <c r="AR99" s="388"/>
    </row>
    <row r="100" spans="2:44">
      <c r="B100" s="388"/>
      <c r="C100" s="391"/>
      <c r="D100" s="392"/>
      <c r="E100" s="392"/>
      <c r="F100" s="393"/>
      <c r="G100" s="392"/>
      <c r="H100" s="394"/>
      <c r="I100" s="392"/>
      <c r="J100" s="392"/>
      <c r="K100" s="393"/>
      <c r="L100" s="393"/>
      <c r="M100" s="393"/>
      <c r="N100" s="393"/>
      <c r="O100" s="393"/>
      <c r="P100" s="395"/>
      <c r="Q100" s="388"/>
      <c r="R100" s="388"/>
      <c r="S100" s="388"/>
      <c r="T100" s="388"/>
      <c r="U100" s="388"/>
      <c r="V100" s="388"/>
      <c r="W100" s="388"/>
      <c r="X100" s="388"/>
      <c r="Y100" s="388"/>
      <c r="Z100" s="388"/>
      <c r="AA100" s="388"/>
      <c r="AB100" s="388"/>
      <c r="AC100" s="388"/>
      <c r="AD100" s="388"/>
      <c r="AE100" s="388"/>
      <c r="AF100" s="388"/>
      <c r="AG100" s="388"/>
      <c r="AH100" s="388"/>
      <c r="AI100" s="388"/>
      <c r="AJ100" s="388"/>
      <c r="AK100" s="388"/>
      <c r="AL100" s="388"/>
      <c r="AM100" s="388"/>
      <c r="AN100" s="388"/>
      <c r="AO100" s="388"/>
      <c r="AP100" s="388"/>
      <c r="AQ100" s="388"/>
      <c r="AR100" s="388"/>
    </row>
    <row r="101" spans="2:44">
      <c r="B101" s="388"/>
      <c r="C101" s="391"/>
      <c r="D101" s="392"/>
      <c r="E101" s="392"/>
      <c r="F101" s="393"/>
      <c r="G101" s="392"/>
      <c r="H101" s="394"/>
      <c r="I101" s="392"/>
      <c r="J101" s="392"/>
      <c r="K101" s="393"/>
      <c r="L101" s="393"/>
      <c r="M101" s="393"/>
      <c r="N101" s="393"/>
      <c r="O101" s="393"/>
      <c r="P101" s="395"/>
      <c r="Q101" s="388"/>
      <c r="R101" s="388"/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  <c r="AC101" s="388"/>
      <c r="AD101" s="388"/>
      <c r="AE101" s="388"/>
      <c r="AF101" s="388"/>
      <c r="AG101" s="388"/>
      <c r="AH101" s="388"/>
      <c r="AI101" s="388"/>
      <c r="AJ101" s="388"/>
      <c r="AK101" s="388"/>
      <c r="AL101" s="388"/>
      <c r="AM101" s="388"/>
      <c r="AN101" s="388"/>
      <c r="AO101" s="388"/>
      <c r="AP101" s="388"/>
      <c r="AQ101" s="388"/>
      <c r="AR101" s="388"/>
    </row>
    <row r="102" spans="2:44">
      <c r="B102" s="388"/>
      <c r="C102" s="391"/>
      <c r="D102" s="392"/>
      <c r="E102" s="392"/>
      <c r="F102" s="393"/>
      <c r="G102" s="392"/>
      <c r="H102" s="394"/>
      <c r="I102" s="392"/>
      <c r="J102" s="392"/>
      <c r="K102" s="393"/>
      <c r="L102" s="393"/>
      <c r="M102" s="393"/>
      <c r="N102" s="393"/>
      <c r="O102" s="393"/>
      <c r="P102" s="395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  <c r="AA102" s="388"/>
      <c r="AB102" s="388"/>
      <c r="AC102" s="388"/>
      <c r="AD102" s="388"/>
      <c r="AE102" s="388"/>
      <c r="AF102" s="388"/>
      <c r="AG102" s="388"/>
      <c r="AH102" s="388"/>
      <c r="AI102" s="388"/>
      <c r="AJ102" s="388"/>
      <c r="AK102" s="388"/>
      <c r="AL102" s="388"/>
      <c r="AM102" s="388"/>
      <c r="AN102" s="388"/>
      <c r="AO102" s="388"/>
      <c r="AP102" s="388"/>
      <c r="AQ102" s="388"/>
      <c r="AR102" s="388"/>
    </row>
    <row r="103" spans="2:44">
      <c r="B103" s="388"/>
      <c r="C103" s="391"/>
      <c r="D103" s="392"/>
      <c r="E103" s="392"/>
      <c r="F103" s="393"/>
      <c r="G103" s="392"/>
      <c r="H103" s="394"/>
      <c r="I103" s="392"/>
      <c r="J103" s="392"/>
      <c r="K103" s="393"/>
      <c r="L103" s="393"/>
      <c r="M103" s="393"/>
      <c r="N103" s="393"/>
      <c r="O103" s="393"/>
      <c r="P103" s="395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8"/>
      <c r="AD103" s="388"/>
      <c r="AE103" s="388"/>
      <c r="AF103" s="388"/>
      <c r="AG103" s="388"/>
      <c r="AH103" s="388"/>
      <c r="AI103" s="388"/>
      <c r="AJ103" s="388"/>
      <c r="AK103" s="388"/>
      <c r="AL103" s="388"/>
      <c r="AM103" s="388"/>
      <c r="AN103" s="388"/>
      <c r="AO103" s="388"/>
      <c r="AP103" s="388"/>
      <c r="AQ103" s="388"/>
      <c r="AR103" s="388"/>
    </row>
    <row r="104" spans="2:44">
      <c r="B104" s="388"/>
      <c r="C104" s="391"/>
      <c r="D104" s="392"/>
      <c r="E104" s="392"/>
      <c r="F104" s="393"/>
      <c r="G104" s="392"/>
      <c r="H104" s="394"/>
      <c r="I104" s="392"/>
      <c r="J104" s="392"/>
      <c r="K104" s="393"/>
      <c r="L104" s="393"/>
      <c r="M104" s="393"/>
      <c r="N104" s="393"/>
      <c r="O104" s="393"/>
      <c r="P104" s="395"/>
      <c r="Q104" s="388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  <c r="AD104" s="388"/>
      <c r="AE104" s="388"/>
      <c r="AF104" s="388"/>
      <c r="AG104" s="388"/>
      <c r="AH104" s="388"/>
      <c r="AI104" s="388"/>
      <c r="AJ104" s="388"/>
      <c r="AK104" s="388"/>
      <c r="AL104" s="388"/>
      <c r="AM104" s="388"/>
      <c r="AN104" s="388"/>
      <c r="AO104" s="388"/>
      <c r="AP104" s="388"/>
      <c r="AQ104" s="388"/>
      <c r="AR104" s="388"/>
    </row>
    <row r="105" spans="2:44">
      <c r="B105" s="388"/>
      <c r="C105" s="391"/>
      <c r="D105" s="392"/>
      <c r="E105" s="392"/>
      <c r="F105" s="393"/>
      <c r="G105" s="392"/>
      <c r="H105" s="394"/>
      <c r="I105" s="392"/>
      <c r="J105" s="392"/>
      <c r="K105" s="393"/>
      <c r="L105" s="393"/>
      <c r="M105" s="393"/>
      <c r="N105" s="393"/>
      <c r="O105" s="393"/>
      <c r="P105" s="395"/>
      <c r="Q105" s="388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  <c r="AD105" s="388"/>
      <c r="AE105" s="388"/>
      <c r="AF105" s="388"/>
      <c r="AG105" s="388"/>
      <c r="AH105" s="388"/>
      <c r="AI105" s="388"/>
      <c r="AJ105" s="388"/>
      <c r="AK105" s="388"/>
      <c r="AL105" s="388"/>
      <c r="AM105" s="388"/>
      <c r="AN105" s="388"/>
      <c r="AO105" s="388"/>
      <c r="AP105" s="388"/>
      <c r="AQ105" s="388"/>
      <c r="AR105" s="388"/>
    </row>
    <row r="106" spans="2:44">
      <c r="B106" s="388"/>
      <c r="C106" s="391"/>
      <c r="D106" s="392"/>
      <c r="E106" s="392"/>
      <c r="F106" s="393"/>
      <c r="G106" s="392"/>
      <c r="H106" s="394"/>
      <c r="I106" s="392"/>
      <c r="J106" s="392"/>
      <c r="K106" s="393"/>
      <c r="L106" s="393"/>
      <c r="M106" s="393"/>
      <c r="N106" s="393"/>
      <c r="O106" s="393"/>
      <c r="P106" s="395"/>
      <c r="Q106" s="388"/>
      <c r="R106" s="388"/>
      <c r="S106" s="388"/>
      <c r="T106" s="388"/>
      <c r="U106" s="388"/>
      <c r="V106" s="388"/>
      <c r="W106" s="388"/>
      <c r="X106" s="388"/>
      <c r="Y106" s="388"/>
      <c r="Z106" s="388"/>
      <c r="AA106" s="388"/>
      <c r="AB106" s="388"/>
      <c r="AC106" s="388"/>
      <c r="AD106" s="388"/>
      <c r="AE106" s="388"/>
      <c r="AF106" s="388"/>
      <c r="AG106" s="388"/>
      <c r="AH106" s="388"/>
      <c r="AI106" s="388"/>
      <c r="AJ106" s="388"/>
      <c r="AK106" s="388"/>
      <c r="AL106" s="388"/>
      <c r="AM106" s="388"/>
      <c r="AN106" s="388"/>
      <c r="AO106" s="388"/>
      <c r="AP106" s="388"/>
      <c r="AQ106" s="388"/>
      <c r="AR106" s="388"/>
    </row>
    <row r="107" spans="2:44">
      <c r="B107" s="388"/>
      <c r="C107" s="391"/>
      <c r="D107" s="392"/>
      <c r="E107" s="392"/>
      <c r="F107" s="393"/>
      <c r="G107" s="392"/>
      <c r="H107" s="394"/>
      <c r="I107" s="392"/>
      <c r="J107" s="392"/>
      <c r="K107" s="393"/>
      <c r="L107" s="393"/>
      <c r="M107" s="393"/>
      <c r="N107" s="393"/>
      <c r="O107" s="393"/>
      <c r="P107" s="395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88"/>
      <c r="AK107" s="388"/>
      <c r="AL107" s="388"/>
      <c r="AM107" s="388"/>
      <c r="AN107" s="388"/>
      <c r="AO107" s="388"/>
      <c r="AP107" s="388"/>
      <c r="AQ107" s="388"/>
      <c r="AR107" s="388"/>
    </row>
    <row r="108" spans="2:44">
      <c r="B108" s="388"/>
      <c r="C108" s="391"/>
      <c r="D108" s="392"/>
      <c r="E108" s="392"/>
      <c r="F108" s="393"/>
      <c r="G108" s="392"/>
      <c r="H108" s="394"/>
      <c r="I108" s="392"/>
      <c r="J108" s="392"/>
      <c r="K108" s="393"/>
      <c r="L108" s="393"/>
      <c r="M108" s="393"/>
      <c r="N108" s="393"/>
      <c r="O108" s="393"/>
      <c r="P108" s="395"/>
      <c r="Q108" s="388"/>
      <c r="R108" s="388"/>
      <c r="S108" s="388"/>
      <c r="T108" s="388"/>
      <c r="U108" s="388"/>
      <c r="V108" s="388"/>
      <c r="W108" s="388"/>
      <c r="X108" s="388"/>
      <c r="Y108" s="388"/>
      <c r="Z108" s="388"/>
      <c r="AA108" s="388"/>
      <c r="AB108" s="388"/>
      <c r="AC108" s="388"/>
      <c r="AD108" s="388"/>
      <c r="AE108" s="388"/>
      <c r="AF108" s="388"/>
      <c r="AG108" s="388"/>
      <c r="AH108" s="388"/>
      <c r="AI108" s="388"/>
      <c r="AJ108" s="388"/>
      <c r="AK108" s="388"/>
      <c r="AL108" s="388"/>
      <c r="AM108" s="388"/>
      <c r="AN108" s="388"/>
      <c r="AO108" s="388"/>
      <c r="AP108" s="388"/>
      <c r="AQ108" s="388"/>
      <c r="AR108" s="388"/>
    </row>
    <row r="109" spans="2:44">
      <c r="B109" s="388"/>
      <c r="C109" s="391"/>
      <c r="D109" s="392"/>
      <c r="E109" s="392"/>
      <c r="F109" s="393"/>
      <c r="G109" s="392"/>
      <c r="H109" s="394"/>
      <c r="I109" s="392"/>
      <c r="J109" s="392"/>
      <c r="K109" s="393"/>
      <c r="L109" s="393"/>
      <c r="M109" s="393"/>
      <c r="N109" s="393"/>
      <c r="O109" s="393"/>
      <c r="P109" s="395"/>
      <c r="Q109" s="388"/>
      <c r="R109" s="388"/>
      <c r="S109" s="388"/>
      <c r="T109" s="388"/>
      <c r="U109" s="388"/>
      <c r="V109" s="388"/>
      <c r="W109" s="388"/>
      <c r="X109" s="388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388"/>
      <c r="AI109" s="388"/>
      <c r="AJ109" s="388"/>
      <c r="AK109" s="388"/>
      <c r="AL109" s="388"/>
      <c r="AM109" s="388"/>
      <c r="AN109" s="388"/>
      <c r="AO109" s="388"/>
      <c r="AP109" s="388"/>
      <c r="AQ109" s="388"/>
      <c r="AR109" s="388"/>
    </row>
    <row r="110" spans="2:44">
      <c r="B110" s="388"/>
      <c r="C110" s="391"/>
      <c r="D110" s="392"/>
      <c r="E110" s="392"/>
      <c r="F110" s="393"/>
      <c r="G110" s="392"/>
      <c r="H110" s="394"/>
      <c r="I110" s="392"/>
      <c r="J110" s="392"/>
      <c r="K110" s="393"/>
      <c r="L110" s="393"/>
      <c r="M110" s="393"/>
      <c r="N110" s="393"/>
      <c r="O110" s="393"/>
      <c r="P110" s="395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  <c r="AA110" s="388"/>
      <c r="AB110" s="388"/>
      <c r="AC110" s="388"/>
      <c r="AD110" s="388"/>
      <c r="AE110" s="388"/>
      <c r="AF110" s="388"/>
      <c r="AG110" s="388"/>
      <c r="AH110" s="388"/>
      <c r="AI110" s="388"/>
      <c r="AJ110" s="388"/>
      <c r="AK110" s="388"/>
      <c r="AL110" s="388"/>
      <c r="AM110" s="388"/>
      <c r="AN110" s="388"/>
      <c r="AO110" s="388"/>
      <c r="AP110" s="388"/>
      <c r="AQ110" s="388"/>
      <c r="AR110" s="388"/>
    </row>
    <row r="111" spans="2:44">
      <c r="B111" s="388"/>
      <c r="C111" s="391"/>
      <c r="D111" s="392"/>
      <c r="E111" s="392"/>
      <c r="F111" s="393"/>
      <c r="G111" s="392"/>
      <c r="H111" s="394"/>
      <c r="I111" s="392"/>
      <c r="J111" s="392"/>
      <c r="K111" s="393"/>
      <c r="L111" s="393"/>
      <c r="M111" s="393"/>
      <c r="N111" s="393"/>
      <c r="O111" s="393"/>
      <c r="P111" s="395"/>
      <c r="Q111" s="388"/>
      <c r="R111" s="388"/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  <c r="AC111" s="388"/>
      <c r="AD111" s="388"/>
      <c r="AE111" s="388"/>
      <c r="AF111" s="388"/>
      <c r="AG111" s="388"/>
      <c r="AH111" s="388"/>
      <c r="AI111" s="388"/>
      <c r="AJ111" s="388"/>
      <c r="AK111" s="388"/>
      <c r="AL111" s="388"/>
      <c r="AM111" s="388"/>
      <c r="AN111" s="388"/>
      <c r="AO111" s="388"/>
      <c r="AP111" s="388"/>
      <c r="AQ111" s="388"/>
      <c r="AR111" s="388"/>
    </row>
    <row r="112" spans="2:44">
      <c r="B112" s="388"/>
      <c r="C112" s="391"/>
      <c r="D112" s="392"/>
      <c r="E112" s="392"/>
      <c r="F112" s="393"/>
      <c r="G112" s="392"/>
      <c r="H112" s="394"/>
      <c r="I112" s="392"/>
      <c r="J112" s="392"/>
      <c r="K112" s="393"/>
      <c r="L112" s="393"/>
      <c r="M112" s="393"/>
      <c r="N112" s="393"/>
      <c r="O112" s="393"/>
      <c r="P112" s="395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  <c r="AD112" s="388"/>
      <c r="AE112" s="388"/>
      <c r="AF112" s="388"/>
      <c r="AG112" s="388"/>
      <c r="AH112" s="388"/>
      <c r="AI112" s="388"/>
      <c r="AJ112" s="388"/>
      <c r="AK112" s="388"/>
      <c r="AL112" s="388"/>
      <c r="AM112" s="388"/>
      <c r="AN112" s="388"/>
      <c r="AO112" s="388"/>
      <c r="AP112" s="388"/>
      <c r="AQ112" s="388"/>
      <c r="AR112" s="388"/>
    </row>
    <row r="113" spans="2:44">
      <c r="B113" s="388"/>
      <c r="C113" s="391"/>
      <c r="D113" s="392"/>
      <c r="E113" s="392"/>
      <c r="F113" s="393"/>
      <c r="G113" s="392"/>
      <c r="H113" s="394"/>
      <c r="I113" s="392"/>
      <c r="J113" s="392"/>
      <c r="K113" s="393"/>
      <c r="L113" s="393"/>
      <c r="M113" s="393"/>
      <c r="N113" s="393"/>
      <c r="O113" s="393"/>
      <c r="P113" s="395"/>
      <c r="Q113" s="388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  <c r="AD113" s="388"/>
      <c r="AE113" s="388"/>
      <c r="AF113" s="388"/>
      <c r="AG113" s="388"/>
      <c r="AH113" s="388"/>
      <c r="AI113" s="388"/>
      <c r="AJ113" s="388"/>
      <c r="AK113" s="388"/>
      <c r="AL113" s="388"/>
      <c r="AM113" s="388"/>
      <c r="AN113" s="388"/>
      <c r="AO113" s="388"/>
      <c r="AP113" s="388"/>
      <c r="AQ113" s="388"/>
      <c r="AR113" s="388"/>
    </row>
    <row r="114" spans="2:44">
      <c r="B114" s="388"/>
      <c r="C114" s="391"/>
      <c r="D114" s="392"/>
      <c r="E114" s="392"/>
      <c r="F114" s="393"/>
      <c r="G114" s="392"/>
      <c r="H114" s="394"/>
      <c r="I114" s="392"/>
      <c r="J114" s="392"/>
      <c r="K114" s="393"/>
      <c r="L114" s="393"/>
      <c r="M114" s="393"/>
      <c r="N114" s="393"/>
      <c r="O114" s="393"/>
      <c r="P114" s="395"/>
      <c r="Q114" s="388"/>
      <c r="R114" s="388"/>
      <c r="S114" s="388"/>
      <c r="T114" s="388"/>
      <c r="U114" s="388"/>
      <c r="V114" s="388"/>
      <c r="W114" s="388"/>
      <c r="X114" s="388"/>
      <c r="Y114" s="388"/>
      <c r="Z114" s="388"/>
      <c r="AA114" s="388"/>
      <c r="AB114" s="388"/>
      <c r="AC114" s="388"/>
      <c r="AD114" s="388"/>
      <c r="AE114" s="388"/>
      <c r="AF114" s="388"/>
      <c r="AG114" s="388"/>
      <c r="AH114" s="388"/>
      <c r="AI114" s="388"/>
      <c r="AJ114" s="388"/>
      <c r="AK114" s="388"/>
      <c r="AL114" s="388"/>
      <c r="AM114" s="388"/>
      <c r="AN114" s="388"/>
      <c r="AO114" s="388"/>
      <c r="AP114" s="388"/>
      <c r="AQ114" s="388"/>
      <c r="AR114" s="388"/>
    </row>
    <row r="115" spans="2:44">
      <c r="B115" s="388"/>
      <c r="C115" s="391"/>
      <c r="D115" s="392"/>
      <c r="E115" s="392"/>
      <c r="F115" s="393"/>
      <c r="G115" s="392"/>
      <c r="H115" s="394"/>
      <c r="I115" s="392"/>
      <c r="J115" s="392"/>
      <c r="K115" s="393"/>
      <c r="L115" s="393"/>
      <c r="M115" s="393"/>
      <c r="N115" s="393"/>
      <c r="O115" s="393"/>
      <c r="P115" s="395"/>
      <c r="Q115" s="388"/>
      <c r="R115" s="388"/>
      <c r="S115" s="388"/>
      <c r="T115" s="388"/>
      <c r="U115" s="388"/>
      <c r="V115" s="388"/>
      <c r="W115" s="388"/>
      <c r="X115" s="388"/>
      <c r="Y115" s="388"/>
      <c r="Z115" s="388"/>
      <c r="AA115" s="388"/>
      <c r="AB115" s="388"/>
      <c r="AC115" s="388"/>
      <c r="AD115" s="388"/>
      <c r="AE115" s="388"/>
      <c r="AF115" s="388"/>
      <c r="AG115" s="388"/>
      <c r="AH115" s="388"/>
      <c r="AI115" s="388"/>
      <c r="AJ115" s="388"/>
      <c r="AK115" s="388"/>
      <c r="AL115" s="388"/>
      <c r="AM115" s="388"/>
      <c r="AN115" s="388"/>
      <c r="AO115" s="388"/>
      <c r="AP115" s="388"/>
      <c r="AQ115" s="388"/>
      <c r="AR115" s="388"/>
    </row>
    <row r="116" spans="2:44">
      <c r="B116" s="388"/>
      <c r="C116" s="391"/>
      <c r="D116" s="392"/>
      <c r="E116" s="392"/>
      <c r="F116" s="393"/>
      <c r="G116" s="392"/>
      <c r="H116" s="394"/>
      <c r="I116" s="392"/>
      <c r="J116" s="392"/>
      <c r="K116" s="393"/>
      <c r="L116" s="393"/>
      <c r="M116" s="393"/>
      <c r="N116" s="393"/>
      <c r="O116" s="393"/>
      <c r="P116" s="395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  <c r="AA116" s="388"/>
      <c r="AB116" s="388"/>
      <c r="AC116" s="388"/>
      <c r="AD116" s="388"/>
      <c r="AE116" s="388"/>
      <c r="AF116" s="388"/>
      <c r="AG116" s="388"/>
      <c r="AH116" s="388"/>
      <c r="AI116" s="388"/>
      <c r="AJ116" s="388"/>
      <c r="AK116" s="388"/>
      <c r="AL116" s="388"/>
      <c r="AM116" s="388"/>
      <c r="AN116" s="388"/>
      <c r="AO116" s="388"/>
      <c r="AP116" s="388"/>
      <c r="AQ116" s="388"/>
      <c r="AR116" s="388"/>
    </row>
    <row r="117" spans="2:44">
      <c r="B117" s="388"/>
      <c r="C117" s="391"/>
      <c r="D117" s="392"/>
      <c r="E117" s="392"/>
      <c r="F117" s="393"/>
      <c r="G117" s="392"/>
      <c r="H117" s="394"/>
      <c r="I117" s="392"/>
      <c r="J117" s="392"/>
      <c r="K117" s="393"/>
      <c r="L117" s="393"/>
      <c r="M117" s="393"/>
      <c r="N117" s="393"/>
      <c r="O117" s="393"/>
      <c r="P117" s="395"/>
      <c r="Q117" s="388"/>
      <c r="R117" s="388"/>
      <c r="S117" s="388"/>
      <c r="T117" s="388"/>
      <c r="U117" s="388"/>
      <c r="V117" s="388"/>
      <c r="W117" s="388"/>
      <c r="X117" s="388"/>
      <c r="Y117" s="388"/>
      <c r="Z117" s="388"/>
      <c r="AA117" s="388"/>
      <c r="AB117" s="388"/>
      <c r="AC117" s="388"/>
      <c r="AD117" s="388"/>
      <c r="AE117" s="388"/>
      <c r="AF117" s="388"/>
      <c r="AG117" s="388"/>
      <c r="AH117" s="388"/>
      <c r="AI117" s="388"/>
      <c r="AJ117" s="388"/>
      <c r="AK117" s="388"/>
      <c r="AL117" s="388"/>
      <c r="AM117" s="388"/>
      <c r="AN117" s="388"/>
      <c r="AO117" s="388"/>
      <c r="AP117" s="388"/>
      <c r="AQ117" s="388"/>
      <c r="AR117" s="388"/>
    </row>
    <row r="118" spans="2:44">
      <c r="B118" s="388"/>
      <c r="C118" s="391"/>
      <c r="D118" s="392"/>
      <c r="E118" s="392"/>
      <c r="F118" s="393"/>
      <c r="G118" s="392"/>
      <c r="H118" s="394"/>
      <c r="I118" s="392"/>
      <c r="J118" s="392"/>
      <c r="K118" s="393"/>
      <c r="L118" s="393"/>
      <c r="M118" s="393"/>
      <c r="N118" s="393"/>
      <c r="O118" s="393"/>
      <c r="P118" s="395"/>
      <c r="Q118" s="388"/>
      <c r="R118" s="388"/>
      <c r="S118" s="388"/>
      <c r="T118" s="388"/>
      <c r="U118" s="388"/>
      <c r="V118" s="388"/>
      <c r="W118" s="388"/>
      <c r="X118" s="388"/>
      <c r="Y118" s="388"/>
      <c r="Z118" s="388"/>
      <c r="AA118" s="388"/>
      <c r="AB118" s="388"/>
      <c r="AC118" s="388"/>
      <c r="AD118" s="388"/>
      <c r="AE118" s="388"/>
      <c r="AF118" s="388"/>
      <c r="AG118" s="388"/>
      <c r="AH118" s="388"/>
      <c r="AI118" s="388"/>
      <c r="AJ118" s="388"/>
      <c r="AK118" s="388"/>
      <c r="AL118" s="388"/>
      <c r="AM118" s="388"/>
      <c r="AN118" s="388"/>
      <c r="AO118" s="388"/>
      <c r="AP118" s="388"/>
      <c r="AQ118" s="388"/>
      <c r="AR118" s="388"/>
    </row>
    <row r="119" spans="2:44">
      <c r="B119" s="388"/>
      <c r="C119" s="391"/>
      <c r="D119" s="392"/>
      <c r="E119" s="392"/>
      <c r="F119" s="393"/>
      <c r="G119" s="392"/>
      <c r="H119" s="394"/>
      <c r="I119" s="392"/>
      <c r="J119" s="392"/>
      <c r="K119" s="393"/>
      <c r="L119" s="393"/>
      <c r="M119" s="393"/>
      <c r="N119" s="393"/>
      <c r="O119" s="393"/>
      <c r="P119" s="395"/>
      <c r="Q119" s="388"/>
      <c r="R119" s="388"/>
      <c r="S119" s="388"/>
      <c r="T119" s="388"/>
      <c r="U119" s="388"/>
      <c r="V119" s="388"/>
      <c r="W119" s="388"/>
      <c r="X119" s="388"/>
      <c r="Y119" s="388"/>
      <c r="Z119" s="388"/>
      <c r="AA119" s="388"/>
      <c r="AB119" s="388"/>
      <c r="AC119" s="388"/>
      <c r="AD119" s="388"/>
      <c r="AE119" s="388"/>
      <c r="AF119" s="388"/>
      <c r="AG119" s="388"/>
      <c r="AH119" s="388"/>
      <c r="AI119" s="388"/>
      <c r="AJ119" s="388"/>
      <c r="AK119" s="388"/>
      <c r="AL119" s="388"/>
      <c r="AM119" s="388"/>
      <c r="AN119" s="388"/>
      <c r="AO119" s="388"/>
      <c r="AP119" s="388"/>
      <c r="AQ119" s="388"/>
      <c r="AR119" s="388"/>
    </row>
    <row r="120" spans="2:44">
      <c r="B120" s="388"/>
      <c r="C120" s="391"/>
      <c r="D120" s="392"/>
      <c r="E120" s="392"/>
      <c r="F120" s="393"/>
      <c r="G120" s="392"/>
      <c r="H120" s="394"/>
      <c r="I120" s="392"/>
      <c r="J120" s="392"/>
      <c r="K120" s="393"/>
      <c r="L120" s="393"/>
      <c r="M120" s="393"/>
      <c r="N120" s="393"/>
      <c r="O120" s="393"/>
      <c r="P120" s="395"/>
      <c r="Q120" s="388"/>
      <c r="R120" s="388"/>
      <c r="S120" s="388"/>
      <c r="T120" s="388"/>
      <c r="U120" s="388"/>
      <c r="V120" s="388"/>
      <c r="W120" s="388"/>
      <c r="X120" s="388"/>
      <c r="Y120" s="388"/>
      <c r="Z120" s="388"/>
      <c r="AA120" s="388"/>
      <c r="AB120" s="388"/>
      <c r="AC120" s="388"/>
      <c r="AD120" s="388"/>
      <c r="AE120" s="388"/>
      <c r="AF120" s="388"/>
      <c r="AG120" s="388"/>
      <c r="AH120" s="388"/>
      <c r="AI120" s="388"/>
      <c r="AJ120" s="388"/>
      <c r="AK120" s="388"/>
      <c r="AL120" s="388"/>
      <c r="AM120" s="388"/>
      <c r="AN120" s="388"/>
      <c r="AO120" s="388"/>
      <c r="AP120" s="388"/>
      <c r="AQ120" s="388"/>
      <c r="AR120" s="388"/>
    </row>
    <row r="121" spans="2:44">
      <c r="B121" s="388"/>
      <c r="C121" s="391"/>
      <c r="D121" s="392"/>
      <c r="E121" s="392"/>
      <c r="F121" s="393"/>
      <c r="G121" s="392"/>
      <c r="H121" s="394"/>
      <c r="I121" s="392"/>
      <c r="J121" s="392"/>
      <c r="K121" s="393"/>
      <c r="L121" s="393"/>
      <c r="M121" s="393"/>
      <c r="N121" s="393"/>
      <c r="O121" s="393"/>
      <c r="P121" s="395"/>
      <c r="Q121" s="388"/>
      <c r="R121" s="388"/>
      <c r="S121" s="388"/>
      <c r="T121" s="388"/>
      <c r="U121" s="388"/>
      <c r="V121" s="388"/>
      <c r="W121" s="388"/>
      <c r="X121" s="388"/>
      <c r="Y121" s="388"/>
      <c r="Z121" s="388"/>
      <c r="AA121" s="388"/>
      <c r="AB121" s="388"/>
      <c r="AC121" s="388"/>
      <c r="AD121" s="388"/>
      <c r="AE121" s="388"/>
      <c r="AF121" s="388"/>
      <c r="AG121" s="388"/>
      <c r="AH121" s="388"/>
      <c r="AI121" s="388"/>
      <c r="AJ121" s="388"/>
      <c r="AK121" s="388"/>
      <c r="AL121" s="388"/>
      <c r="AM121" s="388"/>
      <c r="AN121" s="388"/>
      <c r="AO121" s="388"/>
      <c r="AP121" s="388"/>
      <c r="AQ121" s="388"/>
      <c r="AR121" s="388"/>
    </row>
    <row r="122" spans="2:44">
      <c r="B122" s="388"/>
      <c r="C122" s="391"/>
      <c r="D122" s="392"/>
      <c r="E122" s="392"/>
      <c r="F122" s="393"/>
      <c r="G122" s="392"/>
      <c r="H122" s="394"/>
      <c r="I122" s="392"/>
      <c r="J122" s="392"/>
      <c r="K122" s="393"/>
      <c r="L122" s="393"/>
      <c r="M122" s="393"/>
      <c r="N122" s="393"/>
      <c r="O122" s="393"/>
      <c r="P122" s="395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  <c r="AD122" s="388"/>
      <c r="AE122" s="388"/>
      <c r="AF122" s="388"/>
      <c r="AG122" s="388"/>
      <c r="AH122" s="388"/>
      <c r="AI122" s="388"/>
      <c r="AJ122" s="388"/>
      <c r="AK122" s="388"/>
      <c r="AL122" s="388"/>
      <c r="AM122" s="388"/>
      <c r="AN122" s="388"/>
      <c r="AO122" s="388"/>
      <c r="AP122" s="388"/>
      <c r="AQ122" s="388"/>
      <c r="AR122" s="388"/>
    </row>
    <row r="123" spans="2:44">
      <c r="B123" s="388"/>
      <c r="C123" s="391"/>
      <c r="D123" s="392"/>
      <c r="E123" s="392"/>
      <c r="F123" s="393"/>
      <c r="G123" s="392"/>
      <c r="H123" s="394"/>
      <c r="I123" s="392"/>
      <c r="J123" s="392"/>
      <c r="K123" s="393"/>
      <c r="L123" s="393"/>
      <c r="M123" s="393"/>
      <c r="N123" s="393"/>
      <c r="O123" s="393"/>
      <c r="P123" s="395"/>
      <c r="Q123" s="388"/>
      <c r="R123" s="388"/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  <c r="AC123" s="388"/>
      <c r="AD123" s="388"/>
      <c r="AE123" s="388"/>
      <c r="AF123" s="388"/>
      <c r="AG123" s="388"/>
      <c r="AH123" s="388"/>
      <c r="AI123" s="388"/>
      <c r="AJ123" s="388"/>
      <c r="AK123" s="388"/>
      <c r="AL123" s="388"/>
      <c r="AM123" s="388"/>
      <c r="AN123" s="388"/>
      <c r="AO123" s="388"/>
      <c r="AP123" s="388"/>
      <c r="AQ123" s="388"/>
      <c r="AR123" s="388"/>
    </row>
    <row r="124" spans="2:44">
      <c r="B124" s="388"/>
      <c r="C124" s="391"/>
      <c r="D124" s="392"/>
      <c r="E124" s="392"/>
      <c r="F124" s="393"/>
      <c r="G124" s="392"/>
      <c r="H124" s="394"/>
      <c r="I124" s="392"/>
      <c r="J124" s="392"/>
      <c r="K124" s="393"/>
      <c r="L124" s="393"/>
      <c r="M124" s="393"/>
      <c r="N124" s="393"/>
      <c r="O124" s="393"/>
      <c r="P124" s="395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8"/>
      <c r="AL124" s="388"/>
      <c r="AM124" s="388"/>
      <c r="AN124" s="388"/>
      <c r="AO124" s="388"/>
      <c r="AP124" s="388"/>
      <c r="AQ124" s="388"/>
      <c r="AR124" s="388"/>
    </row>
    <row r="125" spans="2:44">
      <c r="B125" s="388"/>
      <c r="C125" s="391"/>
      <c r="D125" s="392"/>
      <c r="E125" s="392"/>
      <c r="F125" s="393"/>
      <c r="G125" s="392"/>
      <c r="H125" s="394"/>
      <c r="I125" s="392"/>
      <c r="J125" s="392"/>
      <c r="K125" s="393"/>
      <c r="L125" s="393"/>
      <c r="M125" s="393"/>
      <c r="N125" s="393"/>
      <c r="O125" s="393"/>
      <c r="P125" s="395"/>
      <c r="Q125" s="388"/>
      <c r="R125" s="388"/>
      <c r="S125" s="388"/>
      <c r="T125" s="388"/>
      <c r="U125" s="388"/>
      <c r="V125" s="388"/>
      <c r="W125" s="388"/>
      <c r="X125" s="388"/>
      <c r="Y125" s="388"/>
      <c r="Z125" s="388"/>
      <c r="AA125" s="388"/>
      <c r="AB125" s="388"/>
      <c r="AC125" s="388"/>
      <c r="AD125" s="388"/>
      <c r="AE125" s="388"/>
      <c r="AF125" s="388"/>
      <c r="AG125" s="388"/>
      <c r="AH125" s="388"/>
      <c r="AI125" s="388"/>
      <c r="AJ125" s="388"/>
      <c r="AK125" s="388"/>
      <c r="AL125" s="388"/>
      <c r="AM125" s="388"/>
      <c r="AN125" s="388"/>
      <c r="AO125" s="388"/>
      <c r="AP125" s="388"/>
      <c r="AQ125" s="388"/>
      <c r="AR125" s="388"/>
    </row>
    <row r="126" spans="2:44">
      <c r="B126" s="388"/>
      <c r="C126" s="391"/>
      <c r="D126" s="392"/>
      <c r="E126" s="392"/>
      <c r="F126" s="393"/>
      <c r="G126" s="392"/>
      <c r="H126" s="394"/>
      <c r="I126" s="392"/>
      <c r="J126" s="392"/>
      <c r="K126" s="393"/>
      <c r="L126" s="393"/>
      <c r="M126" s="393"/>
      <c r="N126" s="393"/>
      <c r="O126" s="393"/>
      <c r="P126" s="395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  <c r="AA126" s="388"/>
      <c r="AB126" s="388"/>
      <c r="AC126" s="388"/>
      <c r="AD126" s="388"/>
      <c r="AE126" s="388"/>
      <c r="AF126" s="388"/>
      <c r="AG126" s="388"/>
      <c r="AH126" s="388"/>
      <c r="AI126" s="388"/>
      <c r="AJ126" s="388"/>
      <c r="AK126" s="388"/>
      <c r="AL126" s="388"/>
      <c r="AM126" s="388"/>
      <c r="AN126" s="388"/>
      <c r="AO126" s="388"/>
      <c r="AP126" s="388"/>
      <c r="AQ126" s="388"/>
      <c r="AR126" s="388"/>
    </row>
    <row r="127" spans="2:44">
      <c r="B127" s="388"/>
      <c r="C127" s="391"/>
      <c r="D127" s="392"/>
      <c r="E127" s="392"/>
      <c r="F127" s="393"/>
      <c r="G127" s="392"/>
      <c r="H127" s="394"/>
      <c r="I127" s="392"/>
      <c r="J127" s="392"/>
      <c r="K127" s="393"/>
      <c r="L127" s="393"/>
      <c r="M127" s="393"/>
      <c r="N127" s="393"/>
      <c r="O127" s="393"/>
      <c r="P127" s="395"/>
      <c r="Q127" s="388"/>
      <c r="R127" s="388"/>
      <c r="S127" s="388"/>
      <c r="T127" s="388"/>
      <c r="U127" s="388"/>
      <c r="V127" s="388"/>
      <c r="W127" s="388"/>
      <c r="X127" s="388"/>
      <c r="Y127" s="388"/>
      <c r="Z127" s="388"/>
      <c r="AA127" s="388"/>
      <c r="AB127" s="388"/>
      <c r="AC127" s="388"/>
      <c r="AD127" s="388"/>
      <c r="AE127" s="388"/>
      <c r="AF127" s="388"/>
      <c r="AG127" s="388"/>
      <c r="AH127" s="388"/>
      <c r="AI127" s="388"/>
      <c r="AJ127" s="388"/>
      <c r="AK127" s="388"/>
      <c r="AL127" s="388"/>
      <c r="AM127" s="388"/>
      <c r="AN127" s="388"/>
      <c r="AO127" s="388"/>
      <c r="AP127" s="388"/>
      <c r="AQ127" s="388"/>
      <c r="AR127" s="388"/>
    </row>
    <row r="128" spans="2:44">
      <c r="B128" s="388"/>
      <c r="C128" s="391"/>
      <c r="D128" s="392"/>
      <c r="E128" s="392"/>
      <c r="F128" s="393"/>
      <c r="G128" s="392"/>
      <c r="H128" s="394"/>
      <c r="I128" s="392"/>
      <c r="J128" s="392"/>
      <c r="K128" s="393"/>
      <c r="L128" s="393"/>
      <c r="M128" s="393"/>
      <c r="N128" s="393"/>
      <c r="O128" s="393"/>
      <c r="P128" s="395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  <c r="AA128" s="388"/>
      <c r="AB128" s="388"/>
      <c r="AC128" s="388"/>
      <c r="AD128" s="388"/>
      <c r="AE128" s="388"/>
      <c r="AF128" s="388"/>
      <c r="AG128" s="388"/>
      <c r="AH128" s="388"/>
      <c r="AI128" s="388"/>
      <c r="AJ128" s="388"/>
      <c r="AK128" s="388"/>
      <c r="AL128" s="388"/>
      <c r="AM128" s="388"/>
      <c r="AN128" s="388"/>
      <c r="AO128" s="388"/>
      <c r="AP128" s="388"/>
      <c r="AQ128" s="388"/>
      <c r="AR128" s="388"/>
    </row>
    <row r="129" spans="2:44">
      <c r="B129" s="388"/>
      <c r="C129" s="391"/>
      <c r="D129" s="392"/>
      <c r="E129" s="392"/>
      <c r="F129" s="393"/>
      <c r="G129" s="392"/>
      <c r="H129" s="394"/>
      <c r="I129" s="392"/>
      <c r="J129" s="392"/>
      <c r="K129" s="393"/>
      <c r="L129" s="393"/>
      <c r="M129" s="393"/>
      <c r="N129" s="393"/>
      <c r="O129" s="393"/>
      <c r="P129" s="395"/>
      <c r="Q129" s="388"/>
      <c r="R129" s="388"/>
      <c r="S129" s="388"/>
      <c r="T129" s="388"/>
      <c r="U129" s="388"/>
      <c r="V129" s="388"/>
      <c r="W129" s="388"/>
      <c r="X129" s="388"/>
      <c r="Y129" s="388"/>
      <c r="Z129" s="388"/>
      <c r="AA129" s="388"/>
      <c r="AB129" s="388"/>
      <c r="AC129" s="388"/>
      <c r="AD129" s="388"/>
      <c r="AE129" s="388"/>
      <c r="AF129" s="388"/>
      <c r="AG129" s="388"/>
      <c r="AH129" s="388"/>
      <c r="AI129" s="388"/>
      <c r="AJ129" s="388"/>
      <c r="AK129" s="388"/>
      <c r="AL129" s="388"/>
      <c r="AM129" s="388"/>
      <c r="AN129" s="388"/>
      <c r="AO129" s="388"/>
      <c r="AP129" s="388"/>
      <c r="AQ129" s="388"/>
      <c r="AR129" s="388"/>
    </row>
    <row r="130" spans="2:44">
      <c r="B130" s="388"/>
      <c r="C130" s="391"/>
      <c r="D130" s="392"/>
      <c r="E130" s="392"/>
      <c r="F130" s="393"/>
      <c r="G130" s="392"/>
      <c r="H130" s="394"/>
      <c r="I130" s="392"/>
      <c r="J130" s="392"/>
      <c r="K130" s="393"/>
      <c r="L130" s="393"/>
      <c r="M130" s="393"/>
      <c r="N130" s="393"/>
      <c r="O130" s="393"/>
      <c r="P130" s="395"/>
      <c r="Q130" s="388"/>
      <c r="R130" s="388"/>
      <c r="S130" s="388"/>
      <c r="T130" s="388"/>
      <c r="U130" s="388"/>
      <c r="V130" s="388"/>
      <c r="W130" s="388"/>
      <c r="X130" s="388"/>
      <c r="Y130" s="388"/>
      <c r="Z130" s="388"/>
      <c r="AA130" s="388"/>
      <c r="AB130" s="388"/>
      <c r="AC130" s="388"/>
      <c r="AD130" s="388"/>
      <c r="AE130" s="388"/>
      <c r="AF130" s="388"/>
      <c r="AG130" s="388"/>
      <c r="AH130" s="388"/>
      <c r="AI130" s="388"/>
      <c r="AJ130" s="388"/>
      <c r="AK130" s="388"/>
      <c r="AL130" s="388"/>
      <c r="AM130" s="388"/>
      <c r="AN130" s="388"/>
      <c r="AO130" s="388"/>
      <c r="AP130" s="388"/>
      <c r="AQ130" s="388"/>
      <c r="AR130" s="388"/>
    </row>
    <row r="131" spans="2:44">
      <c r="B131" s="388"/>
      <c r="C131" s="391"/>
      <c r="D131" s="392"/>
      <c r="E131" s="392"/>
      <c r="F131" s="393"/>
      <c r="G131" s="392"/>
      <c r="H131" s="394"/>
      <c r="I131" s="392"/>
      <c r="J131" s="392"/>
      <c r="K131" s="393"/>
      <c r="L131" s="393"/>
      <c r="M131" s="393"/>
      <c r="N131" s="393"/>
      <c r="O131" s="393"/>
      <c r="P131" s="395"/>
      <c r="Q131" s="388"/>
      <c r="R131" s="388"/>
      <c r="S131" s="388"/>
      <c r="T131" s="388"/>
      <c r="U131" s="388"/>
      <c r="V131" s="388"/>
      <c r="W131" s="388"/>
      <c r="X131" s="388"/>
      <c r="Y131" s="388"/>
      <c r="Z131" s="388"/>
      <c r="AA131" s="388"/>
      <c r="AB131" s="388"/>
      <c r="AC131" s="388"/>
      <c r="AD131" s="388"/>
      <c r="AE131" s="388"/>
      <c r="AF131" s="388"/>
      <c r="AG131" s="388"/>
      <c r="AH131" s="388"/>
      <c r="AI131" s="388"/>
      <c r="AJ131" s="388"/>
      <c r="AK131" s="388"/>
      <c r="AL131" s="388"/>
      <c r="AM131" s="388"/>
      <c r="AN131" s="388"/>
      <c r="AO131" s="388"/>
      <c r="AP131" s="388"/>
      <c r="AQ131" s="388"/>
      <c r="AR131" s="388"/>
    </row>
  </sheetData>
  <sheetProtection algorithmName="SHA-512" hashValue="xNqk1esN0EhD3BaHWjrXyDLoJRNMdkVrpcgVqUdxTFGff4FSxfBaOssjpTQb0DOtsxeLvT+zT3JmJ27MmpJ50w==" saltValue="a2QKGvURsLVYxgxPB0u8NA==" spinCount="100000" sheet="1" objects="1" scenarios="1"/>
  <sortState xmlns:xlrd2="http://schemas.microsoft.com/office/spreadsheetml/2017/richdata2" ref="A5:AR37">
    <sortCondition ref="A5:A37"/>
  </sortState>
  <conditionalFormatting sqref="D1:Y20 D22:Y1048576 P21:Y21">
    <cfRule type="cellIs" priority="2" stopIfTrue="1" operator="between">
      <formula>"0,000000001"</formula>
      <formula>100000000</formula>
    </cfRule>
  </conditionalFormatting>
  <conditionalFormatting sqref="D21:O21">
    <cfRule type="cellIs" priority="1" stopIfTrue="1" operator="between">
      <formula>"0,000000001"</formula>
      <formula>100000000</formula>
    </cfRule>
  </conditionalFormatting>
  <pageMargins left="0.31496062992125984" right="0.23622047244094491" top="0.47244094488188981" bottom="0.35433070866141736" header="1.1023622047244095" footer="0.15748031496062992"/>
  <pageSetup paperSize="9" scale="90" orientation="landscape" r:id="rId1"/>
  <headerFooter alignWithMargins="0">
    <oddHeader>&amp;R&amp;8Utskriftsdatum: &amp;D 
Analyserande lab, gällande metoder och mätosäkerheter, se bilaga.</oddHeader>
    <oddFooter xml:space="preserve">&amp;L&amp;8Ekologigruppen Ekoplan AB
Stora Södergatan 8C, 222 23 Lund
Telefon: 046-106750&amp;C&amp;8sid 1(1)&amp;R&amp;"Arial,Kursiv"&amp;7Denna rapport får endast återges i sin helhet, om inte 
utfärdande laboratorium i färväg skriftligen godkänt annat.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17D6-6008-4757-8B36-86178D8E86C3}">
  <sheetPr codeName="Blad19">
    <tabColor rgb="FF00B050"/>
  </sheetPr>
  <dimension ref="B1:AD89"/>
  <sheetViews>
    <sheetView showGridLines="0" showRowColHeaders="0" zoomScaleNormal="100" workbookViewId="0">
      <pane ySplit="5" topLeftCell="A16" activePane="bottomLeft" state="frozen"/>
      <selection pane="bottomLeft" activeCell="AF29" sqref="AF29"/>
    </sheetView>
  </sheetViews>
  <sheetFormatPr defaultColWidth="9.08984375" defaultRowHeight="12.5"/>
  <cols>
    <col min="1" max="1" width="2.453125" style="166" customWidth="1"/>
    <col min="2" max="2" width="5.36328125" style="624" customWidth="1"/>
    <col min="3" max="3" width="5.54296875" style="166" customWidth="1"/>
    <col min="4" max="4" width="7.453125" style="166" customWidth="1"/>
    <col min="5" max="5" width="2.453125" style="166" customWidth="1"/>
    <col min="6" max="9" width="9.08984375" style="166"/>
    <col min="10" max="10" width="2.453125" style="166" customWidth="1"/>
    <col min="11" max="11" width="3.90625" style="166" customWidth="1"/>
    <col min="12" max="12" width="5.36328125" style="624" customWidth="1"/>
    <col min="13" max="13" width="5.54296875" style="166" customWidth="1"/>
    <col min="14" max="14" width="7.453125" style="166" customWidth="1"/>
    <col min="15" max="15" width="2.453125" style="166" customWidth="1"/>
    <col min="16" max="19" width="9.08984375" style="166"/>
    <col min="20" max="20" width="2.453125" style="166" customWidth="1"/>
    <col min="21" max="21" width="3.36328125" style="166" customWidth="1"/>
    <col min="22" max="22" width="5.36328125" style="624" customWidth="1"/>
    <col min="23" max="23" width="5.54296875" style="166" customWidth="1"/>
    <col min="24" max="24" width="7.453125" style="166" customWidth="1"/>
    <col min="25" max="25" width="2.453125" style="166" customWidth="1"/>
    <col min="26" max="29" width="9.08984375" style="166"/>
    <col min="30" max="30" width="2.453125" style="166" customWidth="1"/>
    <col min="31" max="16384" width="9.08984375" style="166"/>
  </cols>
  <sheetData>
    <row r="1" spans="2:30" s="671" customFormat="1" ht="30.75" customHeight="1">
      <c r="B1" s="672"/>
      <c r="L1" s="672"/>
      <c r="V1" s="672"/>
    </row>
    <row r="2" spans="2:30" s="671" customFormat="1" ht="23">
      <c r="B2" s="693" t="s">
        <v>404</v>
      </c>
      <c r="C2" s="673"/>
      <c r="D2" s="674"/>
      <c r="L2" s="675"/>
      <c r="M2" s="674"/>
      <c r="N2" s="674"/>
      <c r="V2" s="675"/>
      <c r="W2" s="674"/>
      <c r="X2" s="674"/>
    </row>
    <row r="3" spans="2:30" s="671" customFormat="1" ht="23">
      <c r="B3" s="693" t="s">
        <v>351</v>
      </c>
      <c r="C3" s="673"/>
      <c r="D3" s="674"/>
      <c r="L3" s="675"/>
      <c r="M3" s="674"/>
      <c r="N3" s="674"/>
      <c r="V3" s="675"/>
      <c r="W3" s="674"/>
      <c r="X3" s="674"/>
    </row>
    <row r="4" spans="2:30" s="671" customFormat="1" ht="12.75" customHeight="1">
      <c r="B4" s="672"/>
      <c r="L4" s="672"/>
      <c r="V4" s="672"/>
    </row>
    <row r="5" spans="2:30" s="671" customFormat="1" ht="6.75" customHeight="1">
      <c r="B5" s="672"/>
      <c r="L5" s="672"/>
      <c r="V5" s="672"/>
    </row>
    <row r="7" spans="2:30">
      <c r="B7" s="676" t="s">
        <v>314</v>
      </c>
      <c r="C7" s="677"/>
      <c r="D7" s="678" t="s">
        <v>347</v>
      </c>
      <c r="E7" s="677"/>
      <c r="F7" s="679">
        <f>Resultat!$C24</f>
        <v>45670</v>
      </c>
      <c r="L7" s="676" t="s">
        <v>315</v>
      </c>
      <c r="M7" s="677"/>
      <c r="N7" s="678" t="s">
        <v>347</v>
      </c>
      <c r="P7" s="679" t="str">
        <f>Resultat!$C36</f>
        <v/>
      </c>
      <c r="V7" s="676" t="s">
        <v>316</v>
      </c>
      <c r="W7" s="677"/>
      <c r="X7" s="678" t="s">
        <v>347</v>
      </c>
      <c r="Z7" s="679">
        <f>Resultat!$C58</f>
        <v>45728</v>
      </c>
    </row>
    <row r="8" spans="2:30">
      <c r="B8" s="680" t="s">
        <v>344</v>
      </c>
      <c r="C8" s="681" t="s">
        <v>345</v>
      </c>
      <c r="D8" s="681" t="s">
        <v>346</v>
      </c>
      <c r="G8" s="682"/>
      <c r="H8" s="682"/>
      <c r="I8" s="682"/>
      <c r="J8" s="683"/>
      <c r="L8" s="680" t="s">
        <v>344</v>
      </c>
      <c r="M8" s="684" t="s">
        <v>345</v>
      </c>
      <c r="N8" s="684" t="s">
        <v>346</v>
      </c>
      <c r="O8" s="682"/>
      <c r="P8" s="682"/>
      <c r="Q8" s="682"/>
      <c r="R8" s="682"/>
      <c r="S8" s="682"/>
      <c r="T8" s="683"/>
      <c r="V8" s="680" t="s">
        <v>344</v>
      </c>
      <c r="W8" s="684" t="s">
        <v>345</v>
      </c>
      <c r="X8" s="684" t="s">
        <v>346</v>
      </c>
      <c r="Y8" s="682"/>
      <c r="Z8" s="682"/>
      <c r="AA8" s="682"/>
      <c r="AB8" s="682"/>
      <c r="AC8" s="682"/>
      <c r="AD8" s="683"/>
    </row>
    <row r="9" spans="2:30">
      <c r="B9" s="685" t="s">
        <v>348</v>
      </c>
      <c r="C9" s="686" t="s">
        <v>349</v>
      </c>
      <c r="D9" s="686" t="s">
        <v>350</v>
      </c>
      <c r="J9" s="687"/>
      <c r="L9" s="685" t="s">
        <v>348</v>
      </c>
      <c r="M9" s="686" t="s">
        <v>349</v>
      </c>
      <c r="N9" s="686" t="s">
        <v>350</v>
      </c>
      <c r="T9" s="687"/>
      <c r="V9" s="685" t="s">
        <v>348</v>
      </c>
      <c r="W9" s="686" t="s">
        <v>349</v>
      </c>
      <c r="X9" s="686" t="s">
        <v>350</v>
      </c>
      <c r="AD9" s="687"/>
    </row>
    <row r="10" spans="2:30" ht="9.9" customHeight="1">
      <c r="B10" s="688">
        <v>0.5</v>
      </c>
      <c r="C10" s="689">
        <f>IF(Resultat!$D24="",0,Resultat!$D24)</f>
        <v>1.5</v>
      </c>
      <c r="D10" s="689">
        <f>IF(Resultat!$E24="",0,Resultat!$E24)</f>
        <v>13.74</v>
      </c>
      <c r="J10" s="687"/>
      <c r="L10" s="688">
        <v>0.5</v>
      </c>
      <c r="M10" s="689">
        <f>IF(Resultat!$D36="",0,Resultat!$D36)</f>
        <v>0</v>
      </c>
      <c r="N10" s="689">
        <f>IF(Resultat!$E36="",0,Resultat!$E36)</f>
        <v>0</v>
      </c>
      <c r="T10" s="687"/>
      <c r="V10" s="688">
        <v>0.5</v>
      </c>
      <c r="W10" s="689">
        <f>IF(Resultat!$D58="",0,Resultat!$D58)</f>
        <v>4.3</v>
      </c>
      <c r="X10" s="689">
        <f>IF(Resultat!$E58="",0,Resultat!$E58)</f>
        <v>14.6</v>
      </c>
      <c r="AD10" s="687"/>
    </row>
    <row r="11" spans="2:30" ht="9.9" customHeight="1">
      <c r="B11" s="690">
        <v>1</v>
      </c>
      <c r="C11" s="669"/>
      <c r="D11" s="669"/>
      <c r="J11" s="687"/>
      <c r="L11" s="690">
        <v>1</v>
      </c>
      <c r="M11" s="669"/>
      <c r="N11" s="669"/>
      <c r="T11" s="687"/>
      <c r="V11" s="690">
        <v>1</v>
      </c>
      <c r="W11" s="669"/>
      <c r="X11" s="669"/>
      <c r="AD11" s="687"/>
    </row>
    <row r="12" spans="2:30" ht="9.9" customHeight="1">
      <c r="B12" s="690">
        <v>2</v>
      </c>
      <c r="C12" s="669"/>
      <c r="D12" s="669"/>
      <c r="J12" s="687"/>
      <c r="L12" s="690">
        <v>2</v>
      </c>
      <c r="M12" s="669"/>
      <c r="N12" s="669"/>
      <c r="T12" s="687"/>
      <c r="V12" s="690">
        <v>2</v>
      </c>
      <c r="W12" s="669"/>
      <c r="X12" s="669"/>
      <c r="AD12" s="687"/>
    </row>
    <row r="13" spans="2:30" ht="9.9" customHeight="1">
      <c r="B13" s="690">
        <v>3</v>
      </c>
      <c r="C13" s="669"/>
      <c r="D13" s="669"/>
      <c r="J13" s="687"/>
      <c r="L13" s="690">
        <v>3</v>
      </c>
      <c r="M13" s="669"/>
      <c r="N13" s="669"/>
      <c r="T13" s="687"/>
      <c r="V13" s="690">
        <v>3</v>
      </c>
      <c r="W13" s="669"/>
      <c r="X13" s="669"/>
      <c r="AD13" s="687"/>
    </row>
    <row r="14" spans="2:30" ht="9.9" customHeight="1">
      <c r="B14" s="690">
        <v>4</v>
      </c>
      <c r="C14" s="669"/>
      <c r="D14" s="669"/>
      <c r="J14" s="687"/>
      <c r="L14" s="690">
        <v>4</v>
      </c>
      <c r="M14" s="669"/>
      <c r="N14" s="669"/>
      <c r="T14" s="687"/>
      <c r="V14" s="690">
        <v>4</v>
      </c>
      <c r="W14" s="669"/>
      <c r="X14" s="669"/>
      <c r="AD14" s="687"/>
    </row>
    <row r="15" spans="2:30" ht="9.9" customHeight="1">
      <c r="B15" s="690">
        <v>5</v>
      </c>
      <c r="C15" s="669"/>
      <c r="D15" s="669"/>
      <c r="J15" s="687"/>
      <c r="L15" s="690">
        <v>5</v>
      </c>
      <c r="M15" s="669"/>
      <c r="N15" s="669"/>
      <c r="T15" s="687"/>
      <c r="V15" s="690">
        <v>5</v>
      </c>
      <c r="W15" s="669"/>
      <c r="X15" s="669"/>
      <c r="AD15" s="687"/>
    </row>
    <row r="16" spans="2:30" ht="9.9" customHeight="1">
      <c r="B16" s="690">
        <v>6</v>
      </c>
      <c r="C16" s="669"/>
      <c r="D16" s="669"/>
      <c r="J16" s="687"/>
      <c r="L16" s="690">
        <v>6</v>
      </c>
      <c r="M16" s="669"/>
      <c r="N16" s="669"/>
      <c r="T16" s="687"/>
      <c r="V16" s="690">
        <v>6</v>
      </c>
      <c r="W16" s="669"/>
      <c r="X16" s="669"/>
      <c r="AD16" s="687"/>
    </row>
    <row r="17" spans="2:30" ht="9.9" customHeight="1">
      <c r="B17" s="690">
        <v>7</v>
      </c>
      <c r="C17" s="669"/>
      <c r="D17" s="669"/>
      <c r="J17" s="687"/>
      <c r="L17" s="690">
        <v>7</v>
      </c>
      <c r="M17" s="669"/>
      <c r="N17" s="669"/>
      <c r="T17" s="687"/>
      <c r="V17" s="690">
        <v>7</v>
      </c>
      <c r="W17" s="669"/>
      <c r="X17" s="669"/>
      <c r="AD17" s="687"/>
    </row>
    <row r="18" spans="2:30" ht="9.9" customHeight="1">
      <c r="B18" s="690">
        <v>8</v>
      </c>
      <c r="C18" s="669"/>
      <c r="D18" s="669"/>
      <c r="J18" s="687"/>
      <c r="L18" s="690">
        <v>8</v>
      </c>
      <c r="M18" s="669"/>
      <c r="N18" s="669"/>
      <c r="T18" s="687"/>
      <c r="V18" s="690">
        <v>8</v>
      </c>
      <c r="W18" s="669"/>
      <c r="X18" s="669"/>
      <c r="AD18" s="687"/>
    </row>
    <row r="19" spans="2:30" ht="9.9" customHeight="1">
      <c r="B19" s="690">
        <v>9</v>
      </c>
      <c r="C19" s="669"/>
      <c r="D19" s="669"/>
      <c r="J19" s="687"/>
      <c r="L19" s="690">
        <v>9</v>
      </c>
      <c r="M19" s="669"/>
      <c r="N19" s="669"/>
      <c r="T19" s="687"/>
      <c r="V19" s="690">
        <v>9</v>
      </c>
      <c r="W19" s="669"/>
      <c r="X19" s="669"/>
      <c r="AD19" s="687"/>
    </row>
    <row r="20" spans="2:30" ht="9.9" customHeight="1">
      <c r="B20" s="690">
        <v>10</v>
      </c>
      <c r="C20" s="669">
        <v>2</v>
      </c>
      <c r="D20" s="669">
        <v>13.24</v>
      </c>
      <c r="J20" s="687"/>
      <c r="L20" s="690">
        <v>10</v>
      </c>
      <c r="M20" s="669"/>
      <c r="N20" s="669"/>
      <c r="T20" s="687"/>
      <c r="V20" s="690">
        <v>10</v>
      </c>
      <c r="W20" s="669"/>
      <c r="X20" s="669"/>
      <c r="AD20" s="687"/>
    </row>
    <row r="21" spans="2:30" ht="9.9" customHeight="1">
      <c r="B21" s="690">
        <v>11</v>
      </c>
      <c r="C21" s="669"/>
      <c r="D21" s="669"/>
      <c r="J21" s="687"/>
      <c r="L21" s="690">
        <v>11</v>
      </c>
      <c r="M21" s="669"/>
      <c r="N21" s="669"/>
      <c r="T21" s="687"/>
      <c r="V21" s="690">
        <v>11</v>
      </c>
      <c r="W21" s="669"/>
      <c r="X21" s="669"/>
      <c r="AD21" s="687"/>
    </row>
    <row r="22" spans="2:30" ht="9.9" customHeight="1">
      <c r="B22" s="690">
        <v>12</v>
      </c>
      <c r="C22" s="669"/>
      <c r="D22" s="669"/>
      <c r="J22" s="687"/>
      <c r="L22" s="690">
        <v>12</v>
      </c>
      <c r="M22" s="669"/>
      <c r="N22" s="669"/>
      <c r="T22" s="687"/>
      <c r="V22" s="690">
        <v>12</v>
      </c>
      <c r="W22" s="669"/>
      <c r="X22" s="669"/>
      <c r="AD22" s="687"/>
    </row>
    <row r="23" spans="2:30" ht="9.9" customHeight="1">
      <c r="B23" s="690">
        <v>13</v>
      </c>
      <c r="C23" s="669"/>
      <c r="D23" s="669"/>
      <c r="J23" s="687"/>
      <c r="L23" s="690">
        <v>13</v>
      </c>
      <c r="M23" s="669"/>
      <c r="N23" s="669"/>
      <c r="T23" s="687"/>
      <c r="V23" s="690">
        <v>13</v>
      </c>
      <c r="W23" s="669"/>
      <c r="X23" s="669"/>
      <c r="AD23" s="687"/>
    </row>
    <row r="24" spans="2:30" ht="9.9" customHeight="1">
      <c r="B24" s="690">
        <v>14</v>
      </c>
      <c r="C24" s="669"/>
      <c r="D24" s="669"/>
      <c r="J24" s="687"/>
      <c r="L24" s="690">
        <v>14</v>
      </c>
      <c r="M24" s="669"/>
      <c r="N24" s="669"/>
      <c r="T24" s="687"/>
      <c r="V24" s="690">
        <v>14</v>
      </c>
      <c r="W24" s="669"/>
      <c r="X24" s="669"/>
      <c r="AD24" s="687"/>
    </row>
    <row r="25" spans="2:30" ht="9.9" customHeight="1">
      <c r="B25" s="690">
        <v>15</v>
      </c>
      <c r="C25" s="669"/>
      <c r="D25" s="669"/>
      <c r="J25" s="687"/>
      <c r="L25" s="690">
        <v>15</v>
      </c>
      <c r="M25" s="669"/>
      <c r="N25" s="669"/>
      <c r="T25" s="687"/>
      <c r="V25" s="690">
        <v>15</v>
      </c>
      <c r="W25" s="669">
        <v>4.7</v>
      </c>
      <c r="X25" s="669">
        <v>14.55</v>
      </c>
      <c r="AD25" s="687"/>
    </row>
    <row r="26" spans="2:30" ht="9.9" customHeight="1">
      <c r="B26" s="691">
        <v>16</v>
      </c>
      <c r="C26" s="670"/>
      <c r="D26" s="670"/>
      <c r="E26" s="677"/>
      <c r="F26" s="677"/>
      <c r="G26" s="677"/>
      <c r="H26" s="677"/>
      <c r="I26" s="677"/>
      <c r="J26" s="692"/>
      <c r="L26" s="691">
        <v>16</v>
      </c>
      <c r="M26" s="670"/>
      <c r="N26" s="670"/>
      <c r="O26" s="677"/>
      <c r="P26" s="677"/>
      <c r="Q26" s="677"/>
      <c r="R26" s="677"/>
      <c r="S26" s="677"/>
      <c r="T26" s="692"/>
      <c r="V26" s="691">
        <v>16</v>
      </c>
      <c r="W26" s="670"/>
      <c r="X26" s="670"/>
      <c r="Y26" s="677"/>
      <c r="Z26" s="677"/>
      <c r="AA26" s="677"/>
      <c r="AB26" s="677"/>
      <c r="AC26" s="677"/>
      <c r="AD26" s="692"/>
    </row>
    <row r="28" spans="2:30">
      <c r="B28" s="676" t="s">
        <v>317</v>
      </c>
      <c r="C28" s="677"/>
      <c r="D28" s="678" t="s">
        <v>347</v>
      </c>
      <c r="E28" s="677"/>
      <c r="F28" s="679">
        <f>Resultat!$C70</f>
        <v>45761</v>
      </c>
      <c r="L28" s="676" t="s">
        <v>318</v>
      </c>
      <c r="M28" s="677"/>
      <c r="N28" s="678" t="s">
        <v>347</v>
      </c>
      <c r="P28" s="679" t="str">
        <f>Resultat!$C92</f>
        <v>2025-05-15</v>
      </c>
      <c r="V28" s="676" t="s">
        <v>319</v>
      </c>
      <c r="W28" s="677"/>
      <c r="X28" s="678" t="s">
        <v>347</v>
      </c>
      <c r="Z28" s="679" t="str">
        <f>Resultat!$C104</f>
        <v/>
      </c>
      <c r="AA28" s="735" t="s">
        <v>396</v>
      </c>
    </row>
    <row r="29" spans="2:30">
      <c r="B29" s="680" t="s">
        <v>344</v>
      </c>
      <c r="C29" s="681" t="s">
        <v>345</v>
      </c>
      <c r="D29" s="681" t="s">
        <v>346</v>
      </c>
      <c r="G29" s="682"/>
      <c r="H29" s="682"/>
      <c r="I29" s="682"/>
      <c r="J29" s="683"/>
      <c r="L29" s="680" t="s">
        <v>344</v>
      </c>
      <c r="M29" s="684" t="s">
        <v>345</v>
      </c>
      <c r="N29" s="684" t="s">
        <v>346</v>
      </c>
      <c r="O29" s="682"/>
      <c r="P29" s="682"/>
      <c r="Q29" s="682"/>
      <c r="R29" s="682"/>
      <c r="S29" s="682"/>
      <c r="T29" s="683"/>
      <c r="V29" s="680" t="s">
        <v>344</v>
      </c>
      <c r="W29" s="684" t="s">
        <v>345</v>
      </c>
      <c r="X29" s="684" t="s">
        <v>346</v>
      </c>
      <c r="Y29" s="682"/>
      <c r="Z29" s="682"/>
      <c r="AA29" s="682"/>
      <c r="AB29" s="682"/>
      <c r="AC29" s="682"/>
      <c r="AD29" s="683"/>
    </row>
    <row r="30" spans="2:30">
      <c r="B30" s="685" t="s">
        <v>348</v>
      </c>
      <c r="C30" s="686" t="s">
        <v>349</v>
      </c>
      <c r="D30" s="686" t="s">
        <v>350</v>
      </c>
      <c r="J30" s="687"/>
      <c r="L30" s="685" t="s">
        <v>348</v>
      </c>
      <c r="M30" s="686" t="s">
        <v>349</v>
      </c>
      <c r="N30" s="686" t="s">
        <v>350</v>
      </c>
      <c r="T30" s="687"/>
      <c r="V30" s="685" t="s">
        <v>348</v>
      </c>
      <c r="W30" s="686" t="s">
        <v>349</v>
      </c>
      <c r="X30" s="686" t="s">
        <v>350</v>
      </c>
      <c r="AD30" s="687"/>
    </row>
    <row r="31" spans="2:30" ht="9.9" customHeight="1">
      <c r="B31" s="688">
        <v>0.5</v>
      </c>
      <c r="C31" s="689">
        <f>IF(Resultat!$D70="",0,Resultat!$D70)</f>
        <v>9.4</v>
      </c>
      <c r="D31" s="689">
        <f>IF(Resultat!$E70="",0,Resultat!$E70)</f>
        <v>11.78</v>
      </c>
      <c r="J31" s="687"/>
      <c r="L31" s="688">
        <v>0.5</v>
      </c>
      <c r="M31" s="689">
        <f>IF(Resultat!$D92="",0,Resultat!$D92)</f>
        <v>12</v>
      </c>
      <c r="N31" s="689">
        <f>IF(Resultat!$E92="",0,Resultat!$E92)</f>
        <v>10.79</v>
      </c>
      <c r="T31" s="687"/>
      <c r="V31" s="688">
        <v>0.5</v>
      </c>
      <c r="W31" s="689">
        <f>IF(Resultat!$D104="",0,Resultat!$D104)</f>
        <v>0</v>
      </c>
      <c r="X31" s="689">
        <f>IF(Resultat!$E104="",0,Resultat!$E104)</f>
        <v>0</v>
      </c>
      <c r="AD31" s="687"/>
    </row>
    <row r="32" spans="2:30" ht="9.9" customHeight="1">
      <c r="B32" s="690">
        <v>1</v>
      </c>
      <c r="C32" s="669"/>
      <c r="D32" s="669"/>
      <c r="J32" s="687"/>
      <c r="L32" s="690">
        <v>1</v>
      </c>
      <c r="M32" s="669"/>
      <c r="N32" s="669"/>
      <c r="T32" s="687"/>
      <c r="V32" s="690">
        <v>1</v>
      </c>
      <c r="W32" s="669"/>
      <c r="X32" s="669"/>
      <c r="AD32" s="687"/>
    </row>
    <row r="33" spans="2:30" ht="9.9" customHeight="1">
      <c r="B33" s="690">
        <v>2</v>
      </c>
      <c r="C33" s="669"/>
      <c r="D33" s="669"/>
      <c r="J33" s="687"/>
      <c r="L33" s="690">
        <v>2</v>
      </c>
      <c r="M33" s="669"/>
      <c r="N33" s="669"/>
      <c r="T33" s="687"/>
      <c r="V33" s="690">
        <v>2</v>
      </c>
      <c r="W33" s="669"/>
      <c r="X33" s="669"/>
      <c r="AD33" s="687"/>
    </row>
    <row r="34" spans="2:30" ht="9.9" customHeight="1">
      <c r="B34" s="690">
        <v>3</v>
      </c>
      <c r="C34" s="669"/>
      <c r="D34" s="669"/>
      <c r="J34" s="687"/>
      <c r="L34" s="690">
        <v>3</v>
      </c>
      <c r="M34" s="669"/>
      <c r="N34" s="669"/>
      <c r="T34" s="687"/>
      <c r="V34" s="690">
        <v>3</v>
      </c>
      <c r="W34" s="669"/>
      <c r="X34" s="669"/>
      <c r="AD34" s="687"/>
    </row>
    <row r="35" spans="2:30" ht="9.9" customHeight="1">
      <c r="B35" s="690">
        <v>4</v>
      </c>
      <c r="C35" s="669"/>
      <c r="D35" s="669"/>
      <c r="J35" s="687"/>
      <c r="L35" s="690">
        <v>4</v>
      </c>
      <c r="M35" s="669"/>
      <c r="N35" s="669"/>
      <c r="T35" s="687"/>
      <c r="V35" s="690">
        <v>4</v>
      </c>
      <c r="W35" s="669"/>
      <c r="X35" s="669"/>
      <c r="AD35" s="687"/>
    </row>
    <row r="36" spans="2:30" ht="9.9" customHeight="1">
      <c r="B36" s="690">
        <v>5</v>
      </c>
      <c r="C36" s="669"/>
      <c r="D36" s="669"/>
      <c r="J36" s="687"/>
      <c r="L36" s="690">
        <v>5</v>
      </c>
      <c r="M36" s="669"/>
      <c r="N36" s="669"/>
      <c r="T36" s="687"/>
      <c r="V36" s="690">
        <v>5</v>
      </c>
      <c r="W36" s="669"/>
      <c r="X36" s="669"/>
      <c r="AD36" s="687"/>
    </row>
    <row r="37" spans="2:30" ht="9.9" customHeight="1">
      <c r="B37" s="690">
        <v>6</v>
      </c>
      <c r="C37" s="669"/>
      <c r="D37" s="669"/>
      <c r="J37" s="687"/>
      <c r="L37" s="690">
        <v>6</v>
      </c>
      <c r="M37" s="669"/>
      <c r="N37" s="669"/>
      <c r="T37" s="687"/>
      <c r="V37" s="690">
        <v>6</v>
      </c>
      <c r="W37" s="669"/>
      <c r="X37" s="669"/>
      <c r="AD37" s="687"/>
    </row>
    <row r="38" spans="2:30" ht="9.9" customHeight="1">
      <c r="B38" s="690">
        <v>7</v>
      </c>
      <c r="C38" s="669"/>
      <c r="D38" s="669"/>
      <c r="J38" s="687"/>
      <c r="L38" s="690">
        <v>7</v>
      </c>
      <c r="M38" s="669"/>
      <c r="N38" s="669"/>
      <c r="T38" s="687"/>
      <c r="V38" s="690">
        <v>7</v>
      </c>
      <c r="W38" s="669"/>
      <c r="X38" s="669"/>
      <c r="AD38" s="687"/>
    </row>
    <row r="39" spans="2:30" ht="9.9" customHeight="1">
      <c r="B39" s="690">
        <v>8</v>
      </c>
      <c r="C39" s="669"/>
      <c r="D39" s="669"/>
      <c r="J39" s="687"/>
      <c r="L39" s="690">
        <v>8</v>
      </c>
      <c r="M39" s="669">
        <v>11.4</v>
      </c>
      <c r="N39" s="669">
        <v>10.52</v>
      </c>
      <c r="T39" s="687"/>
      <c r="V39" s="690">
        <v>8</v>
      </c>
      <c r="W39" s="669"/>
      <c r="X39" s="669"/>
      <c r="AD39" s="687"/>
    </row>
    <row r="40" spans="2:30" ht="9.9" customHeight="1">
      <c r="B40" s="690">
        <v>9</v>
      </c>
      <c r="C40" s="669"/>
      <c r="D40" s="669"/>
      <c r="J40" s="687"/>
      <c r="L40" s="690">
        <v>9</v>
      </c>
      <c r="M40" s="669"/>
      <c r="N40" s="669"/>
      <c r="T40" s="687"/>
      <c r="V40" s="690">
        <v>9</v>
      </c>
      <c r="W40" s="669"/>
      <c r="X40" s="669"/>
      <c r="AD40" s="687"/>
    </row>
    <row r="41" spans="2:30" ht="9.9" customHeight="1">
      <c r="B41" s="690">
        <v>10</v>
      </c>
      <c r="C41" s="669"/>
      <c r="D41" s="669"/>
      <c r="J41" s="687"/>
      <c r="L41" s="690">
        <v>10</v>
      </c>
      <c r="M41" s="669"/>
      <c r="N41" s="669"/>
      <c r="T41" s="687"/>
      <c r="V41" s="690">
        <v>10</v>
      </c>
      <c r="W41" s="669"/>
      <c r="X41" s="669"/>
      <c r="AD41" s="687"/>
    </row>
    <row r="42" spans="2:30" ht="9.9" customHeight="1">
      <c r="B42" s="690">
        <v>11</v>
      </c>
      <c r="C42" s="669"/>
      <c r="D42" s="669"/>
      <c r="J42" s="687"/>
      <c r="L42" s="690">
        <v>11</v>
      </c>
      <c r="M42" s="669"/>
      <c r="N42" s="669"/>
      <c r="T42" s="687"/>
      <c r="V42" s="690">
        <v>11</v>
      </c>
      <c r="W42" s="669"/>
      <c r="X42" s="669"/>
      <c r="AD42" s="687"/>
    </row>
    <row r="43" spans="2:30" ht="9.9" customHeight="1">
      <c r="B43" s="690">
        <v>12</v>
      </c>
      <c r="C43" s="669"/>
      <c r="D43" s="669"/>
      <c r="J43" s="687"/>
      <c r="L43" s="690">
        <v>12</v>
      </c>
      <c r="M43" s="669"/>
      <c r="N43" s="669"/>
      <c r="T43" s="687"/>
      <c r="V43" s="690">
        <v>12</v>
      </c>
      <c r="W43" s="669"/>
      <c r="X43" s="669"/>
      <c r="AD43" s="687"/>
    </row>
    <row r="44" spans="2:30" ht="9.9" customHeight="1">
      <c r="B44" s="690">
        <v>13</v>
      </c>
      <c r="C44" s="669"/>
      <c r="D44" s="669"/>
      <c r="J44" s="687"/>
      <c r="L44" s="690">
        <v>13</v>
      </c>
      <c r="M44" s="669"/>
      <c r="N44" s="669"/>
      <c r="T44" s="687"/>
      <c r="V44" s="690">
        <v>13</v>
      </c>
      <c r="W44" s="669"/>
      <c r="X44" s="669"/>
      <c r="AD44" s="687"/>
    </row>
    <row r="45" spans="2:30" ht="9.9" customHeight="1">
      <c r="B45" s="690">
        <v>14</v>
      </c>
      <c r="C45" s="669"/>
      <c r="D45" s="669"/>
      <c r="J45" s="687"/>
      <c r="L45" s="690">
        <v>14</v>
      </c>
      <c r="M45" s="669"/>
      <c r="N45" s="669"/>
      <c r="T45" s="687"/>
      <c r="V45" s="690">
        <v>14</v>
      </c>
      <c r="W45" s="669"/>
      <c r="X45" s="669"/>
      <c r="AD45" s="687"/>
    </row>
    <row r="46" spans="2:30" ht="9.9" customHeight="1">
      <c r="B46" s="690">
        <v>15</v>
      </c>
      <c r="C46" s="669">
        <v>9.5</v>
      </c>
      <c r="D46" s="669">
        <v>11.41</v>
      </c>
      <c r="J46" s="687"/>
      <c r="L46" s="690">
        <v>15</v>
      </c>
      <c r="M46" s="669"/>
      <c r="N46" s="669"/>
      <c r="T46" s="687"/>
      <c r="V46" s="690">
        <v>15</v>
      </c>
      <c r="W46" s="669"/>
      <c r="X46" s="669"/>
      <c r="AD46" s="687"/>
    </row>
    <row r="47" spans="2:30" ht="9.9" customHeight="1">
      <c r="B47" s="691">
        <v>16</v>
      </c>
      <c r="C47" s="670"/>
      <c r="D47" s="670"/>
      <c r="E47" s="677"/>
      <c r="F47" s="677"/>
      <c r="G47" s="677"/>
      <c r="H47" s="677"/>
      <c r="I47" s="677"/>
      <c r="J47" s="692"/>
      <c r="L47" s="691">
        <v>16</v>
      </c>
      <c r="M47" s="670"/>
      <c r="N47" s="670"/>
      <c r="O47" s="677"/>
      <c r="P47" s="677"/>
      <c r="Q47" s="677"/>
      <c r="R47" s="677"/>
      <c r="S47" s="677"/>
      <c r="T47" s="692"/>
      <c r="V47" s="691">
        <v>16</v>
      </c>
      <c r="W47" s="670"/>
      <c r="X47" s="670"/>
      <c r="Y47" s="677"/>
      <c r="Z47" s="677"/>
      <c r="AA47" s="677"/>
      <c r="AB47" s="677"/>
      <c r="AC47" s="677"/>
      <c r="AD47" s="692"/>
    </row>
    <row r="49" spans="2:30">
      <c r="B49" s="676" t="s">
        <v>320</v>
      </c>
      <c r="C49" s="677"/>
      <c r="D49" s="678" t="s">
        <v>347</v>
      </c>
      <c r="E49" s="677"/>
      <c r="F49" s="679" t="str">
        <f>Resultat!$C126</f>
        <v/>
      </c>
      <c r="L49" s="676" t="s">
        <v>321</v>
      </c>
      <c r="M49" s="677"/>
      <c r="N49" s="678" t="s">
        <v>347</v>
      </c>
      <c r="P49" s="679" t="str">
        <f>Resultat!$C138</f>
        <v/>
      </c>
      <c r="V49" s="676" t="s">
        <v>322</v>
      </c>
      <c r="W49" s="677"/>
      <c r="X49" s="678" t="s">
        <v>347</v>
      </c>
      <c r="Z49" s="679" t="str">
        <f>Resultat!$C160</f>
        <v/>
      </c>
    </row>
    <row r="50" spans="2:30">
      <c r="B50" s="680" t="s">
        <v>344</v>
      </c>
      <c r="C50" s="681" t="s">
        <v>345</v>
      </c>
      <c r="D50" s="681" t="s">
        <v>346</v>
      </c>
      <c r="G50" s="682"/>
      <c r="H50" s="682"/>
      <c r="I50" s="682"/>
      <c r="J50" s="683"/>
      <c r="L50" s="680" t="s">
        <v>344</v>
      </c>
      <c r="M50" s="684" t="s">
        <v>345</v>
      </c>
      <c r="N50" s="684" t="s">
        <v>346</v>
      </c>
      <c r="O50" s="682"/>
      <c r="P50" s="682"/>
      <c r="Q50" s="682"/>
      <c r="R50" s="682"/>
      <c r="S50" s="682"/>
      <c r="T50" s="683"/>
      <c r="V50" s="680" t="s">
        <v>344</v>
      </c>
      <c r="W50" s="684" t="s">
        <v>345</v>
      </c>
      <c r="X50" s="684" t="s">
        <v>346</v>
      </c>
      <c r="Y50" s="682"/>
      <c r="Z50" s="682"/>
      <c r="AA50" s="682"/>
      <c r="AB50" s="682"/>
      <c r="AC50" s="682"/>
      <c r="AD50" s="683"/>
    </row>
    <row r="51" spans="2:30">
      <c r="B51" s="685" t="s">
        <v>348</v>
      </c>
      <c r="C51" s="686" t="s">
        <v>349</v>
      </c>
      <c r="D51" s="686" t="s">
        <v>350</v>
      </c>
      <c r="J51" s="687"/>
      <c r="L51" s="685" t="s">
        <v>348</v>
      </c>
      <c r="M51" s="686" t="s">
        <v>349</v>
      </c>
      <c r="N51" s="686" t="s">
        <v>350</v>
      </c>
      <c r="T51" s="687"/>
      <c r="V51" s="685" t="s">
        <v>348</v>
      </c>
      <c r="W51" s="686" t="s">
        <v>349</v>
      </c>
      <c r="X51" s="686" t="s">
        <v>350</v>
      </c>
      <c r="AD51" s="687"/>
    </row>
    <row r="52" spans="2:30" ht="9.9" customHeight="1">
      <c r="B52" s="688">
        <v>0.5</v>
      </c>
      <c r="C52" s="689">
        <f>IF(Resultat!$D126="",0,Resultat!$D126)</f>
        <v>0</v>
      </c>
      <c r="D52" s="689">
        <f>IF(Resultat!$E126="",0,Resultat!$E126)</f>
        <v>0</v>
      </c>
      <c r="J52" s="687"/>
      <c r="L52" s="688">
        <v>0.5</v>
      </c>
      <c r="M52" s="689">
        <f>IF(Resultat!$D138="",0,Resultat!$D138)</f>
        <v>0</v>
      </c>
      <c r="N52" s="689">
        <f>IF(Resultat!$E138="",0,Resultat!$E138)</f>
        <v>0</v>
      </c>
      <c r="T52" s="687"/>
      <c r="V52" s="688">
        <v>0.5</v>
      </c>
      <c r="W52" s="689">
        <f>IF(Resultat!$D160="",0,Resultat!$D160)</f>
        <v>0</v>
      </c>
      <c r="X52" s="689">
        <f>IF(Resultat!$E160="",0,Resultat!$E160)</f>
        <v>0</v>
      </c>
      <c r="AD52" s="687"/>
    </row>
    <row r="53" spans="2:30" ht="9.9" customHeight="1">
      <c r="B53" s="690">
        <v>1</v>
      </c>
      <c r="C53" s="669"/>
      <c r="D53" s="669"/>
      <c r="J53" s="687"/>
      <c r="L53" s="690">
        <v>1</v>
      </c>
      <c r="M53" s="669"/>
      <c r="N53" s="669"/>
      <c r="T53" s="687"/>
      <c r="V53" s="690">
        <v>1</v>
      </c>
      <c r="W53" s="669"/>
      <c r="X53" s="669"/>
      <c r="AD53" s="687"/>
    </row>
    <row r="54" spans="2:30" ht="9.9" customHeight="1">
      <c r="B54" s="690">
        <v>2</v>
      </c>
      <c r="C54" s="669"/>
      <c r="D54" s="669"/>
      <c r="J54" s="687"/>
      <c r="L54" s="690">
        <v>2</v>
      </c>
      <c r="M54" s="669"/>
      <c r="N54" s="669"/>
      <c r="T54" s="687"/>
      <c r="V54" s="690">
        <v>2</v>
      </c>
      <c r="W54" s="669"/>
      <c r="X54" s="669"/>
      <c r="AD54" s="687"/>
    </row>
    <row r="55" spans="2:30" ht="9.9" customHeight="1">
      <c r="B55" s="690">
        <v>3</v>
      </c>
      <c r="C55" s="669"/>
      <c r="D55" s="669"/>
      <c r="J55" s="687"/>
      <c r="L55" s="690">
        <v>3</v>
      </c>
      <c r="M55" s="669"/>
      <c r="N55" s="669"/>
      <c r="T55" s="687"/>
      <c r="V55" s="690">
        <v>3</v>
      </c>
      <c r="W55" s="669"/>
      <c r="X55" s="669"/>
      <c r="AD55" s="687"/>
    </row>
    <row r="56" spans="2:30" ht="9.9" customHeight="1">
      <c r="B56" s="690">
        <v>4</v>
      </c>
      <c r="C56" s="669"/>
      <c r="D56" s="669"/>
      <c r="J56" s="687"/>
      <c r="L56" s="690">
        <v>4</v>
      </c>
      <c r="M56" s="669"/>
      <c r="N56" s="669"/>
      <c r="T56" s="687"/>
      <c r="V56" s="690">
        <v>4</v>
      </c>
      <c r="W56" s="669"/>
      <c r="X56" s="669"/>
      <c r="AD56" s="687"/>
    </row>
    <row r="57" spans="2:30" ht="9.9" customHeight="1">
      <c r="B57" s="690">
        <v>5</v>
      </c>
      <c r="C57" s="669"/>
      <c r="D57" s="669"/>
      <c r="J57" s="687"/>
      <c r="L57" s="690">
        <v>5</v>
      </c>
      <c r="M57" s="669"/>
      <c r="N57" s="669"/>
      <c r="T57" s="687"/>
      <c r="V57" s="690">
        <v>5</v>
      </c>
      <c r="W57" s="669"/>
      <c r="X57" s="669"/>
      <c r="AD57" s="687"/>
    </row>
    <row r="58" spans="2:30" ht="9.9" customHeight="1">
      <c r="B58" s="690">
        <v>6</v>
      </c>
      <c r="C58" s="669"/>
      <c r="D58" s="669"/>
      <c r="J58" s="687"/>
      <c r="L58" s="690">
        <v>6</v>
      </c>
      <c r="M58" s="669"/>
      <c r="N58" s="669"/>
      <c r="T58" s="687"/>
      <c r="V58" s="690">
        <v>6</v>
      </c>
      <c r="W58" s="669"/>
      <c r="X58" s="669"/>
      <c r="AD58" s="687"/>
    </row>
    <row r="59" spans="2:30" ht="9.9" customHeight="1">
      <c r="B59" s="690">
        <v>7</v>
      </c>
      <c r="C59" s="669"/>
      <c r="D59" s="669"/>
      <c r="J59" s="687"/>
      <c r="L59" s="690">
        <v>7</v>
      </c>
      <c r="M59" s="669"/>
      <c r="N59" s="669"/>
      <c r="T59" s="687"/>
      <c r="V59" s="690">
        <v>7</v>
      </c>
      <c r="W59" s="669"/>
      <c r="X59" s="669"/>
      <c r="AD59" s="687"/>
    </row>
    <row r="60" spans="2:30" ht="9.9" customHeight="1">
      <c r="B60" s="690">
        <v>8</v>
      </c>
      <c r="C60" s="669"/>
      <c r="D60" s="669"/>
      <c r="J60" s="687"/>
      <c r="L60" s="690">
        <v>8</v>
      </c>
      <c r="M60" s="669"/>
      <c r="N60" s="669"/>
      <c r="T60" s="687"/>
      <c r="V60" s="690">
        <v>8</v>
      </c>
      <c r="W60" s="669"/>
      <c r="X60" s="669"/>
      <c r="AD60" s="687"/>
    </row>
    <row r="61" spans="2:30" ht="9.9" customHeight="1">
      <c r="B61" s="690">
        <v>9</v>
      </c>
      <c r="C61" s="669"/>
      <c r="D61" s="669"/>
      <c r="J61" s="687"/>
      <c r="L61" s="690">
        <v>9</v>
      </c>
      <c r="M61" s="669"/>
      <c r="N61" s="669"/>
      <c r="T61" s="687"/>
      <c r="V61" s="690">
        <v>9</v>
      </c>
      <c r="W61" s="669"/>
      <c r="X61" s="669"/>
      <c r="AD61" s="687"/>
    </row>
    <row r="62" spans="2:30" ht="9.9" customHeight="1">
      <c r="B62" s="690">
        <v>10</v>
      </c>
      <c r="C62" s="669"/>
      <c r="D62" s="669"/>
      <c r="J62" s="687"/>
      <c r="L62" s="690">
        <v>10</v>
      </c>
      <c r="M62" s="669"/>
      <c r="N62" s="669"/>
      <c r="T62" s="687"/>
      <c r="V62" s="690">
        <v>10</v>
      </c>
      <c r="W62" s="669"/>
      <c r="X62" s="669"/>
      <c r="AD62" s="687"/>
    </row>
    <row r="63" spans="2:30" ht="9.9" customHeight="1">
      <c r="B63" s="690">
        <v>11</v>
      </c>
      <c r="C63" s="669"/>
      <c r="D63" s="669"/>
      <c r="J63" s="687"/>
      <c r="L63" s="690">
        <v>11</v>
      </c>
      <c r="M63" s="669"/>
      <c r="N63" s="669"/>
      <c r="T63" s="687"/>
      <c r="V63" s="690">
        <v>11</v>
      </c>
      <c r="W63" s="669"/>
      <c r="X63" s="669"/>
      <c r="AD63" s="687"/>
    </row>
    <row r="64" spans="2:30" ht="9.9" customHeight="1">
      <c r="B64" s="690">
        <v>12</v>
      </c>
      <c r="C64" s="669"/>
      <c r="D64" s="669"/>
      <c r="J64" s="687"/>
      <c r="L64" s="690">
        <v>12</v>
      </c>
      <c r="M64" s="669"/>
      <c r="N64" s="669"/>
      <c r="T64" s="687"/>
      <c r="V64" s="690">
        <v>12</v>
      </c>
      <c r="W64" s="669"/>
      <c r="X64" s="669"/>
      <c r="AD64" s="687"/>
    </row>
    <row r="65" spans="2:30" ht="9.9" customHeight="1">
      <c r="B65" s="690">
        <v>13</v>
      </c>
      <c r="C65" s="669"/>
      <c r="D65" s="669"/>
      <c r="J65" s="687"/>
      <c r="L65" s="690">
        <v>13</v>
      </c>
      <c r="M65" s="669"/>
      <c r="N65" s="669"/>
      <c r="T65" s="687"/>
      <c r="V65" s="690">
        <v>13</v>
      </c>
      <c r="W65" s="669"/>
      <c r="X65" s="669"/>
      <c r="AD65" s="687"/>
    </row>
    <row r="66" spans="2:30" ht="9.9" customHeight="1">
      <c r="B66" s="690">
        <v>14</v>
      </c>
      <c r="C66" s="669"/>
      <c r="D66" s="669"/>
      <c r="J66" s="687"/>
      <c r="L66" s="690">
        <v>14</v>
      </c>
      <c r="M66" s="669"/>
      <c r="N66" s="669"/>
      <c r="T66" s="687"/>
      <c r="V66" s="690">
        <v>14</v>
      </c>
      <c r="W66" s="669"/>
      <c r="X66" s="669"/>
      <c r="AD66" s="687"/>
    </row>
    <row r="67" spans="2:30" ht="9.9" customHeight="1">
      <c r="B67" s="690">
        <v>15</v>
      </c>
      <c r="C67" s="669"/>
      <c r="D67" s="669"/>
      <c r="J67" s="687"/>
      <c r="L67" s="690">
        <v>15</v>
      </c>
      <c r="M67" s="669"/>
      <c r="N67" s="669"/>
      <c r="T67" s="687"/>
      <c r="V67" s="690">
        <v>15</v>
      </c>
      <c r="W67" s="669"/>
      <c r="X67" s="669"/>
      <c r="AD67" s="687"/>
    </row>
    <row r="68" spans="2:30" ht="9.9" customHeight="1">
      <c r="B68" s="691">
        <v>16</v>
      </c>
      <c r="C68" s="670"/>
      <c r="D68" s="670"/>
      <c r="E68" s="677"/>
      <c r="F68" s="677"/>
      <c r="G68" s="677"/>
      <c r="H68" s="677"/>
      <c r="I68" s="677"/>
      <c r="J68" s="692"/>
      <c r="L68" s="691">
        <v>16</v>
      </c>
      <c r="M68" s="670"/>
      <c r="N68" s="670"/>
      <c r="O68" s="677"/>
      <c r="P68" s="677"/>
      <c r="Q68" s="677"/>
      <c r="R68" s="677"/>
      <c r="S68" s="677"/>
      <c r="T68" s="692"/>
      <c r="V68" s="691">
        <v>16</v>
      </c>
      <c r="W68" s="670"/>
      <c r="X68" s="670"/>
      <c r="Y68" s="677"/>
      <c r="Z68" s="677"/>
      <c r="AA68" s="677"/>
      <c r="AB68" s="677"/>
      <c r="AC68" s="677"/>
      <c r="AD68" s="692"/>
    </row>
    <row r="70" spans="2:30">
      <c r="B70" s="676" t="s">
        <v>323</v>
      </c>
      <c r="C70" s="677"/>
      <c r="D70" s="678" t="s">
        <v>347</v>
      </c>
      <c r="E70" s="677"/>
      <c r="F70" s="679" t="str">
        <f>Resultat!$C172</f>
        <v/>
      </c>
      <c r="L70" s="676" t="s">
        <v>324</v>
      </c>
      <c r="M70" s="677"/>
      <c r="N70" s="678" t="s">
        <v>347</v>
      </c>
      <c r="P70" s="679" t="str">
        <f>Resultat!$C194</f>
        <v/>
      </c>
      <c r="V70" s="676" t="s">
        <v>325</v>
      </c>
      <c r="W70" s="677"/>
      <c r="X70" s="678" t="s">
        <v>347</v>
      </c>
      <c r="Z70" s="679" t="str">
        <f>Resultat!$C206</f>
        <v/>
      </c>
    </row>
    <row r="71" spans="2:30">
      <c r="B71" s="680" t="s">
        <v>344</v>
      </c>
      <c r="C71" s="681" t="s">
        <v>345</v>
      </c>
      <c r="D71" s="681" t="s">
        <v>346</v>
      </c>
      <c r="G71" s="682"/>
      <c r="H71" s="682"/>
      <c r="I71" s="682"/>
      <c r="J71" s="683"/>
      <c r="L71" s="680" t="s">
        <v>344</v>
      </c>
      <c r="M71" s="684" t="s">
        <v>345</v>
      </c>
      <c r="N71" s="684" t="s">
        <v>346</v>
      </c>
      <c r="O71" s="682"/>
      <c r="P71" s="682"/>
      <c r="Q71" s="682"/>
      <c r="R71" s="682"/>
      <c r="S71" s="682"/>
      <c r="T71" s="683"/>
      <c r="V71" s="680" t="s">
        <v>344</v>
      </c>
      <c r="W71" s="684" t="s">
        <v>345</v>
      </c>
      <c r="X71" s="684" t="s">
        <v>346</v>
      </c>
      <c r="Y71" s="682"/>
      <c r="Z71" s="682"/>
      <c r="AA71" s="682"/>
      <c r="AB71" s="682"/>
      <c r="AC71" s="682"/>
      <c r="AD71" s="683"/>
    </row>
    <row r="72" spans="2:30">
      <c r="B72" s="685" t="s">
        <v>348</v>
      </c>
      <c r="C72" s="686" t="s">
        <v>349</v>
      </c>
      <c r="D72" s="686" t="s">
        <v>350</v>
      </c>
      <c r="J72" s="687"/>
      <c r="L72" s="685" t="s">
        <v>348</v>
      </c>
      <c r="M72" s="686" t="s">
        <v>349</v>
      </c>
      <c r="N72" s="686" t="s">
        <v>350</v>
      </c>
      <c r="T72" s="687"/>
      <c r="V72" s="685" t="s">
        <v>348</v>
      </c>
      <c r="W72" s="686" t="s">
        <v>349</v>
      </c>
      <c r="X72" s="686" t="s">
        <v>350</v>
      </c>
      <c r="AD72" s="687"/>
    </row>
    <row r="73" spans="2:30" ht="9.9" customHeight="1">
      <c r="B73" s="688">
        <v>0.5</v>
      </c>
      <c r="C73" s="689">
        <f>IF(Resultat!$D172="",0,Resultat!$D172)</f>
        <v>0</v>
      </c>
      <c r="D73" s="689">
        <f>IF(Resultat!$E172="",0,Resultat!$E172)</f>
        <v>0</v>
      </c>
      <c r="J73" s="687"/>
      <c r="L73" s="688">
        <v>0.5</v>
      </c>
      <c r="M73" s="689">
        <f>IF(Resultat!$D194="",0,Resultat!$D194)</f>
        <v>0</v>
      </c>
      <c r="N73" s="689">
        <f>IF(Resultat!$E194="",0,Resultat!$E194)</f>
        <v>0</v>
      </c>
      <c r="T73" s="687"/>
      <c r="V73" s="688">
        <v>0.5</v>
      </c>
      <c r="W73" s="689">
        <f>IF(Resultat!$D206="",0,Resultat!$D206)</f>
        <v>0</v>
      </c>
      <c r="X73" s="689">
        <f>IF(Resultat!$E206="",0,Resultat!$E206)</f>
        <v>0</v>
      </c>
      <c r="AD73" s="687"/>
    </row>
    <row r="74" spans="2:30" ht="9.9" customHeight="1">
      <c r="B74" s="690">
        <v>1</v>
      </c>
      <c r="C74" s="669"/>
      <c r="D74" s="669"/>
      <c r="J74" s="687"/>
      <c r="L74" s="690">
        <v>1</v>
      </c>
      <c r="M74" s="669"/>
      <c r="N74" s="669"/>
      <c r="T74" s="687"/>
      <c r="V74" s="690">
        <v>1</v>
      </c>
      <c r="W74" s="669"/>
      <c r="X74" s="669"/>
      <c r="AD74" s="687"/>
    </row>
    <row r="75" spans="2:30" ht="9.9" customHeight="1">
      <c r="B75" s="690">
        <v>2</v>
      </c>
      <c r="C75" s="669"/>
      <c r="D75" s="669"/>
      <c r="J75" s="687"/>
      <c r="L75" s="690">
        <v>2</v>
      </c>
      <c r="M75" s="669"/>
      <c r="N75" s="669"/>
      <c r="T75" s="687"/>
      <c r="V75" s="690">
        <v>2</v>
      </c>
      <c r="W75" s="669"/>
      <c r="X75" s="669"/>
      <c r="AD75" s="687"/>
    </row>
    <row r="76" spans="2:30" ht="9.9" customHeight="1">
      <c r="B76" s="690">
        <v>3</v>
      </c>
      <c r="C76" s="669"/>
      <c r="D76" s="669"/>
      <c r="J76" s="687"/>
      <c r="L76" s="690">
        <v>3</v>
      </c>
      <c r="M76" s="669"/>
      <c r="N76" s="669"/>
      <c r="T76" s="687"/>
      <c r="V76" s="690">
        <v>3</v>
      </c>
      <c r="W76" s="669"/>
      <c r="X76" s="669"/>
      <c r="AD76" s="687"/>
    </row>
    <row r="77" spans="2:30" ht="9.9" customHeight="1">
      <c r="B77" s="690">
        <v>4</v>
      </c>
      <c r="C77" s="669"/>
      <c r="D77" s="669"/>
      <c r="J77" s="687"/>
      <c r="L77" s="690">
        <v>4</v>
      </c>
      <c r="M77" s="669"/>
      <c r="N77" s="669"/>
      <c r="T77" s="687"/>
      <c r="V77" s="690">
        <v>4</v>
      </c>
      <c r="W77" s="669"/>
      <c r="X77" s="669"/>
      <c r="AD77" s="687"/>
    </row>
    <row r="78" spans="2:30" ht="9.9" customHeight="1">
      <c r="B78" s="690">
        <v>5</v>
      </c>
      <c r="C78" s="669"/>
      <c r="D78" s="669"/>
      <c r="J78" s="687"/>
      <c r="L78" s="690">
        <v>5</v>
      </c>
      <c r="M78" s="669"/>
      <c r="N78" s="669"/>
      <c r="T78" s="687"/>
      <c r="V78" s="690">
        <v>5</v>
      </c>
      <c r="W78" s="669"/>
      <c r="X78" s="669"/>
      <c r="AD78" s="687"/>
    </row>
    <row r="79" spans="2:30" ht="9.9" customHeight="1">
      <c r="B79" s="690">
        <v>6</v>
      </c>
      <c r="C79" s="669"/>
      <c r="D79" s="669"/>
      <c r="J79" s="687"/>
      <c r="L79" s="690">
        <v>6</v>
      </c>
      <c r="M79" s="669"/>
      <c r="N79" s="669"/>
      <c r="T79" s="687"/>
      <c r="V79" s="690">
        <v>6</v>
      </c>
      <c r="W79" s="669"/>
      <c r="X79" s="669"/>
      <c r="AD79" s="687"/>
    </row>
    <row r="80" spans="2:30" ht="9.9" customHeight="1">
      <c r="B80" s="690">
        <v>7</v>
      </c>
      <c r="C80" s="669"/>
      <c r="D80" s="669"/>
      <c r="J80" s="687"/>
      <c r="L80" s="690">
        <v>7</v>
      </c>
      <c r="M80" s="669"/>
      <c r="N80" s="669"/>
      <c r="T80" s="687"/>
      <c r="V80" s="690">
        <v>7</v>
      </c>
      <c r="W80" s="669"/>
      <c r="X80" s="669"/>
      <c r="AD80" s="687"/>
    </row>
    <row r="81" spans="2:30" ht="9.9" customHeight="1">
      <c r="B81" s="690">
        <v>8</v>
      </c>
      <c r="C81" s="669"/>
      <c r="D81" s="669"/>
      <c r="J81" s="687"/>
      <c r="L81" s="690">
        <v>8</v>
      </c>
      <c r="M81" s="669"/>
      <c r="N81" s="669"/>
      <c r="T81" s="687"/>
      <c r="V81" s="690">
        <v>8</v>
      </c>
      <c r="W81" s="669"/>
      <c r="X81" s="669"/>
      <c r="AD81" s="687"/>
    </row>
    <row r="82" spans="2:30" ht="9.9" customHeight="1">
      <c r="B82" s="690">
        <v>9</v>
      </c>
      <c r="C82" s="669"/>
      <c r="D82" s="669"/>
      <c r="J82" s="687"/>
      <c r="L82" s="690">
        <v>9</v>
      </c>
      <c r="M82" s="669"/>
      <c r="N82" s="669"/>
      <c r="T82" s="687"/>
      <c r="V82" s="690">
        <v>9</v>
      </c>
      <c r="W82" s="669"/>
      <c r="X82" s="669"/>
      <c r="AD82" s="687"/>
    </row>
    <row r="83" spans="2:30" ht="9.9" customHeight="1">
      <c r="B83" s="690">
        <v>10</v>
      </c>
      <c r="C83" s="669"/>
      <c r="D83" s="669"/>
      <c r="J83" s="687"/>
      <c r="L83" s="690">
        <v>10</v>
      </c>
      <c r="M83" s="669"/>
      <c r="N83" s="669"/>
      <c r="T83" s="687"/>
      <c r="V83" s="690">
        <v>10</v>
      </c>
      <c r="W83" s="669"/>
      <c r="X83" s="669"/>
      <c r="AD83" s="687"/>
    </row>
    <row r="84" spans="2:30" ht="9.9" customHeight="1">
      <c r="B84" s="690">
        <v>11</v>
      </c>
      <c r="C84" s="669"/>
      <c r="D84" s="669"/>
      <c r="J84" s="687"/>
      <c r="L84" s="690">
        <v>11</v>
      </c>
      <c r="M84" s="669"/>
      <c r="N84" s="669"/>
      <c r="T84" s="687"/>
      <c r="V84" s="690">
        <v>11</v>
      </c>
      <c r="W84" s="669"/>
      <c r="X84" s="669"/>
      <c r="AD84" s="687"/>
    </row>
    <row r="85" spans="2:30" ht="9.9" customHeight="1">
      <c r="B85" s="690">
        <v>12</v>
      </c>
      <c r="C85" s="669"/>
      <c r="D85" s="669"/>
      <c r="J85" s="687"/>
      <c r="L85" s="690">
        <v>12</v>
      </c>
      <c r="M85" s="669"/>
      <c r="N85" s="669"/>
      <c r="T85" s="687"/>
      <c r="V85" s="690">
        <v>12</v>
      </c>
      <c r="W85" s="669"/>
      <c r="X85" s="669"/>
      <c r="AD85" s="687"/>
    </row>
    <row r="86" spans="2:30" ht="9.9" customHeight="1">
      <c r="B86" s="690">
        <v>13</v>
      </c>
      <c r="C86" s="669"/>
      <c r="D86" s="669"/>
      <c r="J86" s="687"/>
      <c r="L86" s="690">
        <v>13</v>
      </c>
      <c r="M86" s="669"/>
      <c r="N86" s="669"/>
      <c r="T86" s="687"/>
      <c r="V86" s="690">
        <v>13</v>
      </c>
      <c r="W86" s="669"/>
      <c r="X86" s="669"/>
      <c r="AD86" s="687"/>
    </row>
    <row r="87" spans="2:30" ht="9.9" customHeight="1">
      <c r="B87" s="690">
        <v>14</v>
      </c>
      <c r="C87" s="669"/>
      <c r="D87" s="669"/>
      <c r="J87" s="687"/>
      <c r="L87" s="690">
        <v>14</v>
      </c>
      <c r="M87" s="669"/>
      <c r="N87" s="669"/>
      <c r="T87" s="687"/>
      <c r="V87" s="690">
        <v>14</v>
      </c>
      <c r="W87" s="669"/>
      <c r="X87" s="669"/>
      <c r="AD87" s="687"/>
    </row>
    <row r="88" spans="2:30" ht="9.9" customHeight="1">
      <c r="B88" s="690">
        <v>15</v>
      </c>
      <c r="C88" s="669"/>
      <c r="D88" s="669"/>
      <c r="J88" s="687"/>
      <c r="L88" s="690">
        <v>15</v>
      </c>
      <c r="M88" s="669"/>
      <c r="N88" s="669"/>
      <c r="T88" s="687"/>
      <c r="V88" s="690">
        <v>15</v>
      </c>
      <c r="W88" s="669"/>
      <c r="X88" s="669"/>
      <c r="AD88" s="687"/>
    </row>
    <row r="89" spans="2:30" ht="9.9" customHeight="1">
      <c r="B89" s="691">
        <v>16</v>
      </c>
      <c r="C89" s="670"/>
      <c r="D89" s="670"/>
      <c r="E89" s="677"/>
      <c r="F89" s="677"/>
      <c r="G89" s="677"/>
      <c r="H89" s="677"/>
      <c r="I89" s="677"/>
      <c r="J89" s="692"/>
      <c r="L89" s="691">
        <v>16</v>
      </c>
      <c r="M89" s="670"/>
      <c r="N89" s="670"/>
      <c r="O89" s="677"/>
      <c r="P89" s="677"/>
      <c r="Q89" s="677"/>
      <c r="R89" s="677"/>
      <c r="S89" s="677"/>
      <c r="T89" s="692"/>
      <c r="V89" s="691">
        <v>16</v>
      </c>
      <c r="W89" s="670"/>
      <c r="X89" s="670"/>
      <c r="Y89" s="677"/>
      <c r="Z89" s="677"/>
      <c r="AA89" s="677"/>
      <c r="AB89" s="677"/>
      <c r="AC89" s="677"/>
      <c r="AD89" s="692"/>
    </row>
  </sheetData>
  <sheetProtection algorithmName="SHA-512" hashValue="nEb0cJZ88hX46gFJYCKrbFdW7GW34sw5HB/gggOWtjho5P4aq6r6WYJ0KDVMOASHoqTyrfjeEUJ3wTSH7I9m+w==" saltValue="ytR4KP+sK+6rLskGH5pZsg==" spinCount="100000" sheet="1" objects="1" scenarios="1"/>
  <conditionalFormatting sqref="AA1:AA5 G1:G1048576 Q1:Q1048576">
    <cfRule type="cellIs" priority="10" stopIfTrue="1" operator="between">
      <formula>6.2</formula>
      <formula>6.5</formula>
    </cfRule>
  </conditionalFormatting>
  <conditionalFormatting sqref="AA6:AA1048576">
    <cfRule type="cellIs" priority="2" stopIfTrue="1" operator="between">
      <formula>6.2</formula>
      <formula>6.5</formula>
    </cfRule>
  </conditionalFormatting>
  <pageMargins left="0.43307086614173229" right="0.23622047244094491" top="1.299212598425197" bottom="0.19685039370078741" header="0.23622047244094491" footer="0.19685039370078741"/>
  <pageSetup paperSize="9" scale="75" orientation="landscape" r:id="rId1"/>
  <headerFooter alignWithMargins="0">
    <oddHeader>&amp;L&amp;G&amp;C&amp;14
Syreprofiler
18 Vombsjön, djuphålan
2024</oddHeader>
    <oddFooter>&amp;L&amp;8Ekologigruppen Ekoplan AB
Stora Södergatan 8C
222 23 Lund&amp;C&amp;8
&amp;R&amp;8Telefon: 046-106750
Hemsida: www.ekologigruppen.se
E-post: eko@ekologigruppen.se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rgb="FF0070C0"/>
  </sheetPr>
  <dimension ref="A1:P467"/>
  <sheetViews>
    <sheetView showRowColHeaders="0" workbookViewId="0"/>
  </sheetViews>
  <sheetFormatPr defaultColWidth="8.90625" defaultRowHeight="12.5"/>
  <cols>
    <col min="1" max="1" width="12.6328125" style="166" customWidth="1"/>
    <col min="2" max="2" width="28.36328125" style="166" customWidth="1"/>
    <col min="3" max="3" width="8.90625" style="166" customWidth="1"/>
    <col min="4" max="5" width="18.6328125" style="166" customWidth="1"/>
    <col min="6" max="6" width="20.6328125" style="166" customWidth="1"/>
    <col min="7" max="7" width="9.90625" style="624" customWidth="1"/>
    <col min="8" max="8" width="11.453125" style="664" customWidth="1"/>
    <col min="9" max="9" width="11.54296875" style="166" customWidth="1"/>
    <col min="10" max="10" width="12.08984375" style="166" customWidth="1"/>
    <col min="11" max="11" width="12" style="166" customWidth="1"/>
    <col min="12" max="12" width="9.90625" style="166" customWidth="1"/>
    <col min="13" max="13" width="11.36328125" style="166" customWidth="1"/>
    <col min="14" max="14" width="13.453125" style="166" customWidth="1"/>
    <col min="15" max="21" width="9.08984375" style="166" customWidth="1"/>
    <col min="22" max="16384" width="8.90625" style="166"/>
  </cols>
  <sheetData>
    <row r="1" spans="1:16" s="398" customFormat="1" ht="23">
      <c r="A1" s="403"/>
      <c r="B1" s="403"/>
      <c r="F1" s="400"/>
      <c r="G1" s="655"/>
      <c r="H1" s="659"/>
    </row>
    <row r="2" spans="1:16" s="398" customFormat="1" ht="23">
      <c r="A2" s="438" t="s">
        <v>404</v>
      </c>
      <c r="F2" s="400"/>
      <c r="G2" s="655"/>
      <c r="H2" s="659"/>
    </row>
    <row r="3" spans="1:16" s="398" customFormat="1" ht="23">
      <c r="A3" s="438" t="s">
        <v>221</v>
      </c>
      <c r="F3" s="400"/>
      <c r="G3" s="655"/>
      <c r="H3" s="659"/>
    </row>
    <row r="4" spans="1:16" s="398" customFormat="1" ht="23">
      <c r="A4" s="403"/>
      <c r="B4" s="403"/>
      <c r="F4" s="400"/>
      <c r="G4" s="655"/>
      <c r="H4" s="659"/>
    </row>
    <row r="5" spans="1:16" s="168" customFormat="1" ht="11.4" customHeight="1">
      <c r="A5" s="167"/>
      <c r="B5" s="167"/>
      <c r="C5" s="167"/>
      <c r="E5" s="172"/>
      <c r="F5" s="172"/>
      <c r="G5" s="665"/>
      <c r="H5" s="660"/>
      <c r="I5" s="172"/>
      <c r="J5" s="169"/>
      <c r="L5" s="169"/>
      <c r="M5" s="169"/>
      <c r="N5" s="174"/>
    </row>
    <row r="6" spans="1:16" s="175" customFormat="1" ht="12" customHeight="1">
      <c r="A6" s="173"/>
      <c r="B6" s="171"/>
      <c r="C6" s="171"/>
      <c r="D6" s="171"/>
      <c r="E6" s="171"/>
      <c r="F6" s="170"/>
      <c r="G6" s="656"/>
      <c r="H6" s="661"/>
      <c r="I6" s="170"/>
      <c r="J6" s="170"/>
      <c r="K6" s="170"/>
      <c r="L6" s="170"/>
    </row>
    <row r="7" spans="1:16" s="633" customFormat="1" ht="11.4" customHeight="1">
      <c r="A7" s="628"/>
      <c r="B7" s="629"/>
      <c r="C7" s="629"/>
      <c r="D7" s="629"/>
      <c r="E7" s="629"/>
      <c r="F7" s="630"/>
      <c r="G7" s="657"/>
      <c r="H7" s="642"/>
      <c r="I7" s="632"/>
      <c r="J7" s="632"/>
      <c r="K7" s="631"/>
      <c r="L7" s="629"/>
    </row>
    <row r="8" spans="1:16" s="633" customFormat="1" ht="11.4" customHeight="1">
      <c r="A8" s="628"/>
      <c r="B8" s="634"/>
      <c r="C8" s="634"/>
      <c r="D8" s="629"/>
      <c r="E8" s="629"/>
      <c r="F8" s="630"/>
      <c r="G8" s="657"/>
      <c r="H8" s="642"/>
      <c r="I8" s="632"/>
      <c r="J8" s="632"/>
      <c r="K8" s="631"/>
      <c r="L8" s="629"/>
    </row>
    <row r="9" spans="1:16" s="633" customFormat="1" ht="20.25" customHeight="1">
      <c r="A9" s="628"/>
      <c r="B9" s="634"/>
      <c r="C9" s="634"/>
      <c r="D9" s="629"/>
      <c r="E9" s="629"/>
      <c r="F9" s="630"/>
      <c r="G9" s="662" t="s">
        <v>313</v>
      </c>
      <c r="I9" s="635"/>
      <c r="K9" s="631"/>
      <c r="L9" s="629"/>
    </row>
    <row r="10" spans="1:16" s="633" customFormat="1" ht="11.4" customHeight="1">
      <c r="A10" s="628"/>
      <c r="B10" s="634"/>
      <c r="C10" s="636"/>
      <c r="D10" s="631"/>
      <c r="E10" s="631"/>
      <c r="F10" s="630"/>
      <c r="G10" s="657"/>
      <c r="H10" s="642"/>
      <c r="I10" s="632"/>
      <c r="K10" s="631"/>
      <c r="L10" s="629"/>
    </row>
    <row r="11" spans="1:16" s="633" customFormat="1" ht="15" customHeight="1">
      <c r="A11" s="628"/>
      <c r="B11" s="629"/>
      <c r="C11" s="629"/>
      <c r="D11" s="629"/>
      <c r="E11" s="629"/>
      <c r="F11" s="630"/>
      <c r="G11" s="666" t="s">
        <v>159</v>
      </c>
      <c r="H11" s="667" t="s">
        <v>154</v>
      </c>
      <c r="I11" s="707" t="s">
        <v>326</v>
      </c>
      <c r="J11" s="708" t="s">
        <v>327</v>
      </c>
      <c r="K11" s="709" t="s">
        <v>368</v>
      </c>
      <c r="L11" s="709" t="s">
        <v>328</v>
      </c>
      <c r="M11" s="710" t="s">
        <v>369</v>
      </c>
      <c r="N11" s="710" t="s">
        <v>329</v>
      </c>
      <c r="O11" s="639"/>
      <c r="P11" s="639"/>
    </row>
    <row r="12" spans="1:16" s="633" customFormat="1" ht="15" customHeight="1">
      <c r="A12" s="628"/>
      <c r="B12" s="629"/>
      <c r="C12" s="629"/>
      <c r="D12" s="629"/>
      <c r="E12" s="629"/>
      <c r="F12" s="630"/>
      <c r="G12" s="666" t="s">
        <v>314</v>
      </c>
      <c r="H12" s="668">
        <v>45671</v>
      </c>
      <c r="I12" s="707">
        <v>26</v>
      </c>
      <c r="J12" s="711">
        <v>6.5</v>
      </c>
      <c r="K12" s="711">
        <v>5.24</v>
      </c>
      <c r="L12" s="711">
        <v>1.94</v>
      </c>
      <c r="M12" s="711">
        <v>0.82</v>
      </c>
      <c r="N12" s="711">
        <v>4.6399999999999997</v>
      </c>
      <c r="O12" s="639"/>
      <c r="P12" s="639"/>
    </row>
    <row r="13" spans="1:16" s="633" customFormat="1" ht="15" customHeight="1">
      <c r="A13" s="628"/>
      <c r="B13" s="629"/>
      <c r="C13" s="629"/>
      <c r="D13" s="629"/>
      <c r="E13" s="630"/>
      <c r="F13" s="630"/>
      <c r="G13" s="666" t="s">
        <v>315</v>
      </c>
      <c r="H13" s="668">
        <v>45706</v>
      </c>
      <c r="I13" s="707">
        <v>13</v>
      </c>
      <c r="J13" s="711">
        <v>8</v>
      </c>
      <c r="K13" s="711">
        <v>1.85</v>
      </c>
      <c r="L13" s="711">
        <v>0.75</v>
      </c>
      <c r="M13" s="711">
        <v>0.183</v>
      </c>
      <c r="N13" s="711">
        <v>2.7</v>
      </c>
      <c r="O13" s="639"/>
      <c r="P13" s="639"/>
    </row>
    <row r="14" spans="1:16" s="633" customFormat="1" ht="15" customHeight="1">
      <c r="A14" s="628"/>
      <c r="B14" s="629"/>
      <c r="C14" s="629"/>
      <c r="D14" s="629"/>
      <c r="E14" s="631"/>
      <c r="F14" s="630"/>
      <c r="G14" s="666" t="s">
        <v>316</v>
      </c>
      <c r="H14" s="668">
        <v>45734</v>
      </c>
      <c r="I14" s="707">
        <v>5.7</v>
      </c>
      <c r="J14" s="711">
        <v>1</v>
      </c>
      <c r="K14" s="711">
        <v>1.29</v>
      </c>
      <c r="L14" s="708">
        <v>0.67700000000000005</v>
      </c>
      <c r="M14" s="740">
        <v>6.3600000000000004E-2</v>
      </c>
      <c r="N14" s="711">
        <v>1.77</v>
      </c>
      <c r="O14" s="639"/>
      <c r="P14" s="639"/>
    </row>
    <row r="15" spans="1:16" s="633" customFormat="1" ht="15" customHeight="1">
      <c r="A15" s="628"/>
      <c r="B15" s="629"/>
      <c r="C15" s="629"/>
      <c r="D15" s="629"/>
      <c r="E15" s="631"/>
      <c r="G15" s="666" t="s">
        <v>317</v>
      </c>
      <c r="H15" s="668">
        <v>45761</v>
      </c>
      <c r="I15" s="707">
        <v>3.9</v>
      </c>
      <c r="J15" s="711">
        <v>0.5</v>
      </c>
      <c r="K15" s="711">
        <v>0.86299999999999999</v>
      </c>
      <c r="L15" s="708">
        <v>0.35199999999999998</v>
      </c>
      <c r="M15" s="708">
        <v>2.86E-2</v>
      </c>
      <c r="N15" s="711">
        <v>1.23</v>
      </c>
      <c r="O15" s="639"/>
      <c r="P15" s="639"/>
    </row>
    <row r="16" spans="1:16" s="633" customFormat="1" ht="15" customHeight="1">
      <c r="A16" s="628"/>
      <c r="B16" s="629"/>
      <c r="C16" s="629"/>
      <c r="D16" s="640"/>
      <c r="E16" s="630"/>
      <c r="F16" s="630"/>
      <c r="G16" s="666" t="s">
        <v>318</v>
      </c>
      <c r="H16" s="668">
        <v>45790</v>
      </c>
      <c r="I16" s="711">
        <v>2.4</v>
      </c>
      <c r="J16" s="711">
        <v>0.3</v>
      </c>
      <c r="K16" s="711">
        <v>0.55200000000000005</v>
      </c>
      <c r="L16" s="708">
        <v>0.21099999999999999</v>
      </c>
      <c r="M16" s="708">
        <v>2.12E-2</v>
      </c>
      <c r="N16" s="711">
        <v>0.91400000000000003</v>
      </c>
      <c r="O16" s="639"/>
      <c r="P16" s="639"/>
    </row>
    <row r="17" spans="1:16" s="633" customFormat="1" ht="15" customHeight="1">
      <c r="A17" s="628"/>
      <c r="B17" s="629"/>
      <c r="C17" s="629"/>
      <c r="D17" s="629"/>
      <c r="E17" s="630"/>
      <c r="F17" s="630"/>
      <c r="G17" s="666" t="s">
        <v>319</v>
      </c>
      <c r="H17" s="668">
        <v>45826</v>
      </c>
      <c r="I17" s="711">
        <v>1.5</v>
      </c>
      <c r="J17" s="711">
        <v>0.3</v>
      </c>
      <c r="K17" s="708">
        <v>0.35699999999999998</v>
      </c>
      <c r="L17" s="708">
        <v>0.11700000000000001</v>
      </c>
      <c r="M17" s="708">
        <v>1.77E-2</v>
      </c>
      <c r="N17" s="711">
        <v>0.72099999999999997</v>
      </c>
      <c r="O17" s="639"/>
      <c r="P17" s="639"/>
    </row>
    <row r="18" spans="1:16" s="633" customFormat="1" ht="15" customHeight="1">
      <c r="A18" s="641"/>
      <c r="B18" s="629"/>
      <c r="C18" s="629"/>
      <c r="D18" s="629"/>
      <c r="E18" s="629"/>
      <c r="F18" s="630"/>
      <c r="G18" s="666" t="s">
        <v>320</v>
      </c>
      <c r="H18" s="668">
        <v>45848</v>
      </c>
      <c r="I18" s="711">
        <v>0.9</v>
      </c>
      <c r="J18" s="711">
        <v>0.3</v>
      </c>
      <c r="K18" s="708">
        <v>0.35399999999999998</v>
      </c>
      <c r="L18" s="708">
        <v>0.11</v>
      </c>
      <c r="M18" s="708">
        <v>1.77E-2</v>
      </c>
      <c r="N18" s="711">
        <v>0.68600000000000005</v>
      </c>
      <c r="O18" s="639"/>
      <c r="P18" s="639"/>
    </row>
    <row r="19" spans="1:16" s="633" customFormat="1" ht="15" customHeight="1">
      <c r="A19" s="642"/>
      <c r="B19" s="629"/>
      <c r="C19" s="631"/>
      <c r="D19" s="629"/>
      <c r="E19" s="630"/>
      <c r="F19" s="630"/>
      <c r="G19" s="666" t="s">
        <v>321</v>
      </c>
      <c r="H19" s="668"/>
      <c r="I19" s="711"/>
      <c r="J19" s="711"/>
      <c r="K19" s="708"/>
      <c r="L19" s="708"/>
      <c r="M19" s="736"/>
      <c r="N19" s="710"/>
      <c r="O19" s="639"/>
      <c r="P19" s="639"/>
    </row>
    <row r="20" spans="1:16" s="633" customFormat="1" ht="15" customHeight="1">
      <c r="A20" s="643"/>
      <c r="B20" s="643"/>
      <c r="C20" s="644"/>
      <c r="D20" s="630"/>
      <c r="E20" s="630"/>
      <c r="F20" s="630"/>
      <c r="G20" s="666" t="s">
        <v>322</v>
      </c>
      <c r="H20" s="668"/>
      <c r="I20" s="711"/>
      <c r="J20" s="711"/>
      <c r="K20" s="708"/>
      <c r="L20" s="708"/>
      <c r="M20" s="736"/>
      <c r="N20" s="708"/>
      <c r="O20" s="639"/>
      <c r="P20" s="639"/>
    </row>
    <row r="21" spans="1:16" s="633" customFormat="1" ht="15" customHeight="1">
      <c r="A21" s="643"/>
      <c r="B21" s="643"/>
      <c r="C21" s="643"/>
      <c r="D21" s="630"/>
      <c r="E21" s="630"/>
      <c r="F21" s="630"/>
      <c r="G21" s="666" t="s">
        <v>323</v>
      </c>
      <c r="H21" s="668"/>
      <c r="I21" s="711"/>
      <c r="J21" s="711"/>
      <c r="K21" s="711"/>
      <c r="L21" s="711"/>
      <c r="M21" s="708"/>
      <c r="N21" s="708"/>
      <c r="O21" s="639"/>
      <c r="P21" s="639"/>
    </row>
    <row r="22" spans="1:16" s="633" customFormat="1" ht="15" customHeight="1">
      <c r="A22" s="643"/>
      <c r="B22" s="643"/>
      <c r="C22" s="643"/>
      <c r="D22" s="630"/>
      <c r="E22" s="630"/>
      <c r="F22" s="630"/>
      <c r="G22" s="666" t="s">
        <v>324</v>
      </c>
      <c r="H22" s="668"/>
      <c r="I22" s="711"/>
      <c r="J22" s="711"/>
      <c r="K22" s="711"/>
      <c r="L22" s="708"/>
      <c r="M22" s="708"/>
      <c r="N22" s="710"/>
      <c r="O22" s="639"/>
      <c r="P22" s="639"/>
    </row>
    <row r="23" spans="1:16" s="633" customFormat="1" ht="15" customHeight="1">
      <c r="A23" s="643"/>
      <c r="B23" s="643"/>
      <c r="C23" s="630"/>
      <c r="D23" s="645"/>
      <c r="E23" s="630"/>
      <c r="F23" s="630"/>
      <c r="G23" s="666" t="s">
        <v>325</v>
      </c>
      <c r="H23" s="668"/>
      <c r="I23" s="708"/>
      <c r="J23" s="708"/>
      <c r="K23" s="707"/>
      <c r="L23" s="707"/>
      <c r="M23" s="708"/>
      <c r="N23" s="710"/>
      <c r="O23" s="639"/>
      <c r="P23" s="639"/>
    </row>
    <row r="24" spans="1:16" s="633" customFormat="1" ht="11.4" customHeight="1">
      <c r="D24" s="645"/>
      <c r="E24" s="630"/>
      <c r="F24" s="630"/>
      <c r="G24" s="638"/>
      <c r="H24" s="642"/>
      <c r="I24" s="631"/>
      <c r="J24" s="638"/>
      <c r="K24" s="637"/>
      <c r="L24" s="637"/>
      <c r="M24" s="639"/>
      <c r="N24" s="639"/>
      <c r="O24" s="639"/>
      <c r="P24" s="639"/>
    </row>
    <row r="25" spans="1:16" s="633" customFormat="1" ht="13.5" customHeight="1">
      <c r="A25" s="643"/>
      <c r="D25" s="630"/>
      <c r="E25" s="630"/>
      <c r="G25" s="638" t="s">
        <v>370</v>
      </c>
      <c r="H25" s="642"/>
      <c r="J25" s="639"/>
      <c r="K25" s="639"/>
      <c r="L25" s="639"/>
      <c r="M25" s="639"/>
      <c r="N25" s="639"/>
      <c r="O25" s="639"/>
      <c r="P25" s="639"/>
    </row>
    <row r="26" spans="1:16" s="633" customFormat="1" ht="13.5" customHeight="1">
      <c r="A26" s="643"/>
      <c r="G26" s="638" t="s">
        <v>395</v>
      </c>
      <c r="H26" s="642"/>
      <c r="J26" s="639"/>
      <c r="K26" s="639"/>
      <c r="L26" s="639"/>
      <c r="M26" s="651"/>
      <c r="N26" s="639"/>
      <c r="O26" s="639"/>
      <c r="P26" s="639"/>
    </row>
    <row r="27" spans="1:16" s="651" customFormat="1">
      <c r="G27" s="638"/>
      <c r="H27" s="663"/>
    </row>
    <row r="28" spans="1:16" s="651" customFormat="1">
      <c r="A28" s="643"/>
      <c r="B28" s="643" t="s">
        <v>273</v>
      </c>
      <c r="G28" s="658"/>
      <c r="H28" s="663"/>
      <c r="M28" s="639"/>
    </row>
    <row r="29" spans="1:16" s="651" customFormat="1">
      <c r="A29" s="643"/>
      <c r="B29" s="643" t="s">
        <v>274</v>
      </c>
      <c r="G29" s="658"/>
      <c r="H29" s="663"/>
    </row>
    <row r="30" spans="1:16" s="651" customFormat="1">
      <c r="A30" s="643"/>
      <c r="B30" s="739" t="s">
        <v>427</v>
      </c>
      <c r="C30" s="654"/>
      <c r="G30" s="658"/>
      <c r="H30" s="663"/>
    </row>
    <row r="31" spans="1:16" s="651" customFormat="1">
      <c r="A31" s="633"/>
      <c r="B31" s="653" t="s">
        <v>397</v>
      </c>
      <c r="G31" s="658"/>
      <c r="H31" s="663"/>
    </row>
    <row r="32" spans="1:16" s="651" customFormat="1" ht="13">
      <c r="A32" s="633"/>
      <c r="B32" s="646" t="s">
        <v>311</v>
      </c>
      <c r="C32" s="633"/>
      <c r="D32" s="633"/>
      <c r="G32" s="658"/>
      <c r="H32" s="663"/>
    </row>
    <row r="33" spans="1:8" s="651" customFormat="1" ht="15">
      <c r="A33" s="633"/>
      <c r="B33" s="647"/>
      <c r="C33" s="648" t="s">
        <v>306</v>
      </c>
      <c r="D33" s="648"/>
      <c r="G33" s="658"/>
      <c r="H33" s="663"/>
    </row>
    <row r="34" spans="1:8" s="651" customFormat="1" ht="13">
      <c r="A34" s="650"/>
      <c r="B34" s="647" t="s">
        <v>307</v>
      </c>
      <c r="C34" s="649">
        <v>66.400000000000006</v>
      </c>
      <c r="D34" s="649"/>
      <c r="G34" s="658"/>
      <c r="H34" s="663"/>
    </row>
    <row r="35" spans="1:8" s="651" customFormat="1" ht="13">
      <c r="A35" s="650"/>
      <c r="B35" s="647" t="s">
        <v>308</v>
      </c>
      <c r="C35" s="649">
        <v>46.4</v>
      </c>
      <c r="D35" s="649"/>
      <c r="G35" s="658"/>
      <c r="H35" s="663"/>
    </row>
    <row r="36" spans="1:8" s="651" customFormat="1" ht="13">
      <c r="B36" s="647" t="s">
        <v>309</v>
      </c>
      <c r="C36" s="652">
        <v>10.3</v>
      </c>
      <c r="D36" s="652"/>
      <c r="G36" s="658"/>
      <c r="H36" s="663"/>
    </row>
    <row r="37" spans="1:8" s="651" customFormat="1" ht="13">
      <c r="B37" s="647" t="s">
        <v>310</v>
      </c>
      <c r="C37" s="652">
        <v>1.6</v>
      </c>
      <c r="D37" s="652"/>
      <c r="G37" s="658"/>
      <c r="H37" s="663"/>
    </row>
    <row r="38" spans="1:8" s="651" customFormat="1">
      <c r="G38" s="658"/>
      <c r="H38" s="663"/>
    </row>
    <row r="39" spans="1:8" s="651" customFormat="1">
      <c r="G39" s="658"/>
      <c r="H39" s="663"/>
    </row>
    <row r="40" spans="1:8" s="651" customFormat="1">
      <c r="G40" s="658"/>
      <c r="H40" s="663"/>
    </row>
    <row r="41" spans="1:8" s="651" customFormat="1">
      <c r="G41" s="658"/>
      <c r="H41" s="663"/>
    </row>
    <row r="42" spans="1:8" s="651" customFormat="1">
      <c r="G42" s="658"/>
      <c r="H42" s="663"/>
    </row>
    <row r="43" spans="1:8" s="651" customFormat="1">
      <c r="G43" s="658"/>
      <c r="H43" s="663"/>
    </row>
    <row r="44" spans="1:8" s="651" customFormat="1">
      <c r="G44" s="658"/>
      <c r="H44" s="663"/>
    </row>
    <row r="45" spans="1:8" s="651" customFormat="1">
      <c r="G45" s="658"/>
      <c r="H45" s="663"/>
    </row>
    <row r="46" spans="1:8" s="651" customFormat="1">
      <c r="G46" s="658"/>
      <c r="H46" s="663"/>
    </row>
    <row r="47" spans="1:8" s="651" customFormat="1">
      <c r="G47" s="658"/>
      <c r="H47" s="663"/>
    </row>
    <row r="48" spans="1:8" s="651" customFormat="1">
      <c r="G48" s="658"/>
      <c r="H48" s="663"/>
    </row>
    <row r="49" spans="7:8" s="651" customFormat="1">
      <c r="G49" s="658"/>
      <c r="H49" s="663"/>
    </row>
    <row r="50" spans="7:8" s="651" customFormat="1">
      <c r="G50" s="658"/>
      <c r="H50" s="663"/>
    </row>
    <row r="51" spans="7:8" s="651" customFormat="1">
      <c r="G51" s="658"/>
      <c r="H51" s="663"/>
    </row>
    <row r="52" spans="7:8" s="651" customFormat="1">
      <c r="G52" s="658"/>
      <c r="H52" s="663"/>
    </row>
    <row r="53" spans="7:8" s="651" customFormat="1">
      <c r="G53" s="658"/>
      <c r="H53" s="663"/>
    </row>
    <row r="54" spans="7:8" s="651" customFormat="1">
      <c r="G54" s="658"/>
      <c r="H54" s="663"/>
    </row>
    <row r="55" spans="7:8" s="651" customFormat="1">
      <c r="G55" s="658"/>
      <c r="H55" s="663"/>
    </row>
    <row r="56" spans="7:8" s="651" customFormat="1">
      <c r="G56" s="658"/>
      <c r="H56" s="663"/>
    </row>
    <row r="57" spans="7:8" s="651" customFormat="1">
      <c r="G57" s="658"/>
      <c r="H57" s="663"/>
    </row>
    <row r="58" spans="7:8" s="651" customFormat="1">
      <c r="G58" s="658"/>
      <c r="H58" s="663"/>
    </row>
    <row r="59" spans="7:8" s="651" customFormat="1">
      <c r="G59" s="658"/>
      <c r="H59" s="663"/>
    </row>
    <row r="60" spans="7:8" s="651" customFormat="1">
      <c r="G60" s="658"/>
      <c r="H60" s="663"/>
    </row>
    <row r="61" spans="7:8" s="651" customFormat="1">
      <c r="G61" s="658"/>
      <c r="H61" s="663"/>
    </row>
    <row r="62" spans="7:8" s="651" customFormat="1">
      <c r="G62" s="658"/>
      <c r="H62" s="663"/>
    </row>
    <row r="63" spans="7:8" s="651" customFormat="1">
      <c r="G63" s="658"/>
      <c r="H63" s="663"/>
    </row>
    <row r="64" spans="7:8" s="651" customFormat="1">
      <c r="G64" s="658"/>
      <c r="H64" s="663"/>
    </row>
    <row r="65" spans="7:8" s="651" customFormat="1">
      <c r="G65" s="658"/>
      <c r="H65" s="663"/>
    </row>
    <row r="66" spans="7:8" s="651" customFormat="1">
      <c r="G66" s="658"/>
      <c r="H66" s="663"/>
    </row>
    <row r="67" spans="7:8" s="651" customFormat="1">
      <c r="G67" s="658"/>
      <c r="H67" s="663"/>
    </row>
    <row r="68" spans="7:8" s="651" customFormat="1">
      <c r="G68" s="658"/>
      <c r="H68" s="663"/>
    </row>
    <row r="69" spans="7:8" s="651" customFormat="1">
      <c r="G69" s="658"/>
      <c r="H69" s="663"/>
    </row>
    <row r="70" spans="7:8" s="651" customFormat="1">
      <c r="G70" s="658"/>
      <c r="H70" s="663"/>
    </row>
    <row r="71" spans="7:8" s="651" customFormat="1">
      <c r="G71" s="658"/>
      <c r="H71" s="663"/>
    </row>
    <row r="72" spans="7:8" s="651" customFormat="1">
      <c r="G72" s="658"/>
      <c r="H72" s="663"/>
    </row>
    <row r="73" spans="7:8" s="651" customFormat="1">
      <c r="G73" s="658"/>
      <c r="H73" s="663"/>
    </row>
    <row r="74" spans="7:8" s="651" customFormat="1">
      <c r="G74" s="658"/>
      <c r="H74" s="663"/>
    </row>
    <row r="75" spans="7:8" s="651" customFormat="1">
      <c r="G75" s="658"/>
      <c r="H75" s="663"/>
    </row>
    <row r="76" spans="7:8" s="651" customFormat="1">
      <c r="G76" s="658"/>
      <c r="H76" s="663"/>
    </row>
    <row r="77" spans="7:8" s="651" customFormat="1">
      <c r="G77" s="658"/>
      <c r="H77" s="663"/>
    </row>
    <row r="78" spans="7:8" s="651" customFormat="1">
      <c r="G78" s="658"/>
      <c r="H78" s="663"/>
    </row>
    <row r="79" spans="7:8" s="651" customFormat="1">
      <c r="G79" s="658"/>
      <c r="H79" s="663"/>
    </row>
    <row r="80" spans="7:8" s="651" customFormat="1">
      <c r="G80" s="658"/>
      <c r="H80" s="663"/>
    </row>
    <row r="81" spans="7:8" s="651" customFormat="1">
      <c r="G81" s="658"/>
      <c r="H81" s="663"/>
    </row>
    <row r="82" spans="7:8" s="651" customFormat="1">
      <c r="G82" s="658"/>
      <c r="H82" s="663"/>
    </row>
    <row r="83" spans="7:8" s="651" customFormat="1">
      <c r="G83" s="658"/>
      <c r="H83" s="663"/>
    </row>
    <row r="84" spans="7:8" s="651" customFormat="1">
      <c r="G84" s="658"/>
      <c r="H84" s="663"/>
    </row>
    <row r="85" spans="7:8" s="651" customFormat="1">
      <c r="G85" s="658"/>
      <c r="H85" s="663"/>
    </row>
    <row r="86" spans="7:8" s="651" customFormat="1">
      <c r="G86" s="658"/>
      <c r="H86" s="663"/>
    </row>
    <row r="87" spans="7:8" s="651" customFormat="1">
      <c r="G87" s="658"/>
      <c r="H87" s="663"/>
    </row>
    <row r="88" spans="7:8" s="651" customFormat="1">
      <c r="G88" s="658"/>
      <c r="H88" s="663"/>
    </row>
    <row r="89" spans="7:8" s="651" customFormat="1">
      <c r="G89" s="658"/>
      <c r="H89" s="663"/>
    </row>
    <row r="90" spans="7:8" s="651" customFormat="1">
      <c r="G90" s="658"/>
      <c r="H90" s="663"/>
    </row>
    <row r="91" spans="7:8" s="651" customFormat="1">
      <c r="G91" s="658"/>
      <c r="H91" s="663"/>
    </row>
    <row r="92" spans="7:8" s="651" customFormat="1">
      <c r="G92" s="658"/>
      <c r="H92" s="663"/>
    </row>
    <row r="93" spans="7:8" s="651" customFormat="1">
      <c r="G93" s="658"/>
      <c r="H93" s="663"/>
    </row>
    <row r="94" spans="7:8" s="651" customFormat="1">
      <c r="G94" s="658"/>
      <c r="H94" s="663"/>
    </row>
    <row r="95" spans="7:8" s="651" customFormat="1">
      <c r="G95" s="658"/>
      <c r="H95" s="663"/>
    </row>
    <row r="96" spans="7:8" s="651" customFormat="1">
      <c r="G96" s="658"/>
      <c r="H96" s="663"/>
    </row>
    <row r="98" spans="1:4" ht="13">
      <c r="A98" s="625" t="s">
        <v>275</v>
      </c>
    </row>
    <row r="99" spans="1:4">
      <c r="A99" s="166" t="s">
        <v>154</v>
      </c>
      <c r="B99" s="166" t="s">
        <v>276</v>
      </c>
    </row>
    <row r="100" spans="1:4">
      <c r="A100" s="216">
        <v>45658</v>
      </c>
      <c r="B100" s="233">
        <v>22</v>
      </c>
      <c r="D100" s="626"/>
    </row>
    <row r="101" spans="1:4">
      <c r="A101" s="216">
        <v>45659</v>
      </c>
      <c r="B101" s="233">
        <v>32</v>
      </c>
      <c r="D101" s="626"/>
    </row>
    <row r="102" spans="1:4">
      <c r="A102" s="216">
        <v>45660</v>
      </c>
      <c r="B102" s="233">
        <v>29</v>
      </c>
      <c r="D102" s="626"/>
    </row>
    <row r="103" spans="1:4">
      <c r="A103" s="216">
        <v>45661</v>
      </c>
      <c r="B103" s="233">
        <v>21</v>
      </c>
      <c r="D103" s="626"/>
    </row>
    <row r="104" spans="1:4">
      <c r="A104" s="216">
        <v>45662</v>
      </c>
      <c r="B104" s="233">
        <v>14</v>
      </c>
      <c r="D104" s="626"/>
    </row>
    <row r="105" spans="1:4">
      <c r="A105" s="216">
        <v>45663</v>
      </c>
      <c r="B105" s="233">
        <v>14</v>
      </c>
      <c r="D105" s="626"/>
    </row>
    <row r="106" spans="1:4">
      <c r="A106" s="216">
        <v>45664</v>
      </c>
      <c r="B106" s="233">
        <v>34</v>
      </c>
      <c r="D106" s="626"/>
    </row>
    <row r="107" spans="1:4">
      <c r="A107" s="216">
        <v>45665</v>
      </c>
      <c r="B107" s="233">
        <v>35</v>
      </c>
      <c r="D107" s="626"/>
    </row>
    <row r="108" spans="1:4">
      <c r="A108" s="216">
        <v>45666</v>
      </c>
      <c r="B108" s="233">
        <v>33</v>
      </c>
      <c r="D108" s="626"/>
    </row>
    <row r="109" spans="1:4">
      <c r="A109" s="216">
        <v>45667</v>
      </c>
      <c r="B109" s="233">
        <v>31</v>
      </c>
      <c r="D109" s="626"/>
    </row>
    <row r="110" spans="1:4">
      <c r="A110" s="216">
        <v>45668</v>
      </c>
      <c r="B110" s="233">
        <v>30</v>
      </c>
      <c r="D110" s="233"/>
    </row>
    <row r="111" spans="1:4">
      <c r="A111" s="216">
        <v>45669</v>
      </c>
      <c r="B111" s="233">
        <v>28</v>
      </c>
      <c r="D111" s="233"/>
    </row>
    <row r="112" spans="1:4">
      <c r="A112" s="216">
        <v>45670</v>
      </c>
      <c r="B112" s="233">
        <v>27</v>
      </c>
      <c r="D112" s="233"/>
    </row>
    <row r="113" spans="1:4">
      <c r="A113" s="216">
        <v>45671</v>
      </c>
      <c r="B113" s="233">
        <v>26</v>
      </c>
      <c r="D113" s="233"/>
    </row>
    <row r="114" spans="1:4">
      <c r="A114" s="216">
        <v>45672</v>
      </c>
      <c r="B114" s="233">
        <v>23</v>
      </c>
      <c r="D114" s="233"/>
    </row>
    <row r="115" spans="1:4">
      <c r="A115" s="216">
        <v>45673</v>
      </c>
      <c r="B115" s="233">
        <v>21</v>
      </c>
      <c r="D115" s="233"/>
    </row>
    <row r="116" spans="1:4">
      <c r="A116" s="216">
        <v>45674</v>
      </c>
      <c r="B116" s="233">
        <v>19</v>
      </c>
      <c r="D116" s="626"/>
    </row>
    <row r="117" spans="1:4">
      <c r="A117" s="216">
        <v>45675</v>
      </c>
      <c r="B117" s="233">
        <v>18</v>
      </c>
      <c r="D117" s="626"/>
    </row>
    <row r="118" spans="1:4">
      <c r="A118" s="216">
        <v>45676</v>
      </c>
      <c r="B118" s="233">
        <v>16</v>
      </c>
      <c r="D118" s="626"/>
    </row>
    <row r="119" spans="1:4">
      <c r="A119" s="216">
        <v>45677</v>
      </c>
      <c r="B119" s="233">
        <v>15</v>
      </c>
      <c r="D119" s="626"/>
    </row>
    <row r="120" spans="1:4">
      <c r="A120" s="216">
        <v>45678</v>
      </c>
      <c r="B120" s="233">
        <v>15</v>
      </c>
      <c r="D120" s="626"/>
    </row>
    <row r="121" spans="1:4">
      <c r="A121" s="216">
        <v>45679</v>
      </c>
      <c r="B121" s="233">
        <v>14</v>
      </c>
      <c r="D121" s="626"/>
    </row>
    <row r="122" spans="1:4">
      <c r="A122" s="216">
        <v>45680</v>
      </c>
      <c r="B122" s="233">
        <v>16</v>
      </c>
      <c r="D122" s="626"/>
    </row>
    <row r="123" spans="1:4">
      <c r="A123" s="216">
        <v>45681</v>
      </c>
      <c r="B123" s="233">
        <v>21</v>
      </c>
      <c r="D123" s="626"/>
    </row>
    <row r="124" spans="1:4">
      <c r="A124" s="216">
        <v>45682</v>
      </c>
      <c r="B124" s="233">
        <v>21</v>
      </c>
      <c r="D124" s="626"/>
    </row>
    <row r="125" spans="1:4">
      <c r="A125" s="216">
        <v>45683</v>
      </c>
      <c r="B125" s="233">
        <v>23</v>
      </c>
      <c r="D125" s="626"/>
    </row>
    <row r="126" spans="1:4">
      <c r="A126" s="216">
        <v>45684</v>
      </c>
      <c r="B126" s="233">
        <v>23</v>
      </c>
      <c r="D126" s="626"/>
    </row>
    <row r="127" spans="1:4">
      <c r="A127" s="216">
        <v>45685</v>
      </c>
      <c r="B127" s="233">
        <v>25</v>
      </c>
      <c r="D127" s="626"/>
    </row>
    <row r="128" spans="1:4">
      <c r="A128" s="216">
        <v>45686</v>
      </c>
      <c r="B128" s="233">
        <v>26</v>
      </c>
      <c r="D128" s="626"/>
    </row>
    <row r="129" spans="1:4">
      <c r="A129" s="216">
        <v>45687</v>
      </c>
      <c r="B129" s="233">
        <v>25</v>
      </c>
      <c r="D129" s="626"/>
    </row>
    <row r="130" spans="1:4">
      <c r="A130" s="216">
        <v>45688</v>
      </c>
      <c r="B130" s="233">
        <v>24</v>
      </c>
      <c r="D130" s="233"/>
    </row>
    <row r="131" spans="1:4">
      <c r="A131" s="216">
        <v>45689</v>
      </c>
      <c r="B131" s="233">
        <v>23</v>
      </c>
      <c r="D131" s="233"/>
    </row>
    <row r="132" spans="1:4">
      <c r="A132" s="216">
        <v>45690</v>
      </c>
      <c r="B132" s="233">
        <v>22</v>
      </c>
      <c r="D132" s="233"/>
    </row>
    <row r="133" spans="1:4">
      <c r="A133" s="216">
        <v>45691</v>
      </c>
      <c r="B133" s="233">
        <v>21</v>
      </c>
      <c r="D133" s="233"/>
    </row>
    <row r="134" spans="1:4">
      <c r="A134" s="216">
        <v>45692</v>
      </c>
      <c r="B134" s="233">
        <v>17</v>
      </c>
      <c r="D134" s="626"/>
    </row>
    <row r="135" spans="1:4">
      <c r="A135" s="216">
        <v>45693</v>
      </c>
      <c r="B135" s="233">
        <v>14</v>
      </c>
      <c r="D135" s="626"/>
    </row>
    <row r="136" spans="1:4">
      <c r="A136" s="216">
        <v>45694</v>
      </c>
      <c r="B136" s="233">
        <v>12</v>
      </c>
      <c r="D136" s="626"/>
    </row>
    <row r="137" spans="1:4">
      <c r="A137" s="216">
        <v>45695</v>
      </c>
      <c r="B137" s="233">
        <v>12</v>
      </c>
      <c r="D137" s="626"/>
    </row>
    <row r="138" spans="1:4">
      <c r="A138" s="216">
        <v>45696</v>
      </c>
      <c r="B138" s="233">
        <v>14</v>
      </c>
      <c r="D138" s="626"/>
    </row>
    <row r="139" spans="1:4">
      <c r="A139" s="216">
        <v>45697</v>
      </c>
      <c r="B139" s="233">
        <v>15</v>
      </c>
      <c r="D139" s="626"/>
    </row>
    <row r="140" spans="1:4">
      <c r="A140" s="216">
        <v>45698</v>
      </c>
      <c r="B140" s="233">
        <v>14</v>
      </c>
      <c r="D140" s="626"/>
    </row>
    <row r="141" spans="1:4">
      <c r="A141" s="216">
        <v>45699</v>
      </c>
      <c r="B141" s="233">
        <v>13</v>
      </c>
      <c r="D141" s="626"/>
    </row>
    <row r="142" spans="1:4">
      <c r="A142" s="216">
        <v>45700</v>
      </c>
      <c r="B142" s="233">
        <v>13</v>
      </c>
      <c r="D142" s="626"/>
    </row>
    <row r="143" spans="1:4">
      <c r="A143" s="216">
        <v>45701</v>
      </c>
      <c r="B143" s="233">
        <v>12</v>
      </c>
      <c r="D143" s="626"/>
    </row>
    <row r="144" spans="1:4">
      <c r="A144" s="216">
        <v>45702</v>
      </c>
      <c r="B144" s="233">
        <v>12</v>
      </c>
      <c r="D144" s="626"/>
    </row>
    <row r="145" spans="1:4">
      <c r="A145" s="216">
        <v>45703</v>
      </c>
      <c r="B145" s="233">
        <v>12</v>
      </c>
      <c r="D145" s="626"/>
    </row>
    <row r="146" spans="1:4">
      <c r="A146" s="216">
        <v>45704</v>
      </c>
      <c r="B146" s="233">
        <v>12</v>
      </c>
      <c r="D146" s="626"/>
    </row>
    <row r="147" spans="1:4">
      <c r="A147" s="216">
        <v>45705</v>
      </c>
      <c r="B147" s="233">
        <v>12</v>
      </c>
      <c r="D147" s="233"/>
    </row>
    <row r="148" spans="1:4">
      <c r="A148" s="216">
        <v>45706</v>
      </c>
      <c r="B148" s="233">
        <v>13</v>
      </c>
      <c r="D148" s="233"/>
    </row>
    <row r="149" spans="1:4">
      <c r="A149" s="216">
        <v>45707</v>
      </c>
      <c r="B149" s="233">
        <v>13</v>
      </c>
      <c r="D149" s="233"/>
    </row>
    <row r="150" spans="1:4">
      <c r="A150" s="216">
        <v>45708</v>
      </c>
      <c r="B150" s="233">
        <v>13</v>
      </c>
      <c r="D150" s="233"/>
    </row>
    <row r="151" spans="1:4">
      <c r="A151" s="216">
        <v>45709</v>
      </c>
      <c r="B151" s="233">
        <v>13</v>
      </c>
      <c r="D151" s="233"/>
    </row>
    <row r="152" spans="1:4">
      <c r="A152" s="216">
        <v>45710</v>
      </c>
      <c r="B152" s="233">
        <v>13</v>
      </c>
      <c r="D152" s="233"/>
    </row>
    <row r="153" spans="1:4">
      <c r="A153" s="216">
        <v>45711</v>
      </c>
      <c r="B153" s="233">
        <v>13</v>
      </c>
      <c r="D153" s="233"/>
    </row>
    <row r="154" spans="1:4">
      <c r="A154" s="216">
        <v>45712</v>
      </c>
      <c r="B154" s="233">
        <v>13</v>
      </c>
      <c r="D154" s="233"/>
    </row>
    <row r="155" spans="1:4">
      <c r="A155" s="216">
        <v>45713</v>
      </c>
      <c r="B155" s="233">
        <v>12</v>
      </c>
    </row>
    <row r="156" spans="1:4">
      <c r="A156" s="216">
        <v>45714</v>
      </c>
      <c r="B156" s="233">
        <v>12</v>
      </c>
    </row>
    <row r="157" spans="1:4">
      <c r="A157" s="216">
        <v>45715</v>
      </c>
      <c r="B157" s="233">
        <v>11</v>
      </c>
    </row>
    <row r="158" spans="1:4">
      <c r="A158" s="216">
        <v>45716</v>
      </c>
      <c r="B158" s="233">
        <v>10</v>
      </c>
    </row>
    <row r="159" spans="1:4">
      <c r="A159" s="216">
        <v>45717</v>
      </c>
      <c r="B159" s="233">
        <v>8.98</v>
      </c>
    </row>
    <row r="160" spans="1:4">
      <c r="A160" s="216">
        <v>45718</v>
      </c>
      <c r="B160" s="233">
        <v>8.51</v>
      </c>
    </row>
    <row r="161" spans="1:2">
      <c r="A161" s="216">
        <v>45719</v>
      </c>
      <c r="B161" s="233">
        <v>8.32</v>
      </c>
    </row>
    <row r="162" spans="1:2">
      <c r="A162" s="216">
        <v>45720</v>
      </c>
      <c r="B162" s="233">
        <v>8.1199999999999992</v>
      </c>
    </row>
    <row r="163" spans="1:2">
      <c r="A163" s="216">
        <v>45721</v>
      </c>
      <c r="B163" s="233">
        <v>7.76</v>
      </c>
    </row>
    <row r="164" spans="1:2">
      <c r="A164" s="216">
        <v>45722</v>
      </c>
      <c r="B164" s="233">
        <v>7.53</v>
      </c>
    </row>
    <row r="165" spans="1:2">
      <c r="A165" s="216">
        <v>45723</v>
      </c>
      <c r="B165" s="233">
        <v>7.29</v>
      </c>
    </row>
    <row r="166" spans="1:2">
      <c r="A166" s="216">
        <v>45724</v>
      </c>
      <c r="B166" s="233">
        <v>7.02</v>
      </c>
    </row>
    <row r="167" spans="1:2">
      <c r="A167" s="216">
        <v>45725</v>
      </c>
      <c r="B167" s="233">
        <v>6.84</v>
      </c>
    </row>
    <row r="168" spans="1:2">
      <c r="A168" s="216">
        <v>45726</v>
      </c>
      <c r="B168" s="233">
        <v>7.19</v>
      </c>
    </row>
    <row r="169" spans="1:2">
      <c r="A169" s="216">
        <v>45727</v>
      </c>
      <c r="B169" s="233">
        <v>7.31</v>
      </c>
    </row>
    <row r="170" spans="1:2">
      <c r="A170" s="216">
        <v>45728</v>
      </c>
      <c r="B170" s="233">
        <v>7.26</v>
      </c>
    </row>
    <row r="171" spans="1:2">
      <c r="A171" s="216">
        <v>45729</v>
      </c>
      <c r="B171" s="233">
        <v>7.45</v>
      </c>
    </row>
    <row r="172" spans="1:2">
      <c r="A172" s="216">
        <v>45730</v>
      </c>
      <c r="B172" s="233">
        <v>7.58</v>
      </c>
    </row>
    <row r="173" spans="1:2">
      <c r="A173" s="216">
        <v>45731</v>
      </c>
      <c r="B173" s="233">
        <v>6.51</v>
      </c>
    </row>
    <row r="174" spans="1:2">
      <c r="A174" s="216">
        <v>45732</v>
      </c>
      <c r="B174" s="233">
        <v>6.04</v>
      </c>
    </row>
    <row r="175" spans="1:2">
      <c r="A175" s="216">
        <v>45733</v>
      </c>
      <c r="B175" s="233">
        <v>5.86</v>
      </c>
    </row>
    <row r="176" spans="1:2">
      <c r="A176" s="216">
        <v>45734</v>
      </c>
      <c r="B176" s="233">
        <v>5.69</v>
      </c>
    </row>
    <row r="177" spans="1:2">
      <c r="A177" s="216">
        <v>45735</v>
      </c>
      <c r="B177" s="233">
        <v>6.22</v>
      </c>
    </row>
    <row r="178" spans="1:2">
      <c r="A178" s="216">
        <v>45736</v>
      </c>
      <c r="B178" s="233">
        <v>6.39</v>
      </c>
    </row>
    <row r="179" spans="1:2">
      <c r="A179" s="216">
        <v>45737</v>
      </c>
      <c r="B179" s="233">
        <v>6.37</v>
      </c>
    </row>
    <row r="180" spans="1:2">
      <c r="A180" s="216">
        <v>45738</v>
      </c>
      <c r="B180" s="233">
        <v>6.24</v>
      </c>
    </row>
    <row r="181" spans="1:2">
      <c r="A181" s="216">
        <v>45739</v>
      </c>
      <c r="B181" s="233">
        <v>6.07</v>
      </c>
    </row>
    <row r="182" spans="1:2">
      <c r="A182" s="216">
        <v>45740</v>
      </c>
      <c r="B182" s="233">
        <v>5.86</v>
      </c>
    </row>
    <row r="183" spans="1:2">
      <c r="A183" s="216">
        <v>45741</v>
      </c>
      <c r="B183" s="233">
        <v>5.87</v>
      </c>
    </row>
    <row r="184" spans="1:2">
      <c r="A184" s="216">
        <v>45742</v>
      </c>
      <c r="B184" s="233">
        <v>5.83</v>
      </c>
    </row>
    <row r="185" spans="1:2">
      <c r="A185" s="216">
        <v>45743</v>
      </c>
      <c r="B185" s="233">
        <v>5.26</v>
      </c>
    </row>
    <row r="186" spans="1:2">
      <c r="A186" s="216">
        <v>45744</v>
      </c>
      <c r="B186" s="233">
        <v>4.91</v>
      </c>
    </row>
    <row r="187" spans="1:2">
      <c r="A187" s="216">
        <v>45745</v>
      </c>
      <c r="B187" s="233">
        <v>4.95</v>
      </c>
    </row>
    <row r="188" spans="1:2">
      <c r="A188" s="216">
        <v>45746</v>
      </c>
      <c r="B188" s="233">
        <v>5.2</v>
      </c>
    </row>
    <row r="189" spans="1:2">
      <c r="A189" s="216">
        <v>45747</v>
      </c>
      <c r="B189" s="233">
        <v>5.3</v>
      </c>
    </row>
    <row r="190" spans="1:2">
      <c r="A190" s="216">
        <v>45748</v>
      </c>
      <c r="B190" s="233">
        <v>5.0999999999999996</v>
      </c>
    </row>
    <row r="191" spans="1:2">
      <c r="A191" s="216">
        <v>45749</v>
      </c>
      <c r="B191" s="233">
        <v>5.01</v>
      </c>
    </row>
    <row r="192" spans="1:2">
      <c r="A192" s="216">
        <v>45750</v>
      </c>
      <c r="B192" s="233">
        <v>4.78</v>
      </c>
    </row>
    <row r="193" spans="1:2">
      <c r="A193" s="216">
        <v>45751</v>
      </c>
      <c r="B193" s="233">
        <v>4.8099999999999996</v>
      </c>
    </row>
    <row r="194" spans="1:2">
      <c r="A194" s="216">
        <v>45752</v>
      </c>
      <c r="B194" s="233">
        <v>4.57</v>
      </c>
    </row>
    <row r="195" spans="1:2">
      <c r="A195" s="216">
        <v>45753</v>
      </c>
      <c r="B195" s="233">
        <v>4.4000000000000004</v>
      </c>
    </row>
    <row r="196" spans="1:2">
      <c r="A196" s="216">
        <v>45754</v>
      </c>
      <c r="B196" s="233">
        <v>4.28</v>
      </c>
    </row>
    <row r="197" spans="1:2">
      <c r="A197" s="216">
        <v>45755</v>
      </c>
      <c r="B197" s="233">
        <v>4.22</v>
      </c>
    </row>
    <row r="198" spans="1:2">
      <c r="A198" s="216">
        <v>45756</v>
      </c>
      <c r="B198" s="233">
        <v>4.0999999999999996</v>
      </c>
    </row>
    <row r="199" spans="1:2">
      <c r="A199" s="216">
        <v>45757</v>
      </c>
      <c r="B199" s="233">
        <v>3.92</v>
      </c>
    </row>
    <row r="200" spans="1:2">
      <c r="A200" s="216">
        <v>45758</v>
      </c>
      <c r="B200" s="233">
        <v>4</v>
      </c>
    </row>
    <row r="201" spans="1:2">
      <c r="A201" s="216">
        <v>45759</v>
      </c>
      <c r="B201" s="233">
        <v>3.92</v>
      </c>
    </row>
    <row r="202" spans="1:2">
      <c r="A202" s="216">
        <v>45760</v>
      </c>
      <c r="B202" s="233">
        <v>4.07</v>
      </c>
    </row>
    <row r="203" spans="1:2">
      <c r="A203" s="216">
        <v>45761</v>
      </c>
      <c r="B203" s="233">
        <v>3.92</v>
      </c>
    </row>
    <row r="204" spans="1:2">
      <c r="A204" s="216">
        <v>45762</v>
      </c>
      <c r="B204" s="233">
        <v>3.85</v>
      </c>
    </row>
    <row r="205" spans="1:2">
      <c r="A205" s="216">
        <v>45763</v>
      </c>
      <c r="B205" s="233">
        <v>3.86</v>
      </c>
    </row>
    <row r="206" spans="1:2">
      <c r="A206" s="216">
        <v>45764</v>
      </c>
      <c r="B206" s="233">
        <v>3.64</v>
      </c>
    </row>
    <row r="207" spans="1:2">
      <c r="A207" s="216">
        <v>45765</v>
      </c>
      <c r="B207" s="233">
        <v>3.68</v>
      </c>
    </row>
    <row r="208" spans="1:2">
      <c r="A208" s="216">
        <v>45766</v>
      </c>
      <c r="B208" s="233">
        <v>3.59</v>
      </c>
    </row>
    <row r="209" spans="1:2">
      <c r="A209" s="216">
        <v>45767</v>
      </c>
      <c r="B209" s="233">
        <v>3.54</v>
      </c>
    </row>
    <row r="210" spans="1:2">
      <c r="A210" s="216">
        <v>45768</v>
      </c>
      <c r="B210" s="233">
        <v>3.42</v>
      </c>
    </row>
    <row r="211" spans="1:2">
      <c r="A211" s="216">
        <v>45769</v>
      </c>
      <c r="B211" s="233">
        <v>3.3</v>
      </c>
    </row>
    <row r="212" spans="1:2">
      <c r="A212" s="216">
        <v>45770</v>
      </c>
      <c r="B212" s="233">
        <v>3.22</v>
      </c>
    </row>
    <row r="213" spans="1:2">
      <c r="A213" s="216">
        <v>45771</v>
      </c>
      <c r="B213" s="233">
        <v>3.25</v>
      </c>
    </row>
    <row r="214" spans="1:2">
      <c r="A214" s="216">
        <v>45772</v>
      </c>
      <c r="B214" s="233">
        <v>3.09</v>
      </c>
    </row>
    <row r="215" spans="1:2">
      <c r="A215" s="216">
        <v>45773</v>
      </c>
      <c r="B215" s="233">
        <v>3.07</v>
      </c>
    </row>
    <row r="216" spans="1:2">
      <c r="A216" s="216">
        <v>45774</v>
      </c>
      <c r="B216" s="233">
        <v>3.06</v>
      </c>
    </row>
    <row r="217" spans="1:2">
      <c r="A217" s="216">
        <v>45775</v>
      </c>
      <c r="B217" s="233">
        <v>2.83</v>
      </c>
    </row>
    <row r="218" spans="1:2">
      <c r="A218" s="216">
        <v>45776</v>
      </c>
      <c r="B218" s="233">
        <v>2.68</v>
      </c>
    </row>
    <row r="219" spans="1:2">
      <c r="A219" s="216">
        <v>45777</v>
      </c>
      <c r="B219" s="233">
        <v>2.63</v>
      </c>
    </row>
    <row r="220" spans="1:2">
      <c r="A220" s="216">
        <v>45778</v>
      </c>
      <c r="B220" s="233">
        <v>2.5499999999999998</v>
      </c>
    </row>
    <row r="221" spans="1:2">
      <c r="A221" s="216">
        <v>45779</v>
      </c>
      <c r="B221" s="233">
        <v>2.44</v>
      </c>
    </row>
    <row r="222" spans="1:2">
      <c r="A222" s="216">
        <v>45780</v>
      </c>
      <c r="B222" s="233">
        <v>2.69</v>
      </c>
    </row>
    <row r="223" spans="1:2">
      <c r="A223" s="216">
        <v>45781</v>
      </c>
      <c r="B223" s="233">
        <v>3.9</v>
      </c>
    </row>
    <row r="224" spans="1:2">
      <c r="A224" s="216">
        <v>45782</v>
      </c>
      <c r="B224" s="233">
        <v>3.94</v>
      </c>
    </row>
    <row r="225" spans="1:2">
      <c r="A225" s="216">
        <v>45783</v>
      </c>
      <c r="B225" s="233">
        <v>3.63</v>
      </c>
    </row>
    <row r="226" spans="1:2">
      <c r="A226" s="216">
        <v>45784</v>
      </c>
      <c r="B226" s="233">
        <v>3.31</v>
      </c>
    </row>
    <row r="227" spans="1:2">
      <c r="A227" s="216">
        <v>45785</v>
      </c>
      <c r="B227" s="233">
        <v>3.09</v>
      </c>
    </row>
    <row r="228" spans="1:2">
      <c r="A228" s="216">
        <v>45786</v>
      </c>
      <c r="B228" s="233">
        <v>2.82</v>
      </c>
    </row>
    <row r="229" spans="1:2">
      <c r="A229" s="216">
        <v>45787</v>
      </c>
      <c r="B229" s="233">
        <v>2.6</v>
      </c>
    </row>
    <row r="230" spans="1:2">
      <c r="A230" s="216">
        <v>45788</v>
      </c>
      <c r="B230" s="233">
        <v>2.4700000000000002</v>
      </c>
    </row>
    <row r="231" spans="1:2">
      <c r="A231" s="216">
        <v>45789</v>
      </c>
      <c r="B231" s="233">
        <v>2.39</v>
      </c>
    </row>
    <row r="232" spans="1:2">
      <c r="A232" s="216">
        <v>45790</v>
      </c>
      <c r="B232" s="233">
        <v>2.37</v>
      </c>
    </row>
    <row r="233" spans="1:2">
      <c r="A233" s="216">
        <v>45791</v>
      </c>
      <c r="B233" s="233">
        <v>2.33</v>
      </c>
    </row>
    <row r="234" spans="1:2">
      <c r="A234" s="216">
        <v>45792</v>
      </c>
      <c r="B234" s="233">
        <v>2.25</v>
      </c>
    </row>
    <row r="235" spans="1:2">
      <c r="A235" s="216">
        <v>45793</v>
      </c>
      <c r="B235" s="233">
        <v>2.12</v>
      </c>
    </row>
    <row r="236" spans="1:2">
      <c r="A236" s="216">
        <v>45794</v>
      </c>
      <c r="B236" s="233">
        <v>2.0299999999999998</v>
      </c>
    </row>
    <row r="237" spans="1:2">
      <c r="A237" s="216">
        <v>45795</v>
      </c>
      <c r="B237" s="233">
        <v>1.93</v>
      </c>
    </row>
    <row r="238" spans="1:2">
      <c r="A238" s="216">
        <v>45796</v>
      </c>
      <c r="B238" s="233">
        <v>1.9</v>
      </c>
    </row>
    <row r="239" spans="1:2">
      <c r="A239" s="216">
        <v>45797</v>
      </c>
      <c r="B239" s="233">
        <v>1.89</v>
      </c>
    </row>
    <row r="240" spans="1:2">
      <c r="A240" s="216">
        <v>45798</v>
      </c>
      <c r="B240" s="233">
        <v>1.8</v>
      </c>
    </row>
    <row r="241" spans="1:2">
      <c r="A241" s="216">
        <v>45799</v>
      </c>
      <c r="B241" s="233">
        <v>1.79</v>
      </c>
    </row>
    <row r="242" spans="1:2">
      <c r="A242" s="216">
        <v>45800</v>
      </c>
      <c r="B242" s="233">
        <v>1.94</v>
      </c>
    </row>
    <row r="243" spans="1:2">
      <c r="A243" s="216">
        <v>45801</v>
      </c>
      <c r="B243" s="233">
        <v>1.76</v>
      </c>
    </row>
    <row r="244" spans="1:2">
      <c r="A244" s="216">
        <v>45802</v>
      </c>
      <c r="B244" s="233">
        <v>1.99</v>
      </c>
    </row>
    <row r="245" spans="1:2">
      <c r="A245" s="216">
        <v>45803</v>
      </c>
      <c r="B245" s="233">
        <v>2.21</v>
      </c>
    </row>
    <row r="246" spans="1:2">
      <c r="A246" s="216">
        <v>45804</v>
      </c>
      <c r="B246" s="233">
        <v>2.19</v>
      </c>
    </row>
    <row r="247" spans="1:2">
      <c r="A247" s="216">
        <v>45805</v>
      </c>
      <c r="B247" s="233">
        <v>2.19</v>
      </c>
    </row>
    <row r="248" spans="1:2">
      <c r="A248" s="216">
        <v>45806</v>
      </c>
      <c r="B248" s="233">
        <v>2.15</v>
      </c>
    </row>
    <row r="249" spans="1:2">
      <c r="A249" s="216">
        <v>45807</v>
      </c>
      <c r="B249" s="233">
        <v>2.11</v>
      </c>
    </row>
    <row r="250" spans="1:2">
      <c r="A250" s="216">
        <v>45808</v>
      </c>
      <c r="B250" s="233">
        <v>2.06</v>
      </c>
    </row>
    <row r="251" spans="1:2">
      <c r="A251" s="216">
        <v>45809</v>
      </c>
      <c r="B251" s="233">
        <v>2.02</v>
      </c>
    </row>
    <row r="252" spans="1:2">
      <c r="A252" s="216">
        <v>45810</v>
      </c>
      <c r="B252" s="233">
        <v>2.11</v>
      </c>
    </row>
    <row r="253" spans="1:2">
      <c r="A253" s="216">
        <v>45811</v>
      </c>
      <c r="B253" s="233">
        <v>2.1</v>
      </c>
    </row>
    <row r="254" spans="1:2">
      <c r="A254" s="216">
        <v>45812</v>
      </c>
      <c r="B254" s="233">
        <v>2.1</v>
      </c>
    </row>
    <row r="255" spans="1:2">
      <c r="A255" s="216">
        <v>45813</v>
      </c>
      <c r="B255" s="233">
        <v>2</v>
      </c>
    </row>
    <row r="256" spans="1:2">
      <c r="A256" s="216">
        <v>45814</v>
      </c>
      <c r="B256" s="233">
        <v>2.0299999999999998</v>
      </c>
    </row>
    <row r="257" spans="1:2">
      <c r="A257" s="216">
        <v>45815</v>
      </c>
      <c r="B257" s="233">
        <v>1.83</v>
      </c>
    </row>
    <row r="258" spans="1:2">
      <c r="A258" s="216">
        <v>45816</v>
      </c>
      <c r="B258" s="233">
        <v>1.98</v>
      </c>
    </row>
    <row r="259" spans="1:2">
      <c r="A259" s="216">
        <v>45817</v>
      </c>
      <c r="B259" s="233">
        <v>1.99</v>
      </c>
    </row>
    <row r="260" spans="1:2">
      <c r="A260" s="216">
        <v>45818</v>
      </c>
      <c r="B260" s="233">
        <v>2.2799999999999998</v>
      </c>
    </row>
    <row r="261" spans="1:2">
      <c r="A261" s="216">
        <v>45819</v>
      </c>
      <c r="B261" s="233">
        <v>2.23</v>
      </c>
    </row>
    <row r="262" spans="1:2">
      <c r="A262" s="216">
        <v>45820</v>
      </c>
      <c r="B262" s="233">
        <v>2.17</v>
      </c>
    </row>
    <row r="263" spans="1:2">
      <c r="A263" s="216">
        <v>45821</v>
      </c>
      <c r="B263" s="233">
        <v>2.04</v>
      </c>
    </row>
    <row r="264" spans="1:2">
      <c r="A264" s="216">
        <v>45822</v>
      </c>
      <c r="B264" s="233">
        <v>1.96</v>
      </c>
    </row>
    <row r="265" spans="1:2">
      <c r="A265" s="216">
        <v>45823</v>
      </c>
      <c r="B265" s="233">
        <v>1.88</v>
      </c>
    </row>
    <row r="266" spans="1:2">
      <c r="A266" s="216">
        <v>45824</v>
      </c>
      <c r="B266" s="233">
        <v>1.76</v>
      </c>
    </row>
    <row r="267" spans="1:2">
      <c r="A267" s="216">
        <v>45825</v>
      </c>
      <c r="B267" s="233">
        <v>1.58</v>
      </c>
    </row>
    <row r="268" spans="1:2">
      <c r="A268" s="216">
        <v>45826</v>
      </c>
      <c r="B268" s="233">
        <v>1.46</v>
      </c>
    </row>
    <row r="269" spans="1:2">
      <c r="A269" s="216">
        <v>45827</v>
      </c>
      <c r="B269" s="233">
        <v>1.4</v>
      </c>
    </row>
    <row r="270" spans="1:2">
      <c r="A270" s="216">
        <v>45828</v>
      </c>
      <c r="B270" s="233">
        <v>1.24</v>
      </c>
    </row>
    <row r="271" spans="1:2">
      <c r="A271" s="216">
        <v>45829</v>
      </c>
      <c r="B271" s="233">
        <v>1.18</v>
      </c>
    </row>
    <row r="272" spans="1:2">
      <c r="A272" s="216">
        <v>45830</v>
      </c>
      <c r="B272" s="233">
        <v>1.1299999999999999</v>
      </c>
    </row>
    <row r="273" spans="1:2">
      <c r="A273" s="216">
        <v>45831</v>
      </c>
      <c r="B273" s="233">
        <v>1.07</v>
      </c>
    </row>
    <row r="274" spans="1:2">
      <c r="A274" s="216">
        <v>45832</v>
      </c>
      <c r="B274" s="233">
        <v>1.1599999999999999</v>
      </c>
    </row>
    <row r="275" spans="1:2">
      <c r="A275" s="216">
        <v>45833</v>
      </c>
      <c r="B275" s="233">
        <v>1.1599999999999999</v>
      </c>
    </row>
    <row r="276" spans="1:2">
      <c r="A276" s="216">
        <v>45834</v>
      </c>
      <c r="B276" s="233">
        <v>1.1399999999999999</v>
      </c>
    </row>
    <row r="277" spans="1:2">
      <c r="A277" s="216">
        <v>45835</v>
      </c>
      <c r="B277" s="233">
        <v>1.17</v>
      </c>
    </row>
    <row r="278" spans="1:2">
      <c r="A278" s="216">
        <v>45836</v>
      </c>
      <c r="B278" s="233">
        <v>1.1100000000000001</v>
      </c>
    </row>
    <row r="279" spans="1:2">
      <c r="A279" s="216">
        <v>45837</v>
      </c>
      <c r="B279" s="233">
        <v>1.07</v>
      </c>
    </row>
    <row r="280" spans="1:2">
      <c r="A280" s="216">
        <v>45838</v>
      </c>
      <c r="B280" s="233">
        <v>0.95599999999999996</v>
      </c>
    </row>
    <row r="281" spans="1:2">
      <c r="A281" s="216">
        <v>45839</v>
      </c>
      <c r="B281" s="233">
        <v>0.78200000000000003</v>
      </c>
    </row>
    <row r="282" spans="1:2">
      <c r="A282" s="216">
        <v>45840</v>
      </c>
      <c r="B282" s="233">
        <v>0.57799999999999996</v>
      </c>
    </row>
    <row r="283" spans="1:2">
      <c r="A283" s="216">
        <v>45841</v>
      </c>
      <c r="B283" s="233">
        <v>0.54500000000000004</v>
      </c>
    </row>
    <row r="284" spans="1:2">
      <c r="A284" s="216">
        <v>45842</v>
      </c>
      <c r="B284" s="233">
        <v>0.58099999999999996</v>
      </c>
    </row>
    <row r="285" spans="1:2">
      <c r="A285" s="216">
        <v>45843</v>
      </c>
      <c r="B285" s="233">
        <v>0.60499999999999998</v>
      </c>
    </row>
    <row r="286" spans="1:2">
      <c r="A286" s="216">
        <v>45844</v>
      </c>
      <c r="B286" s="233">
        <v>0.79800000000000004</v>
      </c>
    </row>
    <row r="287" spans="1:2">
      <c r="A287" s="216">
        <v>45845</v>
      </c>
      <c r="B287" s="233">
        <v>1.02</v>
      </c>
    </row>
    <row r="288" spans="1:2">
      <c r="A288" s="216">
        <v>45846</v>
      </c>
      <c r="B288" s="233">
        <v>0.86399999999999999</v>
      </c>
    </row>
    <row r="289" spans="1:2">
      <c r="A289" s="216">
        <v>45847</v>
      </c>
      <c r="B289" s="233">
        <v>0.876</v>
      </c>
    </row>
    <row r="290" spans="1:2">
      <c r="A290" s="216">
        <v>45848</v>
      </c>
      <c r="B290" s="233">
        <v>0.91500000000000004</v>
      </c>
    </row>
    <row r="291" spans="1:2">
      <c r="A291" s="216">
        <v>45849</v>
      </c>
      <c r="B291" s="233">
        <v>1.1000000000000001</v>
      </c>
    </row>
    <row r="292" spans="1:2">
      <c r="A292" s="216">
        <v>45850</v>
      </c>
      <c r="B292" s="233">
        <v>1.1499999999999999</v>
      </c>
    </row>
    <row r="293" spans="1:2">
      <c r="A293" s="216">
        <v>45851</v>
      </c>
      <c r="B293" s="233">
        <v>1.23</v>
      </c>
    </row>
    <row r="294" spans="1:2">
      <c r="A294" s="216">
        <v>45852</v>
      </c>
      <c r="B294" s="233">
        <v>1.25</v>
      </c>
    </row>
    <row r="295" spans="1:2">
      <c r="A295" s="216">
        <v>45853</v>
      </c>
      <c r="B295" s="233">
        <v>1.24</v>
      </c>
    </row>
    <row r="296" spans="1:2">
      <c r="A296" s="216">
        <v>45854</v>
      </c>
      <c r="B296" s="233">
        <v>1.25</v>
      </c>
    </row>
    <row r="297" spans="1:2">
      <c r="A297" s="216">
        <v>45855</v>
      </c>
      <c r="B297" s="233">
        <v>1.28</v>
      </c>
    </row>
    <row r="298" spans="1:2">
      <c r="A298" s="216">
        <v>45856</v>
      </c>
      <c r="B298" s="233">
        <v>1.3</v>
      </c>
    </row>
    <row r="299" spans="1:2">
      <c r="A299" s="216">
        <v>45857</v>
      </c>
      <c r="B299" s="233">
        <v>1.27</v>
      </c>
    </row>
    <row r="300" spans="1:2">
      <c r="A300" s="216">
        <v>45858</v>
      </c>
      <c r="B300" s="233">
        <v>1.18</v>
      </c>
    </row>
    <row r="301" spans="1:2">
      <c r="A301" s="216">
        <v>45859</v>
      </c>
      <c r="B301" s="233">
        <v>1.19</v>
      </c>
    </row>
    <row r="302" spans="1:2">
      <c r="A302" s="216">
        <v>45860</v>
      </c>
      <c r="B302" s="233">
        <v>1.29</v>
      </c>
    </row>
    <row r="303" spans="1:2">
      <c r="A303" s="216">
        <v>45861</v>
      </c>
      <c r="B303" s="233">
        <v>1.24</v>
      </c>
    </row>
    <row r="304" spans="1:2">
      <c r="A304" s="216">
        <v>45862</v>
      </c>
      <c r="B304" s="233">
        <v>0.92800000000000005</v>
      </c>
    </row>
    <row r="305" spans="1:2">
      <c r="A305" s="216">
        <v>45863</v>
      </c>
      <c r="B305" s="233">
        <v>0.71</v>
      </c>
    </row>
    <row r="306" spans="1:2">
      <c r="A306" s="216">
        <v>45864</v>
      </c>
      <c r="B306" s="233">
        <v>0.71099999999999997</v>
      </c>
    </row>
    <row r="307" spans="1:2">
      <c r="A307" s="216">
        <v>45865</v>
      </c>
      <c r="B307" s="233">
        <v>0.61499999999999999</v>
      </c>
    </row>
    <row r="308" spans="1:2">
      <c r="A308" s="216">
        <v>45866</v>
      </c>
      <c r="B308" s="233">
        <v>0.67900000000000005</v>
      </c>
    </row>
    <row r="309" spans="1:2">
      <c r="A309" s="216">
        <v>45867</v>
      </c>
      <c r="B309" s="233">
        <v>0.56000000000000005</v>
      </c>
    </row>
    <row r="310" spans="1:2">
      <c r="A310" s="216">
        <v>45868</v>
      </c>
      <c r="B310" s="233">
        <v>0.59799999999999998</v>
      </c>
    </row>
    <row r="311" spans="1:2">
      <c r="A311" s="216">
        <v>45869</v>
      </c>
      <c r="B311" s="233">
        <v>0.60399999999999998</v>
      </c>
    </row>
    <row r="312" spans="1:2">
      <c r="A312" s="216">
        <v>45870</v>
      </c>
      <c r="B312" s="233">
        <v>0.62</v>
      </c>
    </row>
    <row r="313" spans="1:2">
      <c r="A313" s="216">
        <v>45871</v>
      </c>
      <c r="B313" s="233">
        <v>0.68799999999999994</v>
      </c>
    </row>
    <row r="314" spans="1:2">
      <c r="A314" s="216">
        <v>45872</v>
      </c>
      <c r="B314" s="233">
        <v>0.60299999999999998</v>
      </c>
    </row>
    <row r="315" spans="1:2">
      <c r="A315" s="216">
        <v>45873</v>
      </c>
      <c r="B315" s="233">
        <v>0.90300000000000002</v>
      </c>
    </row>
    <row r="316" spans="1:2">
      <c r="A316" s="216">
        <v>45874</v>
      </c>
      <c r="B316" s="233">
        <v>1.03</v>
      </c>
    </row>
    <row r="317" spans="1:2">
      <c r="A317" s="216">
        <v>45875</v>
      </c>
      <c r="B317" s="233">
        <v>1.06</v>
      </c>
    </row>
    <row r="318" spans="1:2">
      <c r="A318" s="216">
        <v>45876</v>
      </c>
      <c r="B318" s="233">
        <v>0.995</v>
      </c>
    </row>
    <row r="319" spans="1:2">
      <c r="A319" s="216">
        <v>45877</v>
      </c>
      <c r="B319" s="233">
        <v>0.92500000000000004</v>
      </c>
    </row>
    <row r="320" spans="1:2">
      <c r="A320" s="216">
        <v>45878</v>
      </c>
      <c r="B320" s="233">
        <v>0.85399999999999998</v>
      </c>
    </row>
    <row r="321" spans="1:2">
      <c r="A321" s="216">
        <v>45879</v>
      </c>
      <c r="B321" s="233">
        <v>0.70899999999999996</v>
      </c>
    </row>
    <row r="322" spans="1:2">
      <c r="A322" s="216">
        <v>45880</v>
      </c>
      <c r="B322" s="233">
        <v>0.57499999999999996</v>
      </c>
    </row>
    <row r="323" spans="1:2">
      <c r="A323" s="216">
        <v>45881</v>
      </c>
      <c r="B323" s="233">
        <v>0.55300000000000005</v>
      </c>
    </row>
    <row r="324" spans="1:2">
      <c r="A324" s="216">
        <v>45882</v>
      </c>
      <c r="B324" s="233">
        <v>0.54400000000000004</v>
      </c>
    </row>
    <row r="325" spans="1:2">
      <c r="A325" s="216">
        <v>45883</v>
      </c>
      <c r="B325" s="233">
        <v>0.53100000000000003</v>
      </c>
    </row>
    <row r="326" spans="1:2">
      <c r="A326" s="216">
        <v>45884</v>
      </c>
      <c r="B326" s="233">
        <v>0.52</v>
      </c>
    </row>
    <row r="327" spans="1:2">
      <c r="A327" s="216">
        <v>45885</v>
      </c>
      <c r="B327" s="233">
        <v>0.5</v>
      </c>
    </row>
    <row r="328" spans="1:2">
      <c r="A328" s="216">
        <v>45886</v>
      </c>
      <c r="B328" s="233">
        <v>0.5</v>
      </c>
    </row>
    <row r="329" spans="1:2">
      <c r="A329" s="216">
        <v>45887</v>
      </c>
      <c r="B329" s="233">
        <v>0.48799999999999999</v>
      </c>
    </row>
    <row r="330" spans="1:2">
      <c r="A330" s="216">
        <v>45888</v>
      </c>
      <c r="B330" s="233">
        <v>0.56200000000000006</v>
      </c>
    </row>
    <row r="331" spans="1:2">
      <c r="A331" s="216">
        <v>45889</v>
      </c>
      <c r="B331" s="233">
        <v>0.56100000000000005</v>
      </c>
    </row>
    <row r="332" spans="1:2">
      <c r="A332" s="216">
        <v>45890</v>
      </c>
      <c r="B332" s="233">
        <v>0.55300000000000005</v>
      </c>
    </row>
    <row r="333" spans="1:2">
      <c r="A333" s="216">
        <v>45891</v>
      </c>
      <c r="B333" s="233">
        <v>0.58099999999999996</v>
      </c>
    </row>
    <row r="334" spans="1:2">
      <c r="A334" s="216">
        <v>45892</v>
      </c>
      <c r="B334" s="233">
        <v>0.86899999999999999</v>
      </c>
    </row>
    <row r="335" spans="1:2">
      <c r="A335" s="216">
        <v>45893</v>
      </c>
      <c r="B335" s="233">
        <v>0.74199999999999999</v>
      </c>
    </row>
    <row r="336" spans="1:2">
      <c r="A336" s="216">
        <v>45894</v>
      </c>
      <c r="B336" s="233">
        <v>0.82299999999999995</v>
      </c>
    </row>
    <row r="337" spans="1:2">
      <c r="A337" s="216">
        <v>45895</v>
      </c>
      <c r="B337" s="233">
        <v>0.68700000000000006</v>
      </c>
    </row>
    <row r="338" spans="1:2">
      <c r="A338" s="216">
        <v>45896</v>
      </c>
      <c r="B338" s="233">
        <v>0.8</v>
      </c>
    </row>
    <row r="339" spans="1:2">
      <c r="A339" s="216">
        <v>45897</v>
      </c>
      <c r="B339" s="233">
        <v>0.93799999999999994</v>
      </c>
    </row>
    <row r="340" spans="1:2">
      <c r="A340" s="216">
        <v>45898</v>
      </c>
      <c r="B340" s="233">
        <v>0.92600000000000005</v>
      </c>
    </row>
    <row r="341" spans="1:2">
      <c r="A341" s="216">
        <v>45899</v>
      </c>
      <c r="B341" s="233">
        <v>0.84699999999999998</v>
      </c>
    </row>
    <row r="342" spans="1:2">
      <c r="A342" s="216">
        <v>45900</v>
      </c>
      <c r="B342" s="233">
        <v>0.71299999999999997</v>
      </c>
    </row>
    <row r="343" spans="1:2">
      <c r="A343" s="216">
        <v>45901</v>
      </c>
      <c r="B343" s="233">
        <v>0.56100000000000005</v>
      </c>
    </row>
    <row r="344" spans="1:2">
      <c r="A344" s="216">
        <v>45902</v>
      </c>
      <c r="B344" s="233">
        <v>0.54</v>
      </c>
    </row>
    <row r="345" spans="1:2">
      <c r="A345" s="216">
        <v>45903</v>
      </c>
      <c r="B345" s="233">
        <v>0.59099999999999997</v>
      </c>
    </row>
    <row r="346" spans="1:2">
      <c r="A346" s="216">
        <v>45904</v>
      </c>
      <c r="B346" s="233">
        <v>0.55600000000000005</v>
      </c>
    </row>
    <row r="347" spans="1:2">
      <c r="A347" s="216">
        <v>45905</v>
      </c>
      <c r="B347" s="233">
        <v>0.97299999999999998</v>
      </c>
    </row>
    <row r="348" spans="1:2">
      <c r="A348" s="216">
        <v>45906</v>
      </c>
      <c r="B348" s="233">
        <v>0.63300000000000001</v>
      </c>
    </row>
    <row r="349" spans="1:2">
      <c r="A349" s="216">
        <v>45907</v>
      </c>
      <c r="B349" s="233">
        <v>0.67600000000000005</v>
      </c>
    </row>
    <row r="350" spans="1:2">
      <c r="A350" s="216">
        <v>45908</v>
      </c>
      <c r="B350" s="233">
        <v>0.60599999999999998</v>
      </c>
    </row>
    <row r="351" spans="1:2">
      <c r="A351" s="216">
        <v>45909</v>
      </c>
      <c r="B351" s="233">
        <v>0.58699999999999997</v>
      </c>
    </row>
    <row r="352" spans="1:2">
      <c r="A352" s="216">
        <v>45910</v>
      </c>
      <c r="B352" s="233"/>
    </row>
    <row r="353" spans="1:2">
      <c r="A353" s="216">
        <v>45911</v>
      </c>
      <c r="B353" s="233"/>
    </row>
    <row r="354" spans="1:2">
      <c r="A354" s="216">
        <v>45912</v>
      </c>
      <c r="B354" s="233"/>
    </row>
    <row r="355" spans="1:2">
      <c r="A355" s="216">
        <v>45913</v>
      </c>
      <c r="B355" s="233"/>
    </row>
    <row r="356" spans="1:2">
      <c r="A356" s="216">
        <v>45914</v>
      </c>
      <c r="B356" s="233"/>
    </row>
    <row r="357" spans="1:2">
      <c r="A357" s="216">
        <v>45915</v>
      </c>
      <c r="B357" s="233"/>
    </row>
    <row r="358" spans="1:2">
      <c r="A358" s="216">
        <v>45916</v>
      </c>
      <c r="B358" s="233"/>
    </row>
    <row r="359" spans="1:2">
      <c r="A359" s="216">
        <v>45917</v>
      </c>
      <c r="B359" s="233"/>
    </row>
    <row r="360" spans="1:2">
      <c r="A360" s="216">
        <v>45918</v>
      </c>
      <c r="B360" s="233"/>
    </row>
    <row r="361" spans="1:2">
      <c r="A361" s="216">
        <v>45919</v>
      </c>
      <c r="B361" s="233"/>
    </row>
    <row r="362" spans="1:2">
      <c r="A362" s="216">
        <v>45920</v>
      </c>
      <c r="B362" s="233"/>
    </row>
    <row r="363" spans="1:2">
      <c r="A363" s="216">
        <v>45921</v>
      </c>
      <c r="B363" s="233"/>
    </row>
    <row r="364" spans="1:2">
      <c r="A364" s="216">
        <v>45922</v>
      </c>
      <c r="B364" s="233"/>
    </row>
    <row r="365" spans="1:2">
      <c r="A365" s="216">
        <v>45923</v>
      </c>
      <c r="B365" s="233"/>
    </row>
    <row r="366" spans="1:2">
      <c r="A366" s="216">
        <v>45924</v>
      </c>
      <c r="B366" s="233"/>
    </row>
    <row r="367" spans="1:2">
      <c r="A367" s="216">
        <v>45925</v>
      </c>
      <c r="B367" s="233"/>
    </row>
    <row r="368" spans="1:2">
      <c r="A368" s="216">
        <v>45926</v>
      </c>
      <c r="B368" s="233"/>
    </row>
    <row r="369" spans="1:2">
      <c r="A369" s="216">
        <v>45927</v>
      </c>
      <c r="B369" s="233"/>
    </row>
    <row r="370" spans="1:2">
      <c r="A370" s="216">
        <v>45928</v>
      </c>
      <c r="B370" s="233"/>
    </row>
    <row r="371" spans="1:2">
      <c r="A371" s="216">
        <v>45929</v>
      </c>
      <c r="B371" s="233"/>
    </row>
    <row r="372" spans="1:2">
      <c r="A372" s="216">
        <v>45930</v>
      </c>
      <c r="B372" s="233"/>
    </row>
    <row r="373" spans="1:2">
      <c r="A373" s="216">
        <v>45931</v>
      </c>
      <c r="B373" s="233"/>
    </row>
    <row r="374" spans="1:2">
      <c r="A374" s="216">
        <v>45932</v>
      </c>
      <c r="B374" s="233"/>
    </row>
    <row r="375" spans="1:2">
      <c r="A375" s="216">
        <v>45933</v>
      </c>
      <c r="B375" s="233"/>
    </row>
    <row r="376" spans="1:2">
      <c r="A376" s="216">
        <v>45934</v>
      </c>
      <c r="B376" s="233"/>
    </row>
    <row r="377" spans="1:2">
      <c r="A377" s="216">
        <v>45935</v>
      </c>
      <c r="B377" s="233"/>
    </row>
    <row r="378" spans="1:2">
      <c r="A378" s="216">
        <v>45936</v>
      </c>
      <c r="B378" s="233"/>
    </row>
    <row r="379" spans="1:2">
      <c r="A379" s="216">
        <v>45937</v>
      </c>
      <c r="B379" s="233"/>
    </row>
    <row r="380" spans="1:2">
      <c r="A380" s="216">
        <v>45938</v>
      </c>
      <c r="B380" s="233"/>
    </row>
    <row r="381" spans="1:2">
      <c r="A381" s="216">
        <v>45939</v>
      </c>
      <c r="B381" s="233"/>
    </row>
    <row r="382" spans="1:2">
      <c r="A382" s="216">
        <v>45940</v>
      </c>
      <c r="B382" s="233"/>
    </row>
    <row r="383" spans="1:2">
      <c r="A383" s="216">
        <v>45941</v>
      </c>
      <c r="B383" s="233"/>
    </row>
    <row r="384" spans="1:2">
      <c r="A384" s="216">
        <v>45942</v>
      </c>
      <c r="B384" s="233"/>
    </row>
    <row r="385" spans="1:2">
      <c r="A385" s="216">
        <v>45943</v>
      </c>
      <c r="B385" s="233"/>
    </row>
    <row r="386" spans="1:2">
      <c r="A386" s="216">
        <v>45944</v>
      </c>
      <c r="B386" s="233"/>
    </row>
    <row r="387" spans="1:2">
      <c r="A387" s="216">
        <v>45945</v>
      </c>
      <c r="B387" s="233"/>
    </row>
    <row r="388" spans="1:2">
      <c r="A388" s="216">
        <v>45946</v>
      </c>
      <c r="B388" s="233"/>
    </row>
    <row r="389" spans="1:2">
      <c r="A389" s="216">
        <v>45947</v>
      </c>
      <c r="B389" s="233"/>
    </row>
    <row r="390" spans="1:2">
      <c r="A390" s="216">
        <v>45948</v>
      </c>
      <c r="B390" s="233"/>
    </row>
    <row r="391" spans="1:2">
      <c r="A391" s="216">
        <v>45949</v>
      </c>
      <c r="B391" s="233"/>
    </row>
    <row r="392" spans="1:2">
      <c r="A392" s="216">
        <v>45950</v>
      </c>
      <c r="B392" s="233"/>
    </row>
    <row r="393" spans="1:2">
      <c r="A393" s="216">
        <v>45951</v>
      </c>
      <c r="B393" s="233"/>
    </row>
    <row r="394" spans="1:2">
      <c r="A394" s="216">
        <v>45952</v>
      </c>
      <c r="B394" s="233"/>
    </row>
    <row r="395" spans="1:2">
      <c r="A395" s="216">
        <v>45953</v>
      </c>
      <c r="B395" s="233"/>
    </row>
    <row r="396" spans="1:2">
      <c r="A396" s="216">
        <v>45954</v>
      </c>
      <c r="B396" s="738"/>
    </row>
    <row r="397" spans="1:2">
      <c r="A397" s="216">
        <v>45955</v>
      </c>
      <c r="B397" s="738"/>
    </row>
    <row r="398" spans="1:2">
      <c r="A398" s="216">
        <v>45956</v>
      </c>
      <c r="B398" s="233"/>
    </row>
    <row r="399" spans="1:2">
      <c r="A399" s="216">
        <v>45957</v>
      </c>
      <c r="B399" s="233"/>
    </row>
    <row r="400" spans="1:2">
      <c r="A400" s="216">
        <v>45958</v>
      </c>
      <c r="B400" s="233"/>
    </row>
    <row r="401" spans="1:2">
      <c r="A401" s="216">
        <v>45959</v>
      </c>
      <c r="B401" s="233"/>
    </row>
    <row r="402" spans="1:2">
      <c r="A402" s="216">
        <v>45960</v>
      </c>
      <c r="B402" s="233"/>
    </row>
    <row r="403" spans="1:2">
      <c r="A403" s="216">
        <v>45961</v>
      </c>
      <c r="B403" s="233"/>
    </row>
    <row r="404" spans="1:2">
      <c r="A404" s="216">
        <v>45962</v>
      </c>
      <c r="B404" s="233"/>
    </row>
    <row r="405" spans="1:2">
      <c r="A405" s="216">
        <v>45963</v>
      </c>
      <c r="B405" s="233"/>
    </row>
    <row r="406" spans="1:2">
      <c r="A406" s="216">
        <v>45964</v>
      </c>
      <c r="B406" s="233"/>
    </row>
    <row r="407" spans="1:2">
      <c r="A407" s="216">
        <v>45965</v>
      </c>
      <c r="B407" s="233"/>
    </row>
    <row r="408" spans="1:2">
      <c r="A408" s="216">
        <v>45966</v>
      </c>
      <c r="B408" s="233"/>
    </row>
    <row r="409" spans="1:2">
      <c r="A409" s="216">
        <v>45967</v>
      </c>
      <c r="B409" s="233"/>
    </row>
    <row r="410" spans="1:2">
      <c r="A410" s="216">
        <v>45968</v>
      </c>
      <c r="B410" s="233"/>
    </row>
    <row r="411" spans="1:2">
      <c r="A411" s="216">
        <v>45969</v>
      </c>
      <c r="B411" s="233"/>
    </row>
    <row r="412" spans="1:2">
      <c r="A412" s="216">
        <v>45970</v>
      </c>
      <c r="B412" s="233"/>
    </row>
    <row r="413" spans="1:2">
      <c r="A413" s="216">
        <v>45971</v>
      </c>
      <c r="B413" s="233"/>
    </row>
    <row r="414" spans="1:2">
      <c r="A414" s="216">
        <v>45972</v>
      </c>
      <c r="B414" s="233"/>
    </row>
    <row r="415" spans="1:2">
      <c r="A415" s="216">
        <v>45973</v>
      </c>
      <c r="B415" s="233"/>
    </row>
    <row r="416" spans="1:2">
      <c r="A416" s="216">
        <v>45974</v>
      </c>
      <c r="B416" s="233"/>
    </row>
    <row r="417" spans="1:2">
      <c r="A417" s="216">
        <v>45975</v>
      </c>
      <c r="B417" s="233"/>
    </row>
    <row r="418" spans="1:2">
      <c r="A418" s="216">
        <v>45976</v>
      </c>
      <c r="B418" s="233"/>
    </row>
    <row r="419" spans="1:2">
      <c r="A419" s="216">
        <v>45977</v>
      </c>
      <c r="B419" s="233"/>
    </row>
    <row r="420" spans="1:2">
      <c r="A420" s="216">
        <v>45978</v>
      </c>
      <c r="B420" s="233"/>
    </row>
    <row r="421" spans="1:2">
      <c r="A421" s="216">
        <v>45979</v>
      </c>
      <c r="B421" s="233"/>
    </row>
    <row r="422" spans="1:2">
      <c r="A422" s="216">
        <v>45980</v>
      </c>
      <c r="B422" s="233"/>
    </row>
    <row r="423" spans="1:2">
      <c r="A423" s="216">
        <v>45981</v>
      </c>
      <c r="B423" s="233"/>
    </row>
    <row r="424" spans="1:2">
      <c r="A424" s="216">
        <v>45982</v>
      </c>
      <c r="B424" s="233"/>
    </row>
    <row r="425" spans="1:2">
      <c r="A425" s="216">
        <v>45983</v>
      </c>
      <c r="B425" s="233"/>
    </row>
    <row r="426" spans="1:2">
      <c r="A426" s="216">
        <v>45984</v>
      </c>
      <c r="B426" s="233"/>
    </row>
    <row r="427" spans="1:2">
      <c r="A427" s="216">
        <v>45985</v>
      </c>
      <c r="B427" s="233"/>
    </row>
    <row r="428" spans="1:2">
      <c r="A428" s="216">
        <v>45986</v>
      </c>
      <c r="B428" s="233"/>
    </row>
    <row r="429" spans="1:2">
      <c r="A429" s="216">
        <v>45987</v>
      </c>
      <c r="B429" s="233"/>
    </row>
    <row r="430" spans="1:2">
      <c r="A430" s="216">
        <v>45988</v>
      </c>
      <c r="B430" s="233"/>
    </row>
    <row r="431" spans="1:2">
      <c r="A431" s="216">
        <v>45989</v>
      </c>
      <c r="B431" s="233"/>
    </row>
    <row r="432" spans="1:2">
      <c r="A432" s="216">
        <v>45990</v>
      </c>
      <c r="B432" s="233"/>
    </row>
    <row r="433" spans="1:2">
      <c r="A433" s="216">
        <v>45991</v>
      </c>
      <c r="B433" s="233"/>
    </row>
    <row r="434" spans="1:2">
      <c r="A434" s="216">
        <v>45992</v>
      </c>
      <c r="B434" s="233"/>
    </row>
    <row r="435" spans="1:2">
      <c r="A435" s="216">
        <v>45993</v>
      </c>
      <c r="B435" s="233"/>
    </row>
    <row r="436" spans="1:2">
      <c r="A436" s="216">
        <v>45994</v>
      </c>
      <c r="B436" s="233"/>
    </row>
    <row r="437" spans="1:2">
      <c r="A437" s="216">
        <v>45995</v>
      </c>
      <c r="B437" s="233"/>
    </row>
    <row r="438" spans="1:2">
      <c r="A438" s="216">
        <v>45996</v>
      </c>
      <c r="B438" s="233"/>
    </row>
    <row r="439" spans="1:2">
      <c r="A439" s="216">
        <v>45997</v>
      </c>
      <c r="B439" s="233"/>
    </row>
    <row r="440" spans="1:2">
      <c r="A440" s="216">
        <v>45998</v>
      </c>
      <c r="B440" s="233"/>
    </row>
    <row r="441" spans="1:2">
      <c r="A441" s="216">
        <v>45999</v>
      </c>
      <c r="B441" s="233"/>
    </row>
    <row r="442" spans="1:2">
      <c r="A442" s="216">
        <v>46000</v>
      </c>
      <c r="B442" s="233"/>
    </row>
    <row r="443" spans="1:2">
      <c r="A443" s="216">
        <v>46001</v>
      </c>
      <c r="B443" s="626"/>
    </row>
    <row r="444" spans="1:2">
      <c r="A444" s="216">
        <v>46002</v>
      </c>
      <c r="B444" s="626"/>
    </row>
    <row r="445" spans="1:2">
      <c r="A445" s="216">
        <v>46003</v>
      </c>
      <c r="B445" s="626"/>
    </row>
    <row r="446" spans="1:2">
      <c r="A446" s="216">
        <v>46004</v>
      </c>
      <c r="B446" s="626"/>
    </row>
    <row r="447" spans="1:2">
      <c r="A447" s="216">
        <v>46005</v>
      </c>
      <c r="B447" s="233"/>
    </row>
    <row r="448" spans="1:2">
      <c r="A448" s="216">
        <v>46006</v>
      </c>
      <c r="B448" s="233"/>
    </row>
    <row r="449" spans="1:2">
      <c r="A449" s="216">
        <v>46007</v>
      </c>
      <c r="B449" s="233"/>
    </row>
    <row r="450" spans="1:2">
      <c r="A450" s="216">
        <v>46008</v>
      </c>
      <c r="B450" s="626"/>
    </row>
    <row r="451" spans="1:2">
      <c r="A451" s="216">
        <v>46009</v>
      </c>
      <c r="B451" s="626"/>
    </row>
    <row r="452" spans="1:2">
      <c r="A452" s="216">
        <v>46010</v>
      </c>
      <c r="B452" s="626"/>
    </row>
    <row r="453" spans="1:2">
      <c r="A453" s="216">
        <v>46011</v>
      </c>
      <c r="B453" s="626"/>
    </row>
    <row r="454" spans="1:2">
      <c r="A454" s="216">
        <v>46012</v>
      </c>
      <c r="B454" s="626"/>
    </row>
    <row r="455" spans="1:2">
      <c r="A455" s="216">
        <v>46013</v>
      </c>
      <c r="B455" s="626"/>
    </row>
    <row r="456" spans="1:2">
      <c r="A456" s="216">
        <v>46014</v>
      </c>
      <c r="B456" s="626"/>
    </row>
    <row r="457" spans="1:2">
      <c r="A457" s="216">
        <v>46015</v>
      </c>
    </row>
    <row r="458" spans="1:2">
      <c r="A458" s="216">
        <v>46016</v>
      </c>
    </row>
    <row r="459" spans="1:2">
      <c r="A459" s="216">
        <v>46017</v>
      </c>
    </row>
    <row r="460" spans="1:2">
      <c r="A460" s="216">
        <v>46018</v>
      </c>
    </row>
    <row r="461" spans="1:2">
      <c r="A461" s="216">
        <v>46019</v>
      </c>
    </row>
    <row r="462" spans="1:2">
      <c r="A462" s="216">
        <v>46020</v>
      </c>
    </row>
    <row r="463" spans="1:2">
      <c r="A463" s="216">
        <v>46021</v>
      </c>
    </row>
    <row r="464" spans="1:2">
      <c r="A464" s="216">
        <v>46022</v>
      </c>
    </row>
    <row r="465" spans="1:1">
      <c r="A465" s="216">
        <v>46023</v>
      </c>
    </row>
    <row r="466" spans="1:1">
      <c r="A466" s="627"/>
    </row>
    <row r="467" spans="1:1">
      <c r="A467" s="627"/>
    </row>
  </sheetData>
  <sheetProtection algorithmName="SHA-512" hashValue="iR5FA6Fq0sCjbXGdK2OJq+Da9G8AB67439GKR/prCawQugyzZX+neoiKTowwZ4qm8nLZckUqfsz+WX3b0cC8Zw==" saltValue="EWmaDcN4x+QfbcqljHkyaQ==" spinCount="100000" sheet="1" objects="1" scenarios="1"/>
  <phoneticPr fontId="3" type="noConversion"/>
  <hyperlinks>
    <hyperlink ref="B30:C30" r:id="rId1" display="https://vattenweb.smhi.se/station/#" xr:uid="{74C560D8-FD4B-4F89-A33B-B3E194456D36}"/>
    <hyperlink ref="B30" r:id="rId2" location="param=waterdischargeDaily,stations=core,stationid=2171" xr:uid="{066786BE-1F48-4BCF-B209-A1B05E89E7FB}"/>
    <hyperlink ref="B31" r:id="rId3" display="https://vattenwebb.smhi.se/modelarea/" xr:uid="{B257C5C4-FD32-46CD-B8DD-8F0CE02CC058}"/>
  </hyperlinks>
  <pageMargins left="0.75" right="0.75" top="1" bottom="1" header="0.5" footer="0.5"/>
  <pageSetup paperSize="9" orientation="portrait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2">
    <tabColor rgb="FFFFC000"/>
  </sheetPr>
  <dimension ref="A1:CP220"/>
  <sheetViews>
    <sheetView showRowColHeaders="0" workbookViewId="0">
      <pane ySplit="8" topLeftCell="A9" activePane="bottomLeft" state="frozen"/>
      <selection pane="bottomLeft"/>
    </sheetView>
  </sheetViews>
  <sheetFormatPr defaultRowHeight="12.5"/>
  <cols>
    <col min="1" max="1" width="11.08984375" customWidth="1"/>
    <col min="2" max="2" width="46.54296875" customWidth="1"/>
    <col min="3" max="3" width="10.08984375" style="231" bestFit="1" customWidth="1"/>
    <col min="4" max="4" width="11.90625" style="233" bestFit="1" customWidth="1"/>
    <col min="5" max="5" width="9.08984375" style="233"/>
    <col min="6" max="6" width="9.08984375" style="235"/>
    <col min="7" max="10" width="9.08984375" style="233"/>
    <col min="11" max="15" width="9.08984375" style="235"/>
    <col min="20" max="20" width="12.36328125" bestFit="1" customWidth="1"/>
    <col min="67" max="67" width="10.08984375" bestFit="1" customWidth="1"/>
    <col min="68" max="68" width="9.08984375" customWidth="1"/>
    <col min="69" max="78" width="9.08984375" hidden="1" customWidth="1"/>
    <col min="82" max="82" width="9.08984375" style="378"/>
  </cols>
  <sheetData>
    <row r="1" spans="1:94" ht="23">
      <c r="A1" s="226"/>
      <c r="B1" s="514" t="s">
        <v>277</v>
      </c>
      <c r="C1" s="229"/>
      <c r="D1" s="232"/>
      <c r="E1" s="232"/>
      <c r="F1" s="234"/>
      <c r="G1" s="232"/>
      <c r="H1" s="232"/>
      <c r="I1" s="232"/>
      <c r="J1" s="232"/>
      <c r="K1" s="234"/>
      <c r="L1" s="234"/>
      <c r="M1" s="234"/>
      <c r="N1" s="234"/>
      <c r="O1" s="234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94" ht="23">
      <c r="A2" s="226"/>
      <c r="B2" s="226"/>
      <c r="C2" s="229"/>
      <c r="D2" s="232"/>
      <c r="E2" s="232"/>
      <c r="F2" s="234"/>
      <c r="G2" s="232"/>
      <c r="H2" s="232"/>
      <c r="I2" s="232"/>
      <c r="J2" s="232"/>
      <c r="K2" s="234"/>
      <c r="L2" s="234"/>
      <c r="M2" s="234"/>
      <c r="N2" s="234"/>
      <c r="O2" s="234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</row>
    <row r="3" spans="1:94" ht="18">
      <c r="A3" s="226"/>
      <c r="B3" s="241" t="str">
        <f>CONCATENATE("Statistik för åren: ",MIN(Q:Q)," - ",MAX(Q:Q))</f>
        <v>Statistik för åren: 2010 - 2024</v>
      </c>
      <c r="C3" s="515"/>
      <c r="D3" s="232"/>
      <c r="E3" s="232"/>
      <c r="F3" s="234"/>
      <c r="G3" s="232"/>
      <c r="H3" s="232"/>
      <c r="I3" s="232"/>
      <c r="J3" s="232"/>
      <c r="K3" s="234"/>
      <c r="L3" s="234"/>
      <c r="M3" s="234"/>
      <c r="N3" s="234"/>
      <c r="O3" s="234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94" ht="13">
      <c r="A4" s="226"/>
      <c r="B4" s="283" t="s">
        <v>171</v>
      </c>
      <c r="C4" s="230"/>
      <c r="D4" s="232"/>
      <c r="E4" s="232"/>
      <c r="F4" s="234"/>
      <c r="G4" s="232"/>
      <c r="H4" s="232"/>
      <c r="I4" s="232"/>
      <c r="J4" s="241"/>
      <c r="K4" s="234"/>
      <c r="L4" s="234"/>
      <c r="M4" s="234"/>
      <c r="N4" s="234"/>
      <c r="O4" s="234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94" ht="13">
      <c r="A5" s="226"/>
      <c r="B5" s="226"/>
      <c r="C5" s="230"/>
      <c r="D5" s="232"/>
      <c r="E5" s="232"/>
      <c r="F5" s="234"/>
      <c r="G5" s="232"/>
      <c r="H5" s="232"/>
      <c r="I5" s="232"/>
      <c r="J5" s="283"/>
      <c r="K5" s="240"/>
      <c r="L5" s="241"/>
      <c r="M5" s="234"/>
      <c r="N5" s="234"/>
      <c r="O5" s="234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</row>
    <row r="6" spans="1:94" ht="50.25" customHeight="1">
      <c r="A6" s="226"/>
      <c r="B6" s="226"/>
      <c r="C6" s="230"/>
      <c r="D6" s="232"/>
      <c r="E6" s="232"/>
      <c r="F6" s="234"/>
      <c r="G6" s="232"/>
      <c r="H6" s="232"/>
      <c r="I6" s="232"/>
      <c r="J6" s="232"/>
      <c r="K6" s="234"/>
      <c r="L6" s="234"/>
      <c r="M6" s="234"/>
      <c r="N6" s="234"/>
      <c r="O6" s="234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57" t="s">
        <v>213</v>
      </c>
      <c r="CD6" s="379" t="s">
        <v>214</v>
      </c>
    </row>
    <row r="7" spans="1:94" ht="13">
      <c r="A7" s="226"/>
      <c r="B7" s="227"/>
      <c r="C7" s="230"/>
      <c r="D7" s="338" t="s">
        <v>17</v>
      </c>
      <c r="E7" s="338" t="s">
        <v>106</v>
      </c>
      <c r="F7" s="339" t="s">
        <v>114</v>
      </c>
      <c r="G7" s="338"/>
      <c r="H7" s="338" t="s">
        <v>104</v>
      </c>
      <c r="I7" s="534" t="s">
        <v>105</v>
      </c>
      <c r="J7" s="339" t="s">
        <v>106</v>
      </c>
      <c r="K7" s="339" t="s">
        <v>19</v>
      </c>
      <c r="L7" s="339" t="s">
        <v>19</v>
      </c>
      <c r="M7" s="339" t="s">
        <v>20</v>
      </c>
      <c r="N7" s="339" t="s">
        <v>20</v>
      </c>
      <c r="O7" s="339" t="s">
        <v>20</v>
      </c>
      <c r="P7" s="338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33" t="s">
        <v>166</v>
      </c>
      <c r="AB7" s="233"/>
      <c r="AC7" s="233"/>
      <c r="AE7" s="233" t="s">
        <v>186</v>
      </c>
      <c r="AF7" s="233"/>
      <c r="AG7" s="233"/>
      <c r="AI7" s="233" t="s">
        <v>223</v>
      </c>
      <c r="AJ7" s="233"/>
      <c r="AK7" s="233"/>
      <c r="AM7" s="535" t="s">
        <v>116</v>
      </c>
      <c r="AN7" s="233"/>
      <c r="AO7" s="233"/>
      <c r="AP7" s="57" t="s">
        <v>303</v>
      </c>
      <c r="AQ7" s="233"/>
      <c r="AR7" s="233"/>
      <c r="AS7" s="57" t="s">
        <v>102</v>
      </c>
      <c r="AW7" s="57" t="s">
        <v>10</v>
      </c>
      <c r="AZ7" t="s">
        <v>215</v>
      </c>
      <c r="BC7" t="s">
        <v>103</v>
      </c>
      <c r="BF7" t="s">
        <v>112</v>
      </c>
      <c r="BJ7" s="57" t="s">
        <v>117</v>
      </c>
      <c r="CD7" s="378" t="s">
        <v>17</v>
      </c>
      <c r="CE7" t="s">
        <v>106</v>
      </c>
      <c r="CF7" t="s">
        <v>114</v>
      </c>
      <c r="CH7" t="s">
        <v>104</v>
      </c>
      <c r="CI7" t="s">
        <v>105</v>
      </c>
      <c r="CJ7" s="57" t="s">
        <v>106</v>
      </c>
      <c r="CK7" t="s">
        <v>19</v>
      </c>
      <c r="CL7" t="s">
        <v>19</v>
      </c>
      <c r="CM7" t="s">
        <v>20</v>
      </c>
      <c r="CN7" t="s">
        <v>20</v>
      </c>
      <c r="CO7" t="s">
        <v>20</v>
      </c>
      <c r="CP7" t="s">
        <v>106</v>
      </c>
    </row>
    <row r="8" spans="1:94" ht="13">
      <c r="A8" s="226"/>
      <c r="B8" s="227" t="str">
        <f>INDEX(Provpunkter!B1:B19,Provpunkter!G1)</f>
        <v>3   Kävlingeån, vid Högsmölla</v>
      </c>
      <c r="C8" s="230" t="s">
        <v>154</v>
      </c>
      <c r="D8" s="338" t="s">
        <v>5</v>
      </c>
      <c r="E8" s="338" t="s">
        <v>7</v>
      </c>
      <c r="F8" s="339" t="s">
        <v>8</v>
      </c>
      <c r="G8" s="338" t="s">
        <v>6</v>
      </c>
      <c r="H8" s="338" t="s">
        <v>9</v>
      </c>
      <c r="I8" s="338" t="s">
        <v>116</v>
      </c>
      <c r="J8" s="338" t="s">
        <v>230</v>
      </c>
      <c r="K8" s="339" t="s">
        <v>102</v>
      </c>
      <c r="L8" s="339" t="s">
        <v>10</v>
      </c>
      <c r="M8" s="339" t="s">
        <v>157</v>
      </c>
      <c r="N8" s="339" t="s">
        <v>103</v>
      </c>
      <c r="O8" s="339" t="s">
        <v>11</v>
      </c>
      <c r="P8" s="228" t="s">
        <v>291</v>
      </c>
      <c r="Q8" s="228" t="s">
        <v>158</v>
      </c>
      <c r="R8" s="228" t="s">
        <v>159</v>
      </c>
      <c r="S8" s="228"/>
      <c r="T8" s="226"/>
      <c r="U8" s="226"/>
      <c r="V8" s="226"/>
      <c r="W8" s="226"/>
      <c r="X8" s="226"/>
      <c r="Y8" s="226"/>
      <c r="Z8" s="226"/>
      <c r="AA8" s="233" t="s">
        <v>150</v>
      </c>
      <c r="AB8" s="233" t="s">
        <v>224</v>
      </c>
      <c r="AC8" s="233" t="s">
        <v>225</v>
      </c>
      <c r="AD8" s="57" t="s">
        <v>237</v>
      </c>
      <c r="AE8" s="233" t="s">
        <v>150</v>
      </c>
      <c r="AF8" s="233" t="s">
        <v>224</v>
      </c>
      <c r="AG8" s="233" t="s">
        <v>225</v>
      </c>
      <c r="AH8" t="s">
        <v>226</v>
      </c>
      <c r="AI8" s="233" t="s">
        <v>150</v>
      </c>
      <c r="AJ8" s="233" t="s">
        <v>224</v>
      </c>
      <c r="AK8" s="233" t="s">
        <v>225</v>
      </c>
      <c r="AL8" t="s">
        <v>227</v>
      </c>
      <c r="AM8" s="233" t="s">
        <v>150</v>
      </c>
      <c r="AN8" s="233" t="s">
        <v>224</v>
      </c>
      <c r="AO8" s="233" t="s">
        <v>225</v>
      </c>
      <c r="AP8" s="233" t="s">
        <v>150</v>
      </c>
      <c r="AQ8" s="233" t="s">
        <v>224</v>
      </c>
      <c r="AR8" s="233" t="s">
        <v>225</v>
      </c>
      <c r="AS8" t="s">
        <v>150</v>
      </c>
      <c r="AT8" t="s">
        <v>224</v>
      </c>
      <c r="AU8" t="s">
        <v>225</v>
      </c>
      <c r="AV8" t="s">
        <v>227</v>
      </c>
      <c r="AW8" t="s">
        <v>150</v>
      </c>
      <c r="AX8" t="s">
        <v>224</v>
      </c>
      <c r="AY8" t="s">
        <v>225</v>
      </c>
      <c r="AZ8" t="s">
        <v>150</v>
      </c>
      <c r="BA8" t="s">
        <v>224</v>
      </c>
      <c r="BB8" t="s">
        <v>225</v>
      </c>
      <c r="BC8" t="s">
        <v>150</v>
      </c>
      <c r="BD8" t="s">
        <v>224</v>
      </c>
      <c r="BE8" t="s">
        <v>225</v>
      </c>
      <c r="BF8" t="s">
        <v>150</v>
      </c>
      <c r="BG8" t="s">
        <v>224</v>
      </c>
      <c r="BH8" t="s">
        <v>225</v>
      </c>
      <c r="BI8" t="s">
        <v>227</v>
      </c>
      <c r="BJ8" t="s">
        <v>150</v>
      </c>
      <c r="BK8" t="s">
        <v>224</v>
      </c>
      <c r="BL8" t="s">
        <v>225</v>
      </c>
      <c r="BO8" t="s">
        <v>228</v>
      </c>
      <c r="CD8" s="378" t="s">
        <v>5</v>
      </c>
      <c r="CE8" t="s">
        <v>229</v>
      </c>
      <c r="CF8" t="s">
        <v>8</v>
      </c>
      <c r="CG8" t="s">
        <v>6</v>
      </c>
      <c r="CH8" t="s">
        <v>9</v>
      </c>
      <c r="CI8" s="57" t="s">
        <v>116</v>
      </c>
      <c r="CJ8" s="57" t="s">
        <v>137</v>
      </c>
      <c r="CK8" t="s">
        <v>102</v>
      </c>
      <c r="CL8" t="s">
        <v>10</v>
      </c>
      <c r="CM8" t="s">
        <v>157</v>
      </c>
      <c r="CN8" t="s">
        <v>103</v>
      </c>
      <c r="CO8" t="s">
        <v>11</v>
      </c>
      <c r="CP8" s="57" t="s">
        <v>117</v>
      </c>
    </row>
    <row r="9" spans="1:94" ht="13">
      <c r="A9" s="532" t="str">
        <f>IF(B9=B$8,1,"")</f>
        <v/>
      </c>
      <c r="B9" s="227"/>
      <c r="C9" s="230"/>
      <c r="D9" s="232"/>
      <c r="E9" s="232"/>
      <c r="F9" s="234"/>
      <c r="G9" s="232"/>
      <c r="H9" s="232"/>
      <c r="I9" s="232"/>
      <c r="J9" s="232"/>
      <c r="K9" s="234"/>
      <c r="L9" s="234"/>
      <c r="M9" s="234"/>
      <c r="N9" s="234"/>
      <c r="O9" s="234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33">
        <f>$E$193</f>
        <v>10.332000000000001</v>
      </c>
      <c r="AB9" s="233">
        <f>AA9+E$194</f>
        <v>12.739174193481931</v>
      </c>
      <c r="AC9" s="233">
        <f>AA9-E$194</f>
        <v>7.9248258065180703</v>
      </c>
      <c r="AD9">
        <v>2.95</v>
      </c>
      <c r="AE9" s="233">
        <f>$G$193</f>
        <v>7.9374301675977676</v>
      </c>
      <c r="AF9" s="233">
        <f>AE9+G$194</f>
        <v>8.0830597168027865</v>
      </c>
      <c r="AG9" s="233">
        <f>AE9-G$194</f>
        <v>7.7918006183927488</v>
      </c>
      <c r="AH9">
        <v>6.5</v>
      </c>
      <c r="AI9" s="233">
        <f>$H$193</f>
        <v>3.3601117318435763</v>
      </c>
      <c r="AJ9" s="233">
        <f>AI9+H$194</f>
        <v>6.3851512410714601</v>
      </c>
      <c r="AK9" s="233">
        <f>AI9-H$194</f>
        <v>0.33507222261569281</v>
      </c>
      <c r="AL9">
        <v>7</v>
      </c>
      <c r="AM9" s="233">
        <f>$I$193</f>
        <v>48.104347826086951</v>
      </c>
      <c r="AN9" s="233">
        <f>AM9+I$194</f>
        <v>52.277593646348265</v>
      </c>
      <c r="AO9" s="233">
        <f>AM9-I$194</f>
        <v>43.931102005825636</v>
      </c>
      <c r="AP9" s="233">
        <f>$J$193</f>
        <v>2.0655865921787711</v>
      </c>
      <c r="AQ9" s="233">
        <f>AP9+J$194</f>
        <v>3.1665882132978602</v>
      </c>
      <c r="AR9" s="233">
        <f>AP9-J$194</f>
        <v>0.96458497105968211</v>
      </c>
      <c r="AS9" s="235">
        <f>$K$193</f>
        <v>33.105027932960894</v>
      </c>
      <c r="AT9" s="235">
        <f>AS9+$K$194</f>
        <v>50.535961542150602</v>
      </c>
      <c r="AU9" s="235">
        <f>AS9-$K$194</f>
        <v>15.67409432377119</v>
      </c>
      <c r="AV9">
        <v>100</v>
      </c>
      <c r="AW9" s="235">
        <f>$L$193</f>
        <v>62.766666666666666</v>
      </c>
      <c r="AX9" s="235">
        <f>AW9+$L$194</f>
        <v>80.98511149172171</v>
      </c>
      <c r="AY9" s="235">
        <f>AW9-$L$194</f>
        <v>44.548221841611614</v>
      </c>
      <c r="AZ9" s="235">
        <f>$M$193</f>
        <v>2941.6666666666665</v>
      </c>
      <c r="BA9" s="235">
        <f>AZ9+$M$194</f>
        <v>4966.9775952753826</v>
      </c>
      <c r="BB9" s="235">
        <f>AZ9-$M$194</f>
        <v>916.35573805795048</v>
      </c>
      <c r="BC9" s="235">
        <f>$N$193</f>
        <v>53.18888888888889</v>
      </c>
      <c r="BD9" s="235">
        <f>BC9+$N$194</f>
        <v>112.67052202318322</v>
      </c>
      <c r="BE9" s="235">
        <f>BC9-$N$194</f>
        <v>-6.2927442454054372</v>
      </c>
      <c r="BF9" s="235">
        <f>$O$193</f>
        <v>3577.2222222222222</v>
      </c>
      <c r="BG9" s="235">
        <f>BF9+$O$194</f>
        <v>5636.1265941907786</v>
      </c>
      <c r="BH9" s="235">
        <f>BF9-$O$194</f>
        <v>1518.3178502536657</v>
      </c>
      <c r="BI9">
        <v>5000</v>
      </c>
      <c r="BJ9" s="235">
        <f>$P$193</f>
        <v>0</v>
      </c>
      <c r="BK9" s="235">
        <f>BJ9+$P$194</f>
        <v>0</v>
      </c>
      <c r="BL9" s="235">
        <f>BJ9-$P$194</f>
        <v>0</v>
      </c>
      <c r="BO9" s="235">
        <f>C9</f>
        <v>0</v>
      </c>
      <c r="CD9" s="533" t="str">
        <f t="shared" ref="CD9:CP9" si="0">IF(D9="","",IF(OR(LEFT(D9,1)="&lt;",LEFT(D9,1)="&gt;"),VALUE(MID(D9,2,3)),D9))</f>
        <v/>
      </c>
      <c r="CE9" s="102" t="str">
        <f t="shared" si="0"/>
        <v/>
      </c>
      <c r="CF9" s="102" t="str">
        <f t="shared" si="0"/>
        <v/>
      </c>
      <c r="CG9" s="102" t="str">
        <f t="shared" si="0"/>
        <v/>
      </c>
      <c r="CH9" s="102" t="str">
        <f t="shared" si="0"/>
        <v/>
      </c>
      <c r="CI9" s="102" t="str">
        <f t="shared" si="0"/>
        <v/>
      </c>
      <c r="CJ9" s="102" t="str">
        <f t="shared" si="0"/>
        <v/>
      </c>
      <c r="CK9" s="102" t="str">
        <f t="shared" si="0"/>
        <v/>
      </c>
      <c r="CL9" s="102" t="str">
        <f t="shared" si="0"/>
        <v/>
      </c>
      <c r="CM9" s="102" t="str">
        <f t="shared" si="0"/>
        <v/>
      </c>
      <c r="CN9" s="102" t="str">
        <f t="shared" si="0"/>
        <v/>
      </c>
      <c r="CO9" s="102" t="str">
        <f t="shared" si="0"/>
        <v/>
      </c>
      <c r="CP9" s="102" t="str">
        <f t="shared" si="0"/>
        <v/>
      </c>
    </row>
    <row r="10" spans="1:94">
      <c r="B10" t="s">
        <v>252</v>
      </c>
      <c r="C10" s="231">
        <v>40192</v>
      </c>
      <c r="D10" s="233">
        <v>0.1</v>
      </c>
      <c r="E10" s="233">
        <v>13.2</v>
      </c>
      <c r="F10" s="235">
        <v>90</v>
      </c>
      <c r="G10" s="233">
        <v>7.92</v>
      </c>
      <c r="H10" s="233">
        <v>3.2</v>
      </c>
      <c r="J10" s="233">
        <v>3</v>
      </c>
      <c r="K10" s="235">
        <v>51</v>
      </c>
      <c r="L10" s="235">
        <v>68</v>
      </c>
      <c r="M10" s="235">
        <v>3500</v>
      </c>
      <c r="N10" s="235">
        <v>210</v>
      </c>
      <c r="O10" s="235">
        <v>4400</v>
      </c>
      <c r="Q10">
        <v>2010</v>
      </c>
      <c r="R10">
        <v>1</v>
      </c>
      <c r="T10" s="226"/>
      <c r="U10" s="226"/>
      <c r="V10" s="226"/>
      <c r="W10" s="226"/>
      <c r="X10" s="226"/>
      <c r="Y10" s="226"/>
      <c r="Z10" s="226"/>
      <c r="AA10" s="233">
        <f t="shared" ref="AA10:AA73" si="1">$E$193</f>
        <v>10.332000000000001</v>
      </c>
      <c r="AB10" s="233">
        <f t="shared" ref="AB10:AB73" si="2">AA10+E$194</f>
        <v>12.739174193481931</v>
      </c>
      <c r="AC10" s="233">
        <f t="shared" ref="AC10:AC73" si="3">AA10-E$194</f>
        <v>7.9248258065180703</v>
      </c>
      <c r="AD10">
        <v>2.95</v>
      </c>
      <c r="AE10" s="233">
        <f t="shared" ref="AE10:AE73" si="4">$G$193</f>
        <v>7.9374301675977676</v>
      </c>
      <c r="AF10" s="233">
        <f t="shared" ref="AF10:AF73" si="5">AE10+G$194</f>
        <v>8.0830597168027865</v>
      </c>
      <c r="AG10" s="233">
        <f t="shared" ref="AG10:AG73" si="6">AE10-G$194</f>
        <v>7.7918006183927488</v>
      </c>
      <c r="AH10">
        <v>6.5</v>
      </c>
      <c r="AI10" s="233">
        <f t="shared" ref="AI10:AI73" si="7">$H$193</f>
        <v>3.3601117318435763</v>
      </c>
      <c r="AJ10" s="233">
        <f t="shared" ref="AJ10:AJ73" si="8">AI10+H$194</f>
        <v>6.3851512410714601</v>
      </c>
      <c r="AK10" s="233">
        <f t="shared" ref="AK10:AK73" si="9">AI10-H$194</f>
        <v>0.33507222261569281</v>
      </c>
      <c r="AL10">
        <v>7</v>
      </c>
      <c r="AM10" s="233">
        <f t="shared" ref="AM10:AM73" si="10">$I$193</f>
        <v>48.104347826086951</v>
      </c>
      <c r="AN10" s="233">
        <f t="shared" ref="AN10:AN73" si="11">AM10+I$194</f>
        <v>52.277593646348265</v>
      </c>
      <c r="AO10" s="233">
        <f t="shared" ref="AO10:AO73" si="12">AM10-I$194</f>
        <v>43.931102005825636</v>
      </c>
      <c r="AP10" s="233">
        <f t="shared" ref="AP10:AP73" si="13">$J$193</f>
        <v>2.0655865921787711</v>
      </c>
      <c r="AQ10" s="233">
        <f t="shared" ref="AQ10:AQ73" si="14">AP10+J$194</f>
        <v>3.1665882132978602</v>
      </c>
      <c r="AR10" s="233">
        <f t="shared" ref="AR10:AR73" si="15">AP10-J$194</f>
        <v>0.96458497105968211</v>
      </c>
      <c r="AS10" s="235">
        <f t="shared" ref="AS10:AS73" si="16">$K$193</f>
        <v>33.105027932960894</v>
      </c>
      <c r="AT10" s="235">
        <f t="shared" ref="AT10:AT73" si="17">AS10+$K$194</f>
        <v>50.535961542150602</v>
      </c>
      <c r="AU10" s="235">
        <f t="shared" ref="AU10:AU73" si="18">AS10-$K$194</f>
        <v>15.67409432377119</v>
      </c>
      <c r="AV10">
        <v>100</v>
      </c>
      <c r="AW10" s="235">
        <f t="shared" ref="AW10:AW73" si="19">$L$193</f>
        <v>62.766666666666666</v>
      </c>
      <c r="AX10" s="235">
        <f t="shared" ref="AX10:AX73" si="20">AW10+$L$194</f>
        <v>80.98511149172171</v>
      </c>
      <c r="AY10" s="235">
        <f t="shared" ref="AY10:AY73" si="21">AW10-$L$194</f>
        <v>44.548221841611614</v>
      </c>
      <c r="AZ10" s="235">
        <f t="shared" ref="AZ10:AZ73" si="22">$M$193</f>
        <v>2941.6666666666665</v>
      </c>
      <c r="BA10" s="235">
        <f t="shared" ref="BA10:BA73" si="23">AZ10+$M$194</f>
        <v>4966.9775952753826</v>
      </c>
      <c r="BB10" s="235">
        <f t="shared" ref="BB10:BB73" si="24">AZ10-$M$194</f>
        <v>916.35573805795048</v>
      </c>
      <c r="BC10" s="235">
        <f t="shared" ref="BC10:BC73" si="25">$N$193</f>
        <v>53.18888888888889</v>
      </c>
      <c r="BD10" s="235">
        <f t="shared" ref="BD10:BD73" si="26">BC10+$N$194</f>
        <v>112.67052202318322</v>
      </c>
      <c r="BE10" s="235">
        <f t="shared" ref="BE10:BE73" si="27">BC10-$N$194</f>
        <v>-6.2927442454054372</v>
      </c>
      <c r="BF10" s="235">
        <f t="shared" ref="BF10:BF73" si="28">$O$193</f>
        <v>3577.2222222222222</v>
      </c>
      <c r="BG10" s="235">
        <f t="shared" ref="BG10:BG73" si="29">BF10+$O$194</f>
        <v>5636.1265941907786</v>
      </c>
      <c r="BH10" s="235">
        <f t="shared" ref="BH10:BH73" si="30">BF10-$O$194</f>
        <v>1518.3178502536657</v>
      </c>
      <c r="BI10">
        <v>5000</v>
      </c>
      <c r="BJ10" s="235">
        <f t="shared" ref="BJ10:BJ73" si="31">$P$193</f>
        <v>0</v>
      </c>
      <c r="BK10" s="235">
        <f t="shared" ref="BK10:BK73" si="32">BJ10+$P$194</f>
        <v>0</v>
      </c>
      <c r="BL10" s="235">
        <f t="shared" ref="BL10:BL73" si="33">BJ10-$P$194</f>
        <v>0</v>
      </c>
      <c r="BO10" s="235">
        <f t="shared" ref="BO10:BO73" si="34">C10</f>
        <v>40192</v>
      </c>
      <c r="CD10" s="533">
        <f t="shared" ref="CD10:CD73" si="35">IF(D10="","",IF(OR(LEFT(D10,1)="&lt;",LEFT(D10,1)="&gt;"),VALUE(MID(D10,2,3)),D10))</f>
        <v>0.1</v>
      </c>
      <c r="CE10" s="102">
        <f t="shared" ref="CE10:CE73" si="36">IF(E10="","",IF(OR(LEFT(E10,1)="&lt;",LEFT(E10,1)="&gt;"),VALUE(MID(E10,2,3)),E10))</f>
        <v>13.2</v>
      </c>
      <c r="CF10" s="102">
        <f t="shared" ref="CF10:CF73" si="37">IF(F10="","",IF(OR(LEFT(F10,1)="&lt;",LEFT(F10,1)="&gt;"),VALUE(MID(F10,2,3)),F10))</f>
        <v>90</v>
      </c>
      <c r="CG10" s="102">
        <f t="shared" ref="CG10:CG73" si="38">IF(G10="","",IF(OR(LEFT(G10,1)="&lt;",LEFT(G10,1)="&gt;"),VALUE(MID(G10,2,3)),G10))</f>
        <v>7.92</v>
      </c>
      <c r="CH10" s="102">
        <f t="shared" ref="CH10:CH73" si="39">IF(H10="","",IF(OR(LEFT(H10,1)="&lt;",LEFT(H10,1)="&gt;"),VALUE(MID(H10,2,3)),H10))</f>
        <v>3.2</v>
      </c>
      <c r="CI10" s="102" t="str">
        <f t="shared" ref="CI10:CI73" si="40">IF(I10="","",IF(OR(LEFT(I10,1)="&lt;",LEFT(I10,1)="&gt;"),VALUE(MID(I10,2,3)),I10))</f>
        <v/>
      </c>
      <c r="CJ10" s="102">
        <f t="shared" ref="CJ10:CJ73" si="41">IF(J10="","",IF(OR(LEFT(J10,1)="&lt;",LEFT(J10,1)="&gt;"),VALUE(MID(J10,2,3)),J10))</f>
        <v>3</v>
      </c>
      <c r="CK10" s="102">
        <f t="shared" ref="CK10:CK73" si="42">IF(K10="","",IF(OR(LEFT(K10,1)="&lt;",LEFT(K10,1)="&gt;"),VALUE(MID(K10,2,3)),K10))</f>
        <v>51</v>
      </c>
      <c r="CL10" s="102">
        <f t="shared" ref="CL10:CL73" si="43">IF(L10="","",IF(OR(LEFT(L10,1)="&lt;",LEFT(L10,1)="&gt;"),VALUE(MID(L10,2,3)),L10))</f>
        <v>68</v>
      </c>
      <c r="CM10" s="102">
        <f t="shared" ref="CM10:CM73" si="44">IF(M10="","",IF(OR(LEFT(M10,1)="&lt;",LEFT(M10,1)="&gt;"),VALUE(MID(M10,2,3)),M10))</f>
        <v>3500</v>
      </c>
      <c r="CN10" s="102">
        <f t="shared" ref="CN10:CN73" si="45">IF(N10="","",IF(OR(LEFT(N10,1)="&lt;",LEFT(N10,1)="&gt;"),VALUE(MID(N10,2,3)),N10))</f>
        <v>210</v>
      </c>
      <c r="CO10" s="102">
        <f t="shared" ref="CO10:CO73" si="46">IF(O10="","",IF(OR(LEFT(O10,1)="&lt;",LEFT(O10,1)="&gt;"),VALUE(MID(O10,2,3)),O10))</f>
        <v>4400</v>
      </c>
      <c r="CP10" s="102" t="str">
        <f t="shared" ref="CP10:CP73" si="47">IF(P10="","",IF(OR(LEFT(P10,1)="&lt;",LEFT(P10,1)="&gt;"),VALUE(MID(P10,2,3)),P10))</f>
        <v/>
      </c>
    </row>
    <row r="11" spans="1:94">
      <c r="B11" t="s">
        <v>252</v>
      </c>
      <c r="C11" s="231">
        <v>40225</v>
      </c>
      <c r="D11" s="233">
        <v>0</v>
      </c>
      <c r="E11" s="233">
        <v>9.3000000000000007</v>
      </c>
      <c r="F11" s="235">
        <v>64</v>
      </c>
      <c r="G11" s="233">
        <v>7.84</v>
      </c>
      <c r="H11" s="233">
        <v>3.9</v>
      </c>
      <c r="J11" s="233">
        <v>3.2</v>
      </c>
      <c r="K11" s="235">
        <v>66</v>
      </c>
      <c r="L11" s="235">
        <v>68</v>
      </c>
      <c r="M11" s="235">
        <v>2200</v>
      </c>
      <c r="N11" s="235">
        <v>250</v>
      </c>
      <c r="O11" s="235">
        <v>3200</v>
      </c>
      <c r="Q11">
        <v>2010</v>
      </c>
      <c r="R11">
        <v>2</v>
      </c>
      <c r="T11" s="226"/>
      <c r="U11" s="226"/>
      <c r="V11" s="226"/>
      <c r="W11" s="226"/>
      <c r="X11" s="226"/>
      <c r="Y11" s="226"/>
      <c r="Z11" s="226"/>
      <c r="AA11" s="233">
        <f t="shared" si="1"/>
        <v>10.332000000000001</v>
      </c>
      <c r="AB11" s="233">
        <f t="shared" si="2"/>
        <v>12.739174193481931</v>
      </c>
      <c r="AC11" s="233">
        <f t="shared" si="3"/>
        <v>7.9248258065180703</v>
      </c>
      <c r="AD11">
        <v>2.95</v>
      </c>
      <c r="AE11" s="233">
        <f t="shared" si="4"/>
        <v>7.9374301675977676</v>
      </c>
      <c r="AF11" s="233">
        <f t="shared" si="5"/>
        <v>8.0830597168027865</v>
      </c>
      <c r="AG11" s="233">
        <f t="shared" si="6"/>
        <v>7.7918006183927488</v>
      </c>
      <c r="AH11">
        <v>6.5</v>
      </c>
      <c r="AI11" s="233">
        <f t="shared" si="7"/>
        <v>3.3601117318435763</v>
      </c>
      <c r="AJ11" s="233">
        <f t="shared" si="8"/>
        <v>6.3851512410714601</v>
      </c>
      <c r="AK11" s="233">
        <f t="shared" si="9"/>
        <v>0.33507222261569281</v>
      </c>
      <c r="AL11">
        <v>7</v>
      </c>
      <c r="AM11" s="233">
        <f t="shared" si="10"/>
        <v>48.104347826086951</v>
      </c>
      <c r="AN11" s="233">
        <f t="shared" si="11"/>
        <v>52.277593646348265</v>
      </c>
      <c r="AO11" s="233">
        <f t="shared" si="12"/>
        <v>43.931102005825636</v>
      </c>
      <c r="AP11" s="233">
        <f t="shared" si="13"/>
        <v>2.0655865921787711</v>
      </c>
      <c r="AQ11" s="233">
        <f t="shared" si="14"/>
        <v>3.1665882132978602</v>
      </c>
      <c r="AR11" s="233">
        <f t="shared" si="15"/>
        <v>0.96458497105968211</v>
      </c>
      <c r="AS11" s="235">
        <f t="shared" si="16"/>
        <v>33.105027932960894</v>
      </c>
      <c r="AT11" s="235">
        <f t="shared" si="17"/>
        <v>50.535961542150602</v>
      </c>
      <c r="AU11" s="235">
        <f t="shared" si="18"/>
        <v>15.67409432377119</v>
      </c>
      <c r="AV11">
        <v>100</v>
      </c>
      <c r="AW11" s="235">
        <f t="shared" si="19"/>
        <v>62.766666666666666</v>
      </c>
      <c r="AX11" s="235">
        <f t="shared" si="20"/>
        <v>80.98511149172171</v>
      </c>
      <c r="AY11" s="235">
        <f t="shared" si="21"/>
        <v>44.548221841611614</v>
      </c>
      <c r="AZ11" s="235">
        <f t="shared" si="22"/>
        <v>2941.6666666666665</v>
      </c>
      <c r="BA11" s="235">
        <f t="shared" si="23"/>
        <v>4966.9775952753826</v>
      </c>
      <c r="BB11" s="235">
        <f t="shared" si="24"/>
        <v>916.35573805795048</v>
      </c>
      <c r="BC11" s="235">
        <f t="shared" si="25"/>
        <v>53.18888888888889</v>
      </c>
      <c r="BD11" s="235">
        <f t="shared" si="26"/>
        <v>112.67052202318322</v>
      </c>
      <c r="BE11" s="235">
        <f t="shared" si="27"/>
        <v>-6.2927442454054372</v>
      </c>
      <c r="BF11" s="235">
        <f t="shared" si="28"/>
        <v>3577.2222222222222</v>
      </c>
      <c r="BG11" s="235">
        <f t="shared" si="29"/>
        <v>5636.1265941907786</v>
      </c>
      <c r="BH11" s="235">
        <f t="shared" si="30"/>
        <v>1518.3178502536657</v>
      </c>
      <c r="BI11">
        <v>5000</v>
      </c>
      <c r="BJ11" s="235">
        <f t="shared" si="31"/>
        <v>0</v>
      </c>
      <c r="BK11" s="235">
        <f t="shared" si="32"/>
        <v>0</v>
      </c>
      <c r="BL11" s="235">
        <f t="shared" si="33"/>
        <v>0</v>
      </c>
      <c r="BO11" s="235">
        <f t="shared" si="34"/>
        <v>40225</v>
      </c>
      <c r="CD11" s="533">
        <f t="shared" si="35"/>
        <v>0</v>
      </c>
      <c r="CE11" s="102">
        <f t="shared" si="36"/>
        <v>9.3000000000000007</v>
      </c>
      <c r="CF11" s="102">
        <f t="shared" si="37"/>
        <v>64</v>
      </c>
      <c r="CG11" s="102">
        <f t="shared" si="38"/>
        <v>7.84</v>
      </c>
      <c r="CH11" s="102">
        <f t="shared" si="39"/>
        <v>3.9</v>
      </c>
      <c r="CI11" s="102" t="str">
        <f t="shared" si="40"/>
        <v/>
      </c>
      <c r="CJ11" s="102">
        <f t="shared" si="41"/>
        <v>3.2</v>
      </c>
      <c r="CK11" s="102">
        <f t="shared" si="42"/>
        <v>66</v>
      </c>
      <c r="CL11" s="102">
        <f t="shared" si="43"/>
        <v>68</v>
      </c>
      <c r="CM11" s="102">
        <f t="shared" si="44"/>
        <v>2200</v>
      </c>
      <c r="CN11" s="102">
        <f t="shared" si="45"/>
        <v>250</v>
      </c>
      <c r="CO11" s="102">
        <f t="shared" si="46"/>
        <v>3200</v>
      </c>
      <c r="CP11" s="102" t="str">
        <f t="shared" si="47"/>
        <v/>
      </c>
    </row>
    <row r="12" spans="1:94">
      <c r="B12" t="s">
        <v>252</v>
      </c>
      <c r="C12" s="231">
        <v>40247</v>
      </c>
      <c r="D12" s="233">
        <v>1.4</v>
      </c>
      <c r="E12" s="233">
        <v>13.3</v>
      </c>
      <c r="F12" s="235">
        <v>95</v>
      </c>
      <c r="G12" s="233">
        <v>7.95</v>
      </c>
      <c r="H12" s="233">
        <v>4</v>
      </c>
      <c r="J12" s="233">
        <v>4.4000000000000004</v>
      </c>
      <c r="K12" s="235">
        <v>41</v>
      </c>
      <c r="L12" s="235">
        <v>64</v>
      </c>
      <c r="M12" s="235">
        <v>3200</v>
      </c>
      <c r="N12" s="235">
        <v>250</v>
      </c>
      <c r="O12" s="235">
        <v>3900</v>
      </c>
      <c r="Q12">
        <v>2010</v>
      </c>
      <c r="R12">
        <v>3</v>
      </c>
      <c r="T12" s="226"/>
      <c r="U12" s="226"/>
      <c r="V12" s="226"/>
      <c r="W12" s="226"/>
      <c r="X12" s="226"/>
      <c r="Y12" s="226"/>
      <c r="Z12" s="226"/>
      <c r="AA12" s="233">
        <f t="shared" si="1"/>
        <v>10.332000000000001</v>
      </c>
      <c r="AB12" s="233">
        <f t="shared" si="2"/>
        <v>12.739174193481931</v>
      </c>
      <c r="AC12" s="233">
        <f t="shared" si="3"/>
        <v>7.9248258065180703</v>
      </c>
      <c r="AD12">
        <v>2.95</v>
      </c>
      <c r="AE12" s="233">
        <f t="shared" si="4"/>
        <v>7.9374301675977676</v>
      </c>
      <c r="AF12" s="233">
        <f t="shared" si="5"/>
        <v>8.0830597168027865</v>
      </c>
      <c r="AG12" s="233">
        <f t="shared" si="6"/>
        <v>7.7918006183927488</v>
      </c>
      <c r="AH12">
        <v>6.5</v>
      </c>
      <c r="AI12" s="233">
        <f t="shared" si="7"/>
        <v>3.3601117318435763</v>
      </c>
      <c r="AJ12" s="233">
        <f t="shared" si="8"/>
        <v>6.3851512410714601</v>
      </c>
      <c r="AK12" s="233">
        <f t="shared" si="9"/>
        <v>0.33507222261569281</v>
      </c>
      <c r="AL12">
        <v>7</v>
      </c>
      <c r="AM12" s="233">
        <f t="shared" si="10"/>
        <v>48.104347826086951</v>
      </c>
      <c r="AN12" s="233">
        <f t="shared" si="11"/>
        <v>52.277593646348265</v>
      </c>
      <c r="AO12" s="233">
        <f t="shared" si="12"/>
        <v>43.931102005825636</v>
      </c>
      <c r="AP12" s="233">
        <f t="shared" si="13"/>
        <v>2.0655865921787711</v>
      </c>
      <c r="AQ12" s="233">
        <f t="shared" si="14"/>
        <v>3.1665882132978602</v>
      </c>
      <c r="AR12" s="233">
        <f t="shared" si="15"/>
        <v>0.96458497105968211</v>
      </c>
      <c r="AS12" s="235">
        <f t="shared" si="16"/>
        <v>33.105027932960894</v>
      </c>
      <c r="AT12" s="235">
        <f t="shared" si="17"/>
        <v>50.535961542150602</v>
      </c>
      <c r="AU12" s="235">
        <f t="shared" si="18"/>
        <v>15.67409432377119</v>
      </c>
      <c r="AV12">
        <v>100</v>
      </c>
      <c r="AW12" s="235">
        <f t="shared" si="19"/>
        <v>62.766666666666666</v>
      </c>
      <c r="AX12" s="235">
        <f t="shared" si="20"/>
        <v>80.98511149172171</v>
      </c>
      <c r="AY12" s="235">
        <f t="shared" si="21"/>
        <v>44.548221841611614</v>
      </c>
      <c r="AZ12" s="235">
        <f t="shared" si="22"/>
        <v>2941.6666666666665</v>
      </c>
      <c r="BA12" s="235">
        <f t="shared" si="23"/>
        <v>4966.9775952753826</v>
      </c>
      <c r="BB12" s="235">
        <f t="shared" si="24"/>
        <v>916.35573805795048</v>
      </c>
      <c r="BC12" s="235">
        <f t="shared" si="25"/>
        <v>53.18888888888889</v>
      </c>
      <c r="BD12" s="235">
        <f t="shared" si="26"/>
        <v>112.67052202318322</v>
      </c>
      <c r="BE12" s="235">
        <f t="shared" si="27"/>
        <v>-6.2927442454054372</v>
      </c>
      <c r="BF12" s="235">
        <f t="shared" si="28"/>
        <v>3577.2222222222222</v>
      </c>
      <c r="BG12" s="235">
        <f t="shared" si="29"/>
        <v>5636.1265941907786</v>
      </c>
      <c r="BH12" s="235">
        <f t="shared" si="30"/>
        <v>1518.3178502536657</v>
      </c>
      <c r="BI12">
        <v>5000</v>
      </c>
      <c r="BJ12" s="235">
        <f t="shared" si="31"/>
        <v>0</v>
      </c>
      <c r="BK12" s="235">
        <f t="shared" si="32"/>
        <v>0</v>
      </c>
      <c r="BL12" s="235">
        <f t="shared" si="33"/>
        <v>0</v>
      </c>
      <c r="BO12" s="235">
        <f t="shared" si="34"/>
        <v>40247</v>
      </c>
      <c r="CD12" s="533">
        <f t="shared" si="35"/>
        <v>1.4</v>
      </c>
      <c r="CE12" s="102">
        <f t="shared" si="36"/>
        <v>13.3</v>
      </c>
      <c r="CF12" s="102">
        <f t="shared" si="37"/>
        <v>95</v>
      </c>
      <c r="CG12" s="102">
        <f t="shared" si="38"/>
        <v>7.95</v>
      </c>
      <c r="CH12" s="102">
        <f t="shared" si="39"/>
        <v>4</v>
      </c>
      <c r="CI12" s="102" t="str">
        <f t="shared" si="40"/>
        <v/>
      </c>
      <c r="CJ12" s="102">
        <f t="shared" si="41"/>
        <v>4.4000000000000004</v>
      </c>
      <c r="CK12" s="102">
        <f t="shared" si="42"/>
        <v>41</v>
      </c>
      <c r="CL12" s="102">
        <f t="shared" si="43"/>
        <v>64</v>
      </c>
      <c r="CM12" s="102">
        <f t="shared" si="44"/>
        <v>3200</v>
      </c>
      <c r="CN12" s="102">
        <f t="shared" si="45"/>
        <v>250</v>
      </c>
      <c r="CO12" s="102">
        <f t="shared" si="46"/>
        <v>3900</v>
      </c>
      <c r="CP12" s="102" t="str">
        <f t="shared" si="47"/>
        <v/>
      </c>
    </row>
    <row r="13" spans="1:94">
      <c r="B13" t="s">
        <v>252</v>
      </c>
      <c r="C13" s="231">
        <v>40290</v>
      </c>
      <c r="D13" s="233">
        <v>8</v>
      </c>
      <c r="E13" s="233">
        <v>7.6</v>
      </c>
      <c r="F13" s="235">
        <v>64</v>
      </c>
      <c r="G13" s="233">
        <v>8.09</v>
      </c>
      <c r="H13" s="233">
        <v>2.9</v>
      </c>
      <c r="J13" s="233">
        <v>5.8</v>
      </c>
      <c r="K13" s="235">
        <v>8</v>
      </c>
      <c r="L13" s="235">
        <v>20</v>
      </c>
      <c r="M13" s="235">
        <v>2100</v>
      </c>
      <c r="N13" s="235">
        <v>36</v>
      </c>
      <c r="O13" s="235">
        <v>2900</v>
      </c>
      <c r="Q13">
        <v>2010</v>
      </c>
      <c r="R13">
        <v>4</v>
      </c>
      <c r="T13" s="226"/>
      <c r="U13" s="226"/>
      <c r="V13" s="226"/>
      <c r="W13" s="226"/>
      <c r="X13" s="226"/>
      <c r="Y13" s="226"/>
      <c r="Z13" s="226"/>
      <c r="AA13" s="233">
        <f t="shared" si="1"/>
        <v>10.332000000000001</v>
      </c>
      <c r="AB13" s="233">
        <f t="shared" si="2"/>
        <v>12.739174193481931</v>
      </c>
      <c r="AC13" s="233">
        <f t="shared" si="3"/>
        <v>7.9248258065180703</v>
      </c>
      <c r="AD13">
        <v>2.95</v>
      </c>
      <c r="AE13" s="233">
        <f t="shared" si="4"/>
        <v>7.9374301675977676</v>
      </c>
      <c r="AF13" s="233">
        <f t="shared" si="5"/>
        <v>8.0830597168027865</v>
      </c>
      <c r="AG13" s="233">
        <f t="shared" si="6"/>
        <v>7.7918006183927488</v>
      </c>
      <c r="AH13">
        <v>6.5</v>
      </c>
      <c r="AI13" s="233">
        <f t="shared" si="7"/>
        <v>3.3601117318435763</v>
      </c>
      <c r="AJ13" s="233">
        <f t="shared" si="8"/>
        <v>6.3851512410714601</v>
      </c>
      <c r="AK13" s="233">
        <f t="shared" si="9"/>
        <v>0.33507222261569281</v>
      </c>
      <c r="AL13">
        <v>7</v>
      </c>
      <c r="AM13" s="233">
        <f t="shared" si="10"/>
        <v>48.104347826086951</v>
      </c>
      <c r="AN13" s="233">
        <f t="shared" si="11"/>
        <v>52.277593646348265</v>
      </c>
      <c r="AO13" s="233">
        <f t="shared" si="12"/>
        <v>43.931102005825636</v>
      </c>
      <c r="AP13" s="233">
        <f t="shared" si="13"/>
        <v>2.0655865921787711</v>
      </c>
      <c r="AQ13" s="233">
        <f t="shared" si="14"/>
        <v>3.1665882132978602</v>
      </c>
      <c r="AR13" s="233">
        <f t="shared" si="15"/>
        <v>0.96458497105968211</v>
      </c>
      <c r="AS13" s="235">
        <f t="shared" si="16"/>
        <v>33.105027932960894</v>
      </c>
      <c r="AT13" s="235">
        <f t="shared" si="17"/>
        <v>50.535961542150602</v>
      </c>
      <c r="AU13" s="235">
        <f t="shared" si="18"/>
        <v>15.67409432377119</v>
      </c>
      <c r="AV13">
        <v>100</v>
      </c>
      <c r="AW13" s="235">
        <f t="shared" si="19"/>
        <v>62.766666666666666</v>
      </c>
      <c r="AX13" s="235">
        <f t="shared" si="20"/>
        <v>80.98511149172171</v>
      </c>
      <c r="AY13" s="235">
        <f t="shared" si="21"/>
        <v>44.548221841611614</v>
      </c>
      <c r="AZ13" s="235">
        <f t="shared" si="22"/>
        <v>2941.6666666666665</v>
      </c>
      <c r="BA13" s="235">
        <f t="shared" si="23"/>
        <v>4966.9775952753826</v>
      </c>
      <c r="BB13" s="235">
        <f t="shared" si="24"/>
        <v>916.35573805795048</v>
      </c>
      <c r="BC13" s="235">
        <f t="shared" si="25"/>
        <v>53.18888888888889</v>
      </c>
      <c r="BD13" s="235">
        <f t="shared" si="26"/>
        <v>112.67052202318322</v>
      </c>
      <c r="BE13" s="235">
        <f t="shared" si="27"/>
        <v>-6.2927442454054372</v>
      </c>
      <c r="BF13" s="235">
        <f t="shared" si="28"/>
        <v>3577.2222222222222</v>
      </c>
      <c r="BG13" s="235">
        <f t="shared" si="29"/>
        <v>5636.1265941907786</v>
      </c>
      <c r="BH13" s="235">
        <f t="shared" si="30"/>
        <v>1518.3178502536657</v>
      </c>
      <c r="BI13">
        <v>5000</v>
      </c>
      <c r="BJ13" s="235">
        <f t="shared" si="31"/>
        <v>0</v>
      </c>
      <c r="BK13" s="235">
        <f t="shared" si="32"/>
        <v>0</v>
      </c>
      <c r="BL13" s="235">
        <f t="shared" si="33"/>
        <v>0</v>
      </c>
      <c r="BO13" s="235">
        <f t="shared" si="34"/>
        <v>40290</v>
      </c>
      <c r="CD13" s="533">
        <f t="shared" si="35"/>
        <v>8</v>
      </c>
      <c r="CE13" s="102">
        <f t="shared" si="36"/>
        <v>7.6</v>
      </c>
      <c r="CF13" s="102">
        <f t="shared" si="37"/>
        <v>64</v>
      </c>
      <c r="CG13" s="102">
        <f t="shared" si="38"/>
        <v>8.09</v>
      </c>
      <c r="CH13" s="102">
        <f t="shared" si="39"/>
        <v>2.9</v>
      </c>
      <c r="CI13" s="102" t="str">
        <f t="shared" si="40"/>
        <v/>
      </c>
      <c r="CJ13" s="102">
        <f t="shared" si="41"/>
        <v>5.8</v>
      </c>
      <c r="CK13" s="102">
        <f t="shared" si="42"/>
        <v>8</v>
      </c>
      <c r="CL13" s="102">
        <f t="shared" si="43"/>
        <v>20</v>
      </c>
      <c r="CM13" s="102">
        <f t="shared" si="44"/>
        <v>2100</v>
      </c>
      <c r="CN13" s="102">
        <f t="shared" si="45"/>
        <v>36</v>
      </c>
      <c r="CO13" s="102">
        <f t="shared" si="46"/>
        <v>2900</v>
      </c>
      <c r="CP13" s="102" t="str">
        <f t="shared" si="47"/>
        <v/>
      </c>
    </row>
    <row r="14" spans="1:94">
      <c r="B14" t="s">
        <v>252</v>
      </c>
      <c r="C14" s="231">
        <v>40317</v>
      </c>
      <c r="D14" s="233">
        <v>12.8</v>
      </c>
      <c r="E14" s="233">
        <v>10.199999999999999</v>
      </c>
      <c r="F14" s="235">
        <v>97</v>
      </c>
      <c r="G14" s="233">
        <v>7.97</v>
      </c>
      <c r="H14" s="233">
        <v>3</v>
      </c>
      <c r="J14" s="233">
        <v>2.2999999999999998</v>
      </c>
      <c r="K14" s="235">
        <v>12</v>
      </c>
      <c r="L14" s="235">
        <v>42</v>
      </c>
      <c r="M14" s="235">
        <v>2000</v>
      </c>
      <c r="N14" s="235">
        <v>11</v>
      </c>
      <c r="O14" s="235">
        <v>2600</v>
      </c>
      <c r="Q14">
        <v>2010</v>
      </c>
      <c r="R14">
        <v>5</v>
      </c>
      <c r="T14" s="226"/>
      <c r="U14" s="226"/>
      <c r="V14" s="226"/>
      <c r="W14" s="226"/>
      <c r="X14" s="226"/>
      <c r="Y14" s="226"/>
      <c r="Z14" s="226"/>
      <c r="AA14" s="233">
        <f t="shared" si="1"/>
        <v>10.332000000000001</v>
      </c>
      <c r="AB14" s="233">
        <f t="shared" si="2"/>
        <v>12.739174193481931</v>
      </c>
      <c r="AC14" s="233">
        <f t="shared" si="3"/>
        <v>7.9248258065180703</v>
      </c>
      <c r="AD14">
        <v>2.95</v>
      </c>
      <c r="AE14" s="233">
        <f t="shared" si="4"/>
        <v>7.9374301675977676</v>
      </c>
      <c r="AF14" s="233">
        <f t="shared" si="5"/>
        <v>8.0830597168027865</v>
      </c>
      <c r="AG14" s="233">
        <f t="shared" si="6"/>
        <v>7.7918006183927488</v>
      </c>
      <c r="AH14">
        <v>6.5</v>
      </c>
      <c r="AI14" s="233">
        <f t="shared" si="7"/>
        <v>3.3601117318435763</v>
      </c>
      <c r="AJ14" s="233">
        <f t="shared" si="8"/>
        <v>6.3851512410714601</v>
      </c>
      <c r="AK14" s="233">
        <f t="shared" si="9"/>
        <v>0.33507222261569281</v>
      </c>
      <c r="AL14">
        <v>7</v>
      </c>
      <c r="AM14" s="233">
        <f t="shared" si="10"/>
        <v>48.104347826086951</v>
      </c>
      <c r="AN14" s="233">
        <f t="shared" si="11"/>
        <v>52.277593646348265</v>
      </c>
      <c r="AO14" s="233">
        <f t="shared" si="12"/>
        <v>43.931102005825636</v>
      </c>
      <c r="AP14" s="233">
        <f t="shared" si="13"/>
        <v>2.0655865921787711</v>
      </c>
      <c r="AQ14" s="233">
        <f t="shared" si="14"/>
        <v>3.1665882132978602</v>
      </c>
      <c r="AR14" s="233">
        <f t="shared" si="15"/>
        <v>0.96458497105968211</v>
      </c>
      <c r="AS14" s="235">
        <f t="shared" si="16"/>
        <v>33.105027932960894</v>
      </c>
      <c r="AT14" s="235">
        <f t="shared" si="17"/>
        <v>50.535961542150602</v>
      </c>
      <c r="AU14" s="235">
        <f t="shared" si="18"/>
        <v>15.67409432377119</v>
      </c>
      <c r="AV14">
        <v>100</v>
      </c>
      <c r="AW14" s="235">
        <f t="shared" si="19"/>
        <v>62.766666666666666</v>
      </c>
      <c r="AX14" s="235">
        <f t="shared" si="20"/>
        <v>80.98511149172171</v>
      </c>
      <c r="AY14" s="235">
        <f t="shared" si="21"/>
        <v>44.548221841611614</v>
      </c>
      <c r="AZ14" s="235">
        <f t="shared" si="22"/>
        <v>2941.6666666666665</v>
      </c>
      <c r="BA14" s="235">
        <f t="shared" si="23"/>
        <v>4966.9775952753826</v>
      </c>
      <c r="BB14" s="235">
        <f t="shared" si="24"/>
        <v>916.35573805795048</v>
      </c>
      <c r="BC14" s="235">
        <f t="shared" si="25"/>
        <v>53.18888888888889</v>
      </c>
      <c r="BD14" s="235">
        <f t="shared" si="26"/>
        <v>112.67052202318322</v>
      </c>
      <c r="BE14" s="235">
        <f t="shared" si="27"/>
        <v>-6.2927442454054372</v>
      </c>
      <c r="BF14" s="235">
        <f t="shared" si="28"/>
        <v>3577.2222222222222</v>
      </c>
      <c r="BG14" s="235">
        <f t="shared" si="29"/>
        <v>5636.1265941907786</v>
      </c>
      <c r="BH14" s="235">
        <f t="shared" si="30"/>
        <v>1518.3178502536657</v>
      </c>
      <c r="BI14">
        <v>5000</v>
      </c>
      <c r="BJ14" s="235">
        <f t="shared" si="31"/>
        <v>0</v>
      </c>
      <c r="BK14" s="235">
        <f t="shared" si="32"/>
        <v>0</v>
      </c>
      <c r="BL14" s="235">
        <f t="shared" si="33"/>
        <v>0</v>
      </c>
      <c r="BO14" s="235">
        <f t="shared" si="34"/>
        <v>40317</v>
      </c>
      <c r="CD14" s="533">
        <f t="shared" si="35"/>
        <v>12.8</v>
      </c>
      <c r="CE14" s="102">
        <f t="shared" si="36"/>
        <v>10.199999999999999</v>
      </c>
      <c r="CF14" s="102">
        <f t="shared" si="37"/>
        <v>97</v>
      </c>
      <c r="CG14" s="102">
        <f t="shared" si="38"/>
        <v>7.97</v>
      </c>
      <c r="CH14" s="102">
        <f t="shared" si="39"/>
        <v>3</v>
      </c>
      <c r="CI14" s="102" t="str">
        <f t="shared" si="40"/>
        <v/>
      </c>
      <c r="CJ14" s="102">
        <f t="shared" si="41"/>
        <v>2.2999999999999998</v>
      </c>
      <c r="CK14" s="102">
        <f t="shared" si="42"/>
        <v>12</v>
      </c>
      <c r="CL14" s="102">
        <f t="shared" si="43"/>
        <v>42</v>
      </c>
      <c r="CM14" s="102">
        <f t="shared" si="44"/>
        <v>2000</v>
      </c>
      <c r="CN14" s="102">
        <f t="shared" si="45"/>
        <v>11</v>
      </c>
      <c r="CO14" s="102">
        <f t="shared" si="46"/>
        <v>2600</v>
      </c>
      <c r="CP14" s="102" t="str">
        <f t="shared" si="47"/>
        <v/>
      </c>
    </row>
    <row r="15" spans="1:94">
      <c r="B15" t="s">
        <v>252</v>
      </c>
      <c r="C15" s="231">
        <v>40346</v>
      </c>
      <c r="D15" s="233">
        <v>16.600000000000001</v>
      </c>
      <c r="E15" s="233">
        <v>7.6</v>
      </c>
      <c r="F15" s="235">
        <v>78</v>
      </c>
      <c r="G15" s="233">
        <v>7.82</v>
      </c>
      <c r="H15" s="233">
        <v>2.2999999999999998</v>
      </c>
      <c r="J15" s="233">
        <v>1.8</v>
      </c>
      <c r="K15" s="235">
        <v>47</v>
      </c>
      <c r="L15" s="235">
        <v>70</v>
      </c>
      <c r="M15" s="235">
        <v>1800</v>
      </c>
      <c r="N15" s="235">
        <v>52</v>
      </c>
      <c r="O15" s="235">
        <v>2400</v>
      </c>
      <c r="Q15">
        <v>2010</v>
      </c>
      <c r="R15">
        <v>6</v>
      </c>
      <c r="T15" s="226"/>
      <c r="U15" s="226"/>
      <c r="V15" s="226"/>
      <c r="W15" s="226"/>
      <c r="X15" s="226"/>
      <c r="Y15" s="226"/>
      <c r="Z15" s="226"/>
      <c r="AA15" s="233">
        <f t="shared" si="1"/>
        <v>10.332000000000001</v>
      </c>
      <c r="AB15" s="233">
        <f t="shared" si="2"/>
        <v>12.739174193481931</v>
      </c>
      <c r="AC15" s="233">
        <f t="shared" si="3"/>
        <v>7.9248258065180703</v>
      </c>
      <c r="AD15">
        <v>2.95</v>
      </c>
      <c r="AE15" s="233">
        <f t="shared" si="4"/>
        <v>7.9374301675977676</v>
      </c>
      <c r="AF15" s="233">
        <f t="shared" si="5"/>
        <v>8.0830597168027865</v>
      </c>
      <c r="AG15" s="233">
        <f t="shared" si="6"/>
        <v>7.7918006183927488</v>
      </c>
      <c r="AH15">
        <v>6.5</v>
      </c>
      <c r="AI15" s="233">
        <f t="shared" si="7"/>
        <v>3.3601117318435763</v>
      </c>
      <c r="AJ15" s="233">
        <f t="shared" si="8"/>
        <v>6.3851512410714601</v>
      </c>
      <c r="AK15" s="233">
        <f t="shared" si="9"/>
        <v>0.33507222261569281</v>
      </c>
      <c r="AL15">
        <v>7</v>
      </c>
      <c r="AM15" s="233">
        <f t="shared" si="10"/>
        <v>48.104347826086951</v>
      </c>
      <c r="AN15" s="233">
        <f t="shared" si="11"/>
        <v>52.277593646348265</v>
      </c>
      <c r="AO15" s="233">
        <f t="shared" si="12"/>
        <v>43.931102005825636</v>
      </c>
      <c r="AP15" s="233">
        <f t="shared" si="13"/>
        <v>2.0655865921787711</v>
      </c>
      <c r="AQ15" s="233">
        <f t="shared" si="14"/>
        <v>3.1665882132978602</v>
      </c>
      <c r="AR15" s="233">
        <f t="shared" si="15"/>
        <v>0.96458497105968211</v>
      </c>
      <c r="AS15" s="235">
        <f t="shared" si="16"/>
        <v>33.105027932960894</v>
      </c>
      <c r="AT15" s="235">
        <f t="shared" si="17"/>
        <v>50.535961542150602</v>
      </c>
      <c r="AU15" s="235">
        <f t="shared" si="18"/>
        <v>15.67409432377119</v>
      </c>
      <c r="AV15">
        <v>100</v>
      </c>
      <c r="AW15" s="235">
        <f t="shared" si="19"/>
        <v>62.766666666666666</v>
      </c>
      <c r="AX15" s="235">
        <f t="shared" si="20"/>
        <v>80.98511149172171</v>
      </c>
      <c r="AY15" s="235">
        <f t="shared" si="21"/>
        <v>44.548221841611614</v>
      </c>
      <c r="AZ15" s="235">
        <f t="shared" si="22"/>
        <v>2941.6666666666665</v>
      </c>
      <c r="BA15" s="235">
        <f t="shared" si="23"/>
        <v>4966.9775952753826</v>
      </c>
      <c r="BB15" s="235">
        <f t="shared" si="24"/>
        <v>916.35573805795048</v>
      </c>
      <c r="BC15" s="235">
        <f t="shared" si="25"/>
        <v>53.18888888888889</v>
      </c>
      <c r="BD15" s="235">
        <f t="shared" si="26"/>
        <v>112.67052202318322</v>
      </c>
      <c r="BE15" s="235">
        <f t="shared" si="27"/>
        <v>-6.2927442454054372</v>
      </c>
      <c r="BF15" s="235">
        <f t="shared" si="28"/>
        <v>3577.2222222222222</v>
      </c>
      <c r="BG15" s="235">
        <f t="shared" si="29"/>
        <v>5636.1265941907786</v>
      </c>
      <c r="BH15" s="235">
        <f t="shared" si="30"/>
        <v>1518.3178502536657</v>
      </c>
      <c r="BI15">
        <v>5000</v>
      </c>
      <c r="BJ15" s="235">
        <f t="shared" si="31"/>
        <v>0</v>
      </c>
      <c r="BK15" s="235">
        <f t="shared" si="32"/>
        <v>0</v>
      </c>
      <c r="BL15" s="235">
        <f t="shared" si="33"/>
        <v>0</v>
      </c>
      <c r="BO15" s="235">
        <f t="shared" si="34"/>
        <v>40346</v>
      </c>
      <c r="CD15" s="533">
        <f t="shared" si="35"/>
        <v>16.600000000000001</v>
      </c>
      <c r="CE15" s="102">
        <f t="shared" si="36"/>
        <v>7.6</v>
      </c>
      <c r="CF15" s="102">
        <f t="shared" si="37"/>
        <v>78</v>
      </c>
      <c r="CG15" s="102">
        <f t="shared" si="38"/>
        <v>7.82</v>
      </c>
      <c r="CH15" s="102">
        <f t="shared" si="39"/>
        <v>2.2999999999999998</v>
      </c>
      <c r="CI15" s="102" t="str">
        <f t="shared" si="40"/>
        <v/>
      </c>
      <c r="CJ15" s="102">
        <f t="shared" si="41"/>
        <v>1.8</v>
      </c>
      <c r="CK15" s="102">
        <f t="shared" si="42"/>
        <v>47</v>
      </c>
      <c r="CL15" s="102">
        <f t="shared" si="43"/>
        <v>70</v>
      </c>
      <c r="CM15" s="102">
        <f t="shared" si="44"/>
        <v>1800</v>
      </c>
      <c r="CN15" s="102">
        <f t="shared" si="45"/>
        <v>52</v>
      </c>
      <c r="CO15" s="102">
        <f t="shared" si="46"/>
        <v>2400</v>
      </c>
      <c r="CP15" s="102" t="str">
        <f t="shared" si="47"/>
        <v/>
      </c>
    </row>
    <row r="16" spans="1:94">
      <c r="B16" t="s">
        <v>252</v>
      </c>
      <c r="C16" s="231">
        <v>40379</v>
      </c>
      <c r="D16" s="233">
        <v>22.7</v>
      </c>
      <c r="E16" s="233">
        <v>6.07</v>
      </c>
      <c r="F16" s="235">
        <v>70</v>
      </c>
      <c r="G16" s="233">
        <v>7.65</v>
      </c>
      <c r="H16" s="233">
        <v>1.5</v>
      </c>
      <c r="J16" s="233">
        <v>2</v>
      </c>
      <c r="K16" s="235">
        <v>79</v>
      </c>
      <c r="L16" s="235">
        <v>110</v>
      </c>
      <c r="M16" s="235">
        <v>1100</v>
      </c>
      <c r="N16" s="235">
        <v>38</v>
      </c>
      <c r="O16" s="235">
        <v>1900</v>
      </c>
      <c r="Q16">
        <v>2010</v>
      </c>
      <c r="R16">
        <v>7</v>
      </c>
      <c r="T16" s="226"/>
      <c r="U16" s="226"/>
      <c r="V16" s="226"/>
      <c r="W16" s="226"/>
      <c r="X16" s="226"/>
      <c r="Y16" s="226"/>
      <c r="Z16" s="226"/>
      <c r="AA16" s="233">
        <f t="shared" si="1"/>
        <v>10.332000000000001</v>
      </c>
      <c r="AB16" s="233">
        <f t="shared" si="2"/>
        <v>12.739174193481931</v>
      </c>
      <c r="AC16" s="233">
        <f t="shared" si="3"/>
        <v>7.9248258065180703</v>
      </c>
      <c r="AD16">
        <v>2.95</v>
      </c>
      <c r="AE16" s="233">
        <f t="shared" si="4"/>
        <v>7.9374301675977676</v>
      </c>
      <c r="AF16" s="233">
        <f t="shared" si="5"/>
        <v>8.0830597168027865</v>
      </c>
      <c r="AG16" s="233">
        <f t="shared" si="6"/>
        <v>7.7918006183927488</v>
      </c>
      <c r="AH16">
        <v>6.5</v>
      </c>
      <c r="AI16" s="233">
        <f t="shared" si="7"/>
        <v>3.3601117318435763</v>
      </c>
      <c r="AJ16" s="233">
        <f t="shared" si="8"/>
        <v>6.3851512410714601</v>
      </c>
      <c r="AK16" s="233">
        <f t="shared" si="9"/>
        <v>0.33507222261569281</v>
      </c>
      <c r="AL16">
        <v>7</v>
      </c>
      <c r="AM16" s="233">
        <f t="shared" si="10"/>
        <v>48.104347826086951</v>
      </c>
      <c r="AN16" s="233">
        <f t="shared" si="11"/>
        <v>52.277593646348265</v>
      </c>
      <c r="AO16" s="233">
        <f t="shared" si="12"/>
        <v>43.931102005825636</v>
      </c>
      <c r="AP16" s="233">
        <f t="shared" si="13"/>
        <v>2.0655865921787711</v>
      </c>
      <c r="AQ16" s="233">
        <f t="shared" si="14"/>
        <v>3.1665882132978602</v>
      </c>
      <c r="AR16" s="233">
        <f t="shared" si="15"/>
        <v>0.96458497105968211</v>
      </c>
      <c r="AS16" s="235">
        <f t="shared" si="16"/>
        <v>33.105027932960894</v>
      </c>
      <c r="AT16" s="235">
        <f t="shared" si="17"/>
        <v>50.535961542150602</v>
      </c>
      <c r="AU16" s="235">
        <f t="shared" si="18"/>
        <v>15.67409432377119</v>
      </c>
      <c r="AV16">
        <v>100</v>
      </c>
      <c r="AW16" s="235">
        <f t="shared" si="19"/>
        <v>62.766666666666666</v>
      </c>
      <c r="AX16" s="235">
        <f t="shared" si="20"/>
        <v>80.98511149172171</v>
      </c>
      <c r="AY16" s="235">
        <f t="shared" si="21"/>
        <v>44.548221841611614</v>
      </c>
      <c r="AZ16" s="235">
        <f t="shared" si="22"/>
        <v>2941.6666666666665</v>
      </c>
      <c r="BA16" s="235">
        <f t="shared" si="23"/>
        <v>4966.9775952753826</v>
      </c>
      <c r="BB16" s="235">
        <f t="shared" si="24"/>
        <v>916.35573805795048</v>
      </c>
      <c r="BC16" s="235">
        <f t="shared" si="25"/>
        <v>53.18888888888889</v>
      </c>
      <c r="BD16" s="235">
        <f t="shared" si="26"/>
        <v>112.67052202318322</v>
      </c>
      <c r="BE16" s="235">
        <f t="shared" si="27"/>
        <v>-6.2927442454054372</v>
      </c>
      <c r="BF16" s="235">
        <f t="shared" si="28"/>
        <v>3577.2222222222222</v>
      </c>
      <c r="BG16" s="235">
        <f t="shared" si="29"/>
        <v>5636.1265941907786</v>
      </c>
      <c r="BH16" s="235">
        <f t="shared" si="30"/>
        <v>1518.3178502536657</v>
      </c>
      <c r="BI16">
        <v>5000</v>
      </c>
      <c r="BJ16" s="235">
        <f t="shared" si="31"/>
        <v>0</v>
      </c>
      <c r="BK16" s="235">
        <f t="shared" si="32"/>
        <v>0</v>
      </c>
      <c r="BL16" s="235">
        <f t="shared" si="33"/>
        <v>0</v>
      </c>
      <c r="BO16" s="235">
        <f t="shared" si="34"/>
        <v>40379</v>
      </c>
      <c r="CD16" s="533">
        <f t="shared" si="35"/>
        <v>22.7</v>
      </c>
      <c r="CE16" s="102">
        <f t="shared" si="36"/>
        <v>6.07</v>
      </c>
      <c r="CF16" s="102">
        <f t="shared" si="37"/>
        <v>70</v>
      </c>
      <c r="CG16" s="102">
        <f t="shared" si="38"/>
        <v>7.65</v>
      </c>
      <c r="CH16" s="102">
        <f t="shared" si="39"/>
        <v>1.5</v>
      </c>
      <c r="CI16" s="102" t="str">
        <f t="shared" si="40"/>
        <v/>
      </c>
      <c r="CJ16" s="102">
        <f t="shared" si="41"/>
        <v>2</v>
      </c>
      <c r="CK16" s="102">
        <f t="shared" si="42"/>
        <v>79</v>
      </c>
      <c r="CL16" s="102">
        <f t="shared" si="43"/>
        <v>110</v>
      </c>
      <c r="CM16" s="102">
        <f t="shared" si="44"/>
        <v>1100</v>
      </c>
      <c r="CN16" s="102">
        <f t="shared" si="45"/>
        <v>38</v>
      </c>
      <c r="CO16" s="102">
        <f t="shared" si="46"/>
        <v>1900</v>
      </c>
      <c r="CP16" s="102" t="str">
        <f t="shared" si="47"/>
        <v/>
      </c>
    </row>
    <row r="17" spans="2:94">
      <c r="B17" t="s">
        <v>252</v>
      </c>
      <c r="C17" s="231">
        <v>40416</v>
      </c>
      <c r="D17" s="233">
        <v>16.7</v>
      </c>
      <c r="E17" s="233">
        <v>8.3000000000000007</v>
      </c>
      <c r="F17" s="235">
        <v>86</v>
      </c>
      <c r="G17" s="233">
        <v>7.9</v>
      </c>
      <c r="H17" s="233">
        <v>2</v>
      </c>
      <c r="J17" s="233">
        <v>1.5</v>
      </c>
      <c r="K17" s="235">
        <v>64</v>
      </c>
      <c r="L17" s="235">
        <v>86</v>
      </c>
      <c r="M17" s="235">
        <v>4400</v>
      </c>
      <c r="N17" s="235">
        <v>24</v>
      </c>
      <c r="O17" s="235">
        <v>5000</v>
      </c>
      <c r="Q17">
        <v>2010</v>
      </c>
      <c r="R17">
        <v>8</v>
      </c>
      <c r="T17" s="226"/>
      <c r="U17" s="226"/>
      <c r="V17" s="226"/>
      <c r="W17" s="226"/>
      <c r="X17" s="226"/>
      <c r="Y17" s="226"/>
      <c r="Z17" s="226"/>
      <c r="AA17" s="233">
        <f t="shared" si="1"/>
        <v>10.332000000000001</v>
      </c>
      <c r="AB17" s="233">
        <f t="shared" si="2"/>
        <v>12.739174193481931</v>
      </c>
      <c r="AC17" s="233">
        <f t="shared" si="3"/>
        <v>7.9248258065180703</v>
      </c>
      <c r="AD17">
        <v>2.95</v>
      </c>
      <c r="AE17" s="233">
        <f t="shared" si="4"/>
        <v>7.9374301675977676</v>
      </c>
      <c r="AF17" s="233">
        <f t="shared" si="5"/>
        <v>8.0830597168027865</v>
      </c>
      <c r="AG17" s="233">
        <f t="shared" si="6"/>
        <v>7.7918006183927488</v>
      </c>
      <c r="AH17">
        <v>6.5</v>
      </c>
      <c r="AI17" s="233">
        <f t="shared" si="7"/>
        <v>3.3601117318435763</v>
      </c>
      <c r="AJ17" s="233">
        <f t="shared" si="8"/>
        <v>6.3851512410714601</v>
      </c>
      <c r="AK17" s="233">
        <f t="shared" si="9"/>
        <v>0.33507222261569281</v>
      </c>
      <c r="AL17">
        <v>7</v>
      </c>
      <c r="AM17" s="233">
        <f t="shared" si="10"/>
        <v>48.104347826086951</v>
      </c>
      <c r="AN17" s="233">
        <f t="shared" si="11"/>
        <v>52.277593646348265</v>
      </c>
      <c r="AO17" s="233">
        <f t="shared" si="12"/>
        <v>43.931102005825636</v>
      </c>
      <c r="AP17" s="233">
        <f t="shared" si="13"/>
        <v>2.0655865921787711</v>
      </c>
      <c r="AQ17" s="233">
        <f t="shared" si="14"/>
        <v>3.1665882132978602</v>
      </c>
      <c r="AR17" s="233">
        <f t="shared" si="15"/>
        <v>0.96458497105968211</v>
      </c>
      <c r="AS17" s="235">
        <f t="shared" si="16"/>
        <v>33.105027932960894</v>
      </c>
      <c r="AT17" s="235">
        <f t="shared" si="17"/>
        <v>50.535961542150602</v>
      </c>
      <c r="AU17" s="235">
        <f t="shared" si="18"/>
        <v>15.67409432377119</v>
      </c>
      <c r="AV17">
        <v>100</v>
      </c>
      <c r="AW17" s="235">
        <f t="shared" si="19"/>
        <v>62.766666666666666</v>
      </c>
      <c r="AX17" s="235">
        <f t="shared" si="20"/>
        <v>80.98511149172171</v>
      </c>
      <c r="AY17" s="235">
        <f t="shared" si="21"/>
        <v>44.548221841611614</v>
      </c>
      <c r="AZ17" s="235">
        <f t="shared" si="22"/>
        <v>2941.6666666666665</v>
      </c>
      <c r="BA17" s="235">
        <f t="shared" si="23"/>
        <v>4966.9775952753826</v>
      </c>
      <c r="BB17" s="235">
        <f t="shared" si="24"/>
        <v>916.35573805795048</v>
      </c>
      <c r="BC17" s="235">
        <f t="shared" si="25"/>
        <v>53.18888888888889</v>
      </c>
      <c r="BD17" s="235">
        <f t="shared" si="26"/>
        <v>112.67052202318322</v>
      </c>
      <c r="BE17" s="235">
        <f t="shared" si="27"/>
        <v>-6.2927442454054372</v>
      </c>
      <c r="BF17" s="235">
        <f t="shared" si="28"/>
        <v>3577.2222222222222</v>
      </c>
      <c r="BG17" s="235">
        <f t="shared" si="29"/>
        <v>5636.1265941907786</v>
      </c>
      <c r="BH17" s="235">
        <f t="shared" si="30"/>
        <v>1518.3178502536657</v>
      </c>
      <c r="BI17">
        <v>5000</v>
      </c>
      <c r="BJ17" s="235">
        <f t="shared" si="31"/>
        <v>0</v>
      </c>
      <c r="BK17" s="235">
        <f t="shared" si="32"/>
        <v>0</v>
      </c>
      <c r="BL17" s="235">
        <f t="shared" si="33"/>
        <v>0</v>
      </c>
      <c r="BO17" s="235">
        <f t="shared" si="34"/>
        <v>40416</v>
      </c>
      <c r="CD17" s="533">
        <f t="shared" si="35"/>
        <v>16.7</v>
      </c>
      <c r="CE17" s="102">
        <f t="shared" si="36"/>
        <v>8.3000000000000007</v>
      </c>
      <c r="CF17" s="102">
        <f t="shared" si="37"/>
        <v>86</v>
      </c>
      <c r="CG17" s="102">
        <f t="shared" si="38"/>
        <v>7.9</v>
      </c>
      <c r="CH17" s="102">
        <f t="shared" si="39"/>
        <v>2</v>
      </c>
      <c r="CI17" s="102" t="str">
        <f t="shared" si="40"/>
        <v/>
      </c>
      <c r="CJ17" s="102">
        <f t="shared" si="41"/>
        <v>1.5</v>
      </c>
      <c r="CK17" s="102">
        <f t="shared" si="42"/>
        <v>64</v>
      </c>
      <c r="CL17" s="102">
        <f t="shared" si="43"/>
        <v>86</v>
      </c>
      <c r="CM17" s="102">
        <f t="shared" si="44"/>
        <v>4400</v>
      </c>
      <c r="CN17" s="102">
        <f t="shared" si="45"/>
        <v>24</v>
      </c>
      <c r="CO17" s="102">
        <f t="shared" si="46"/>
        <v>5000</v>
      </c>
      <c r="CP17" s="102" t="str">
        <f t="shared" si="47"/>
        <v/>
      </c>
    </row>
    <row r="18" spans="2:94">
      <c r="B18" t="s">
        <v>252</v>
      </c>
      <c r="C18" s="231">
        <v>40444</v>
      </c>
      <c r="D18" s="233">
        <v>14.1</v>
      </c>
      <c r="E18" s="233">
        <v>9.8000000000000007</v>
      </c>
      <c r="F18" s="235">
        <v>96</v>
      </c>
      <c r="G18" s="233">
        <v>7.9</v>
      </c>
      <c r="H18" s="233">
        <v>3.1</v>
      </c>
      <c r="J18" s="233">
        <v>2.2999999999999998</v>
      </c>
      <c r="K18" s="235">
        <v>48</v>
      </c>
      <c r="L18" s="235">
        <v>61</v>
      </c>
      <c r="M18" s="235">
        <v>4500</v>
      </c>
      <c r="N18" s="235">
        <v>22</v>
      </c>
      <c r="O18" s="235">
        <v>5200</v>
      </c>
      <c r="Q18">
        <v>2010</v>
      </c>
      <c r="R18">
        <v>9</v>
      </c>
      <c r="T18" s="226"/>
      <c r="U18" s="226"/>
      <c r="V18" s="226"/>
      <c r="W18" s="226"/>
      <c r="X18" s="226"/>
      <c r="Y18" s="226"/>
      <c r="Z18" s="226"/>
      <c r="AA18" s="233">
        <f t="shared" si="1"/>
        <v>10.332000000000001</v>
      </c>
      <c r="AB18" s="233">
        <f t="shared" si="2"/>
        <v>12.739174193481931</v>
      </c>
      <c r="AC18" s="233">
        <f t="shared" si="3"/>
        <v>7.9248258065180703</v>
      </c>
      <c r="AD18">
        <v>2.95</v>
      </c>
      <c r="AE18" s="233">
        <f t="shared" si="4"/>
        <v>7.9374301675977676</v>
      </c>
      <c r="AF18" s="233">
        <f t="shared" si="5"/>
        <v>8.0830597168027865</v>
      </c>
      <c r="AG18" s="233">
        <f t="shared" si="6"/>
        <v>7.7918006183927488</v>
      </c>
      <c r="AH18">
        <v>6.5</v>
      </c>
      <c r="AI18" s="233">
        <f t="shared" si="7"/>
        <v>3.3601117318435763</v>
      </c>
      <c r="AJ18" s="233">
        <f t="shared" si="8"/>
        <v>6.3851512410714601</v>
      </c>
      <c r="AK18" s="233">
        <f t="shared" si="9"/>
        <v>0.33507222261569281</v>
      </c>
      <c r="AL18">
        <v>7</v>
      </c>
      <c r="AM18" s="233">
        <f t="shared" si="10"/>
        <v>48.104347826086951</v>
      </c>
      <c r="AN18" s="233">
        <f t="shared" si="11"/>
        <v>52.277593646348265</v>
      </c>
      <c r="AO18" s="233">
        <f t="shared" si="12"/>
        <v>43.931102005825636</v>
      </c>
      <c r="AP18" s="233">
        <f t="shared" si="13"/>
        <v>2.0655865921787711</v>
      </c>
      <c r="AQ18" s="233">
        <f t="shared" si="14"/>
        <v>3.1665882132978602</v>
      </c>
      <c r="AR18" s="233">
        <f t="shared" si="15"/>
        <v>0.96458497105968211</v>
      </c>
      <c r="AS18" s="235">
        <f t="shared" si="16"/>
        <v>33.105027932960894</v>
      </c>
      <c r="AT18" s="235">
        <f t="shared" si="17"/>
        <v>50.535961542150602</v>
      </c>
      <c r="AU18" s="235">
        <f t="shared" si="18"/>
        <v>15.67409432377119</v>
      </c>
      <c r="AV18">
        <v>100</v>
      </c>
      <c r="AW18" s="235">
        <f t="shared" si="19"/>
        <v>62.766666666666666</v>
      </c>
      <c r="AX18" s="235">
        <f t="shared" si="20"/>
        <v>80.98511149172171</v>
      </c>
      <c r="AY18" s="235">
        <f t="shared" si="21"/>
        <v>44.548221841611614</v>
      </c>
      <c r="AZ18" s="235">
        <f t="shared" si="22"/>
        <v>2941.6666666666665</v>
      </c>
      <c r="BA18" s="235">
        <f t="shared" si="23"/>
        <v>4966.9775952753826</v>
      </c>
      <c r="BB18" s="235">
        <f t="shared" si="24"/>
        <v>916.35573805795048</v>
      </c>
      <c r="BC18" s="235">
        <f t="shared" si="25"/>
        <v>53.18888888888889</v>
      </c>
      <c r="BD18" s="235">
        <f t="shared" si="26"/>
        <v>112.67052202318322</v>
      </c>
      <c r="BE18" s="235">
        <f t="shared" si="27"/>
        <v>-6.2927442454054372</v>
      </c>
      <c r="BF18" s="235">
        <f t="shared" si="28"/>
        <v>3577.2222222222222</v>
      </c>
      <c r="BG18" s="235">
        <f t="shared" si="29"/>
        <v>5636.1265941907786</v>
      </c>
      <c r="BH18" s="235">
        <f t="shared" si="30"/>
        <v>1518.3178502536657</v>
      </c>
      <c r="BI18">
        <v>5000</v>
      </c>
      <c r="BJ18" s="235">
        <f t="shared" si="31"/>
        <v>0</v>
      </c>
      <c r="BK18" s="235">
        <f t="shared" si="32"/>
        <v>0</v>
      </c>
      <c r="BL18" s="235">
        <f t="shared" si="33"/>
        <v>0</v>
      </c>
      <c r="BO18" s="235">
        <f t="shared" si="34"/>
        <v>40444</v>
      </c>
      <c r="CD18" s="533">
        <f t="shared" si="35"/>
        <v>14.1</v>
      </c>
      <c r="CE18" s="102">
        <f t="shared" si="36"/>
        <v>9.8000000000000007</v>
      </c>
      <c r="CF18" s="102">
        <f t="shared" si="37"/>
        <v>96</v>
      </c>
      <c r="CG18" s="102">
        <f t="shared" si="38"/>
        <v>7.9</v>
      </c>
      <c r="CH18" s="102">
        <f t="shared" si="39"/>
        <v>3.1</v>
      </c>
      <c r="CI18" s="102" t="str">
        <f t="shared" si="40"/>
        <v/>
      </c>
      <c r="CJ18" s="102">
        <f t="shared" si="41"/>
        <v>2.2999999999999998</v>
      </c>
      <c r="CK18" s="102">
        <f t="shared" si="42"/>
        <v>48</v>
      </c>
      <c r="CL18" s="102">
        <f t="shared" si="43"/>
        <v>61</v>
      </c>
      <c r="CM18" s="102">
        <f t="shared" si="44"/>
        <v>4500</v>
      </c>
      <c r="CN18" s="102">
        <f t="shared" si="45"/>
        <v>22</v>
      </c>
      <c r="CO18" s="102">
        <f t="shared" si="46"/>
        <v>5200</v>
      </c>
      <c r="CP18" s="102" t="str">
        <f t="shared" si="47"/>
        <v/>
      </c>
    </row>
    <row r="19" spans="2:94">
      <c r="B19" t="s">
        <v>252</v>
      </c>
      <c r="C19" s="231">
        <v>40471</v>
      </c>
      <c r="D19" s="233">
        <v>8.3000000000000007</v>
      </c>
      <c r="E19" s="233">
        <v>10.199999999999999</v>
      </c>
      <c r="F19" s="235">
        <v>87</v>
      </c>
      <c r="G19" s="233">
        <v>7.99</v>
      </c>
      <c r="H19" s="233">
        <v>2.4</v>
      </c>
      <c r="J19" s="233">
        <v>1.8</v>
      </c>
      <c r="K19" s="235">
        <v>32</v>
      </c>
      <c r="L19" s="235">
        <v>47</v>
      </c>
      <c r="M19" s="235">
        <v>2300</v>
      </c>
      <c r="N19" s="235">
        <v>10</v>
      </c>
      <c r="O19" s="235">
        <v>2900</v>
      </c>
      <c r="Q19">
        <v>2010</v>
      </c>
      <c r="R19">
        <v>10</v>
      </c>
      <c r="T19" s="226"/>
      <c r="U19" s="226"/>
      <c r="V19" s="226"/>
      <c r="W19" s="226"/>
      <c r="X19" s="226"/>
      <c r="Y19" s="226"/>
      <c r="Z19" s="226"/>
      <c r="AA19" s="233">
        <f t="shared" si="1"/>
        <v>10.332000000000001</v>
      </c>
      <c r="AB19" s="233">
        <f t="shared" si="2"/>
        <v>12.739174193481931</v>
      </c>
      <c r="AC19" s="233">
        <f t="shared" si="3"/>
        <v>7.9248258065180703</v>
      </c>
      <c r="AD19">
        <v>2.95</v>
      </c>
      <c r="AE19" s="233">
        <f t="shared" si="4"/>
        <v>7.9374301675977676</v>
      </c>
      <c r="AF19" s="233">
        <f t="shared" si="5"/>
        <v>8.0830597168027865</v>
      </c>
      <c r="AG19" s="233">
        <f t="shared" si="6"/>
        <v>7.7918006183927488</v>
      </c>
      <c r="AH19">
        <v>6.5</v>
      </c>
      <c r="AI19" s="233">
        <f t="shared" si="7"/>
        <v>3.3601117318435763</v>
      </c>
      <c r="AJ19" s="233">
        <f t="shared" si="8"/>
        <v>6.3851512410714601</v>
      </c>
      <c r="AK19" s="233">
        <f t="shared" si="9"/>
        <v>0.33507222261569281</v>
      </c>
      <c r="AL19">
        <v>7</v>
      </c>
      <c r="AM19" s="233">
        <f t="shared" si="10"/>
        <v>48.104347826086951</v>
      </c>
      <c r="AN19" s="233">
        <f t="shared" si="11"/>
        <v>52.277593646348265</v>
      </c>
      <c r="AO19" s="233">
        <f t="shared" si="12"/>
        <v>43.931102005825636</v>
      </c>
      <c r="AP19" s="233">
        <f t="shared" si="13"/>
        <v>2.0655865921787711</v>
      </c>
      <c r="AQ19" s="233">
        <f t="shared" si="14"/>
        <v>3.1665882132978602</v>
      </c>
      <c r="AR19" s="233">
        <f t="shared" si="15"/>
        <v>0.96458497105968211</v>
      </c>
      <c r="AS19" s="235">
        <f t="shared" si="16"/>
        <v>33.105027932960894</v>
      </c>
      <c r="AT19" s="235">
        <f t="shared" si="17"/>
        <v>50.535961542150602</v>
      </c>
      <c r="AU19" s="235">
        <f t="shared" si="18"/>
        <v>15.67409432377119</v>
      </c>
      <c r="AV19">
        <v>100</v>
      </c>
      <c r="AW19" s="235">
        <f t="shared" si="19"/>
        <v>62.766666666666666</v>
      </c>
      <c r="AX19" s="235">
        <f t="shared" si="20"/>
        <v>80.98511149172171</v>
      </c>
      <c r="AY19" s="235">
        <f t="shared" si="21"/>
        <v>44.548221841611614</v>
      </c>
      <c r="AZ19" s="235">
        <f t="shared" si="22"/>
        <v>2941.6666666666665</v>
      </c>
      <c r="BA19" s="235">
        <f t="shared" si="23"/>
        <v>4966.9775952753826</v>
      </c>
      <c r="BB19" s="235">
        <f t="shared" si="24"/>
        <v>916.35573805795048</v>
      </c>
      <c r="BC19" s="235">
        <f t="shared" si="25"/>
        <v>53.18888888888889</v>
      </c>
      <c r="BD19" s="235">
        <f t="shared" si="26"/>
        <v>112.67052202318322</v>
      </c>
      <c r="BE19" s="235">
        <f t="shared" si="27"/>
        <v>-6.2927442454054372</v>
      </c>
      <c r="BF19" s="235">
        <f t="shared" si="28"/>
        <v>3577.2222222222222</v>
      </c>
      <c r="BG19" s="235">
        <f t="shared" si="29"/>
        <v>5636.1265941907786</v>
      </c>
      <c r="BH19" s="235">
        <f t="shared" si="30"/>
        <v>1518.3178502536657</v>
      </c>
      <c r="BI19">
        <v>5000</v>
      </c>
      <c r="BJ19" s="235">
        <f t="shared" si="31"/>
        <v>0</v>
      </c>
      <c r="BK19" s="235">
        <f t="shared" si="32"/>
        <v>0</v>
      </c>
      <c r="BL19" s="235">
        <f t="shared" si="33"/>
        <v>0</v>
      </c>
      <c r="BO19" s="235">
        <f t="shared" si="34"/>
        <v>40471</v>
      </c>
      <c r="CD19" s="533">
        <f t="shared" si="35"/>
        <v>8.3000000000000007</v>
      </c>
      <c r="CE19" s="102">
        <f t="shared" si="36"/>
        <v>10.199999999999999</v>
      </c>
      <c r="CF19" s="102">
        <f t="shared" si="37"/>
        <v>87</v>
      </c>
      <c r="CG19" s="102">
        <f t="shared" si="38"/>
        <v>7.99</v>
      </c>
      <c r="CH19" s="102">
        <f t="shared" si="39"/>
        <v>2.4</v>
      </c>
      <c r="CI19" s="102" t="str">
        <f t="shared" si="40"/>
        <v/>
      </c>
      <c r="CJ19" s="102">
        <f t="shared" si="41"/>
        <v>1.8</v>
      </c>
      <c r="CK19" s="102">
        <f t="shared" si="42"/>
        <v>32</v>
      </c>
      <c r="CL19" s="102">
        <f t="shared" si="43"/>
        <v>47</v>
      </c>
      <c r="CM19" s="102">
        <f t="shared" si="44"/>
        <v>2300</v>
      </c>
      <c r="CN19" s="102">
        <f t="shared" si="45"/>
        <v>10</v>
      </c>
      <c r="CO19" s="102">
        <f t="shared" si="46"/>
        <v>2900</v>
      </c>
      <c r="CP19" s="102" t="str">
        <f t="shared" si="47"/>
        <v/>
      </c>
    </row>
    <row r="20" spans="2:94">
      <c r="B20" t="s">
        <v>252</v>
      </c>
      <c r="C20" s="231">
        <v>40498</v>
      </c>
      <c r="D20" s="233">
        <v>6.6</v>
      </c>
      <c r="E20" s="233">
        <v>11.1</v>
      </c>
      <c r="F20" s="235">
        <v>91</v>
      </c>
      <c r="G20" s="233">
        <v>7.9</v>
      </c>
      <c r="H20" s="233">
        <v>4.5999999999999996</v>
      </c>
      <c r="J20" s="233">
        <v>0.9</v>
      </c>
      <c r="K20" s="235">
        <v>37</v>
      </c>
      <c r="L20" s="235">
        <v>100</v>
      </c>
      <c r="M20" s="235">
        <v>7200</v>
      </c>
      <c r="N20" s="235">
        <v>43</v>
      </c>
      <c r="O20" s="235">
        <v>7900</v>
      </c>
      <c r="Q20">
        <v>2010</v>
      </c>
      <c r="R20">
        <v>11</v>
      </c>
      <c r="T20" s="226"/>
      <c r="U20" s="226"/>
      <c r="V20" s="226"/>
      <c r="W20" s="226"/>
      <c r="X20" s="226"/>
      <c r="Y20" s="226"/>
      <c r="Z20" s="226"/>
      <c r="AA20" s="233">
        <f t="shared" si="1"/>
        <v>10.332000000000001</v>
      </c>
      <c r="AB20" s="233">
        <f t="shared" si="2"/>
        <v>12.739174193481931</v>
      </c>
      <c r="AC20" s="233">
        <f t="shared" si="3"/>
        <v>7.9248258065180703</v>
      </c>
      <c r="AD20">
        <v>2.95</v>
      </c>
      <c r="AE20" s="233">
        <f t="shared" si="4"/>
        <v>7.9374301675977676</v>
      </c>
      <c r="AF20" s="233">
        <f t="shared" si="5"/>
        <v>8.0830597168027865</v>
      </c>
      <c r="AG20" s="233">
        <f t="shared" si="6"/>
        <v>7.7918006183927488</v>
      </c>
      <c r="AH20">
        <v>6.5</v>
      </c>
      <c r="AI20" s="233">
        <f t="shared" si="7"/>
        <v>3.3601117318435763</v>
      </c>
      <c r="AJ20" s="233">
        <f t="shared" si="8"/>
        <v>6.3851512410714601</v>
      </c>
      <c r="AK20" s="233">
        <f t="shared" si="9"/>
        <v>0.33507222261569281</v>
      </c>
      <c r="AL20">
        <v>7</v>
      </c>
      <c r="AM20" s="233">
        <f t="shared" si="10"/>
        <v>48.104347826086951</v>
      </c>
      <c r="AN20" s="233">
        <f t="shared" si="11"/>
        <v>52.277593646348265</v>
      </c>
      <c r="AO20" s="233">
        <f t="shared" si="12"/>
        <v>43.931102005825636</v>
      </c>
      <c r="AP20" s="233">
        <f t="shared" si="13"/>
        <v>2.0655865921787711</v>
      </c>
      <c r="AQ20" s="233">
        <f t="shared" si="14"/>
        <v>3.1665882132978602</v>
      </c>
      <c r="AR20" s="233">
        <f t="shared" si="15"/>
        <v>0.96458497105968211</v>
      </c>
      <c r="AS20" s="235">
        <f t="shared" si="16"/>
        <v>33.105027932960894</v>
      </c>
      <c r="AT20" s="235">
        <f t="shared" si="17"/>
        <v>50.535961542150602</v>
      </c>
      <c r="AU20" s="235">
        <f t="shared" si="18"/>
        <v>15.67409432377119</v>
      </c>
      <c r="AV20">
        <v>100</v>
      </c>
      <c r="AW20" s="235">
        <f t="shared" si="19"/>
        <v>62.766666666666666</v>
      </c>
      <c r="AX20" s="235">
        <f t="shared" si="20"/>
        <v>80.98511149172171</v>
      </c>
      <c r="AY20" s="235">
        <f t="shared" si="21"/>
        <v>44.548221841611614</v>
      </c>
      <c r="AZ20" s="235">
        <f t="shared" si="22"/>
        <v>2941.6666666666665</v>
      </c>
      <c r="BA20" s="235">
        <f t="shared" si="23"/>
        <v>4966.9775952753826</v>
      </c>
      <c r="BB20" s="235">
        <f t="shared" si="24"/>
        <v>916.35573805795048</v>
      </c>
      <c r="BC20" s="235">
        <f t="shared" si="25"/>
        <v>53.18888888888889</v>
      </c>
      <c r="BD20" s="235">
        <f t="shared" si="26"/>
        <v>112.67052202318322</v>
      </c>
      <c r="BE20" s="235">
        <f t="shared" si="27"/>
        <v>-6.2927442454054372</v>
      </c>
      <c r="BF20" s="235">
        <f t="shared" si="28"/>
        <v>3577.2222222222222</v>
      </c>
      <c r="BG20" s="235">
        <f t="shared" si="29"/>
        <v>5636.1265941907786</v>
      </c>
      <c r="BH20" s="235">
        <f t="shared" si="30"/>
        <v>1518.3178502536657</v>
      </c>
      <c r="BI20">
        <v>5000</v>
      </c>
      <c r="BJ20" s="235">
        <f t="shared" si="31"/>
        <v>0</v>
      </c>
      <c r="BK20" s="235">
        <f t="shared" si="32"/>
        <v>0</v>
      </c>
      <c r="BL20" s="235">
        <f t="shared" si="33"/>
        <v>0</v>
      </c>
      <c r="BO20" s="235">
        <f t="shared" si="34"/>
        <v>40498</v>
      </c>
      <c r="CD20" s="533">
        <f t="shared" si="35"/>
        <v>6.6</v>
      </c>
      <c r="CE20" s="102">
        <f t="shared" si="36"/>
        <v>11.1</v>
      </c>
      <c r="CF20" s="102">
        <f t="shared" si="37"/>
        <v>91</v>
      </c>
      <c r="CG20" s="102">
        <f t="shared" si="38"/>
        <v>7.9</v>
      </c>
      <c r="CH20" s="102">
        <f t="shared" si="39"/>
        <v>4.5999999999999996</v>
      </c>
      <c r="CI20" s="102" t="str">
        <f t="shared" si="40"/>
        <v/>
      </c>
      <c r="CJ20" s="102">
        <f t="shared" si="41"/>
        <v>0.9</v>
      </c>
      <c r="CK20" s="102">
        <f t="shared" si="42"/>
        <v>37</v>
      </c>
      <c r="CL20" s="102">
        <f t="shared" si="43"/>
        <v>100</v>
      </c>
      <c r="CM20" s="102">
        <f t="shared" si="44"/>
        <v>7200</v>
      </c>
      <c r="CN20" s="102">
        <f t="shared" si="45"/>
        <v>43</v>
      </c>
      <c r="CO20" s="102">
        <f t="shared" si="46"/>
        <v>7900</v>
      </c>
      <c r="CP20" s="102" t="str">
        <f t="shared" si="47"/>
        <v/>
      </c>
    </row>
    <row r="21" spans="2:94">
      <c r="B21" t="s">
        <v>252</v>
      </c>
      <c r="C21" s="231">
        <v>40526</v>
      </c>
      <c r="D21" s="233">
        <v>0.1</v>
      </c>
      <c r="E21" s="233">
        <v>13.9</v>
      </c>
      <c r="F21" s="235">
        <v>95</v>
      </c>
      <c r="G21" s="233">
        <v>7.92</v>
      </c>
      <c r="H21" s="233">
        <v>4.2</v>
      </c>
      <c r="J21" s="233">
        <v>3.4</v>
      </c>
      <c r="K21" s="235">
        <v>36</v>
      </c>
      <c r="L21" s="235">
        <v>54</v>
      </c>
      <c r="M21" s="235">
        <v>5100</v>
      </c>
      <c r="N21" s="235">
        <v>100</v>
      </c>
      <c r="O21" s="235">
        <v>6200</v>
      </c>
      <c r="Q21">
        <v>2010</v>
      </c>
      <c r="R21">
        <v>12</v>
      </c>
      <c r="T21" s="226"/>
      <c r="U21" s="226"/>
      <c r="V21" s="226"/>
      <c r="W21" s="226"/>
      <c r="X21" s="226"/>
      <c r="Y21" s="226"/>
      <c r="Z21" s="226"/>
      <c r="AA21" s="233">
        <f t="shared" si="1"/>
        <v>10.332000000000001</v>
      </c>
      <c r="AB21" s="233">
        <f t="shared" si="2"/>
        <v>12.739174193481931</v>
      </c>
      <c r="AC21" s="233">
        <f t="shared" si="3"/>
        <v>7.9248258065180703</v>
      </c>
      <c r="AD21">
        <v>2.95</v>
      </c>
      <c r="AE21" s="233">
        <f t="shared" si="4"/>
        <v>7.9374301675977676</v>
      </c>
      <c r="AF21" s="233">
        <f t="shared" si="5"/>
        <v>8.0830597168027865</v>
      </c>
      <c r="AG21" s="233">
        <f t="shared" si="6"/>
        <v>7.7918006183927488</v>
      </c>
      <c r="AH21">
        <v>6.5</v>
      </c>
      <c r="AI21" s="233">
        <f t="shared" si="7"/>
        <v>3.3601117318435763</v>
      </c>
      <c r="AJ21" s="233">
        <f t="shared" si="8"/>
        <v>6.3851512410714601</v>
      </c>
      <c r="AK21" s="233">
        <f t="shared" si="9"/>
        <v>0.33507222261569281</v>
      </c>
      <c r="AL21">
        <v>7</v>
      </c>
      <c r="AM21" s="233">
        <f t="shared" si="10"/>
        <v>48.104347826086951</v>
      </c>
      <c r="AN21" s="233">
        <f t="shared" si="11"/>
        <v>52.277593646348265</v>
      </c>
      <c r="AO21" s="233">
        <f t="shared" si="12"/>
        <v>43.931102005825636</v>
      </c>
      <c r="AP21" s="233">
        <f t="shared" si="13"/>
        <v>2.0655865921787711</v>
      </c>
      <c r="AQ21" s="233">
        <f t="shared" si="14"/>
        <v>3.1665882132978602</v>
      </c>
      <c r="AR21" s="233">
        <f t="shared" si="15"/>
        <v>0.96458497105968211</v>
      </c>
      <c r="AS21" s="235">
        <f t="shared" si="16"/>
        <v>33.105027932960894</v>
      </c>
      <c r="AT21" s="235">
        <f t="shared" si="17"/>
        <v>50.535961542150602</v>
      </c>
      <c r="AU21" s="235">
        <f t="shared" si="18"/>
        <v>15.67409432377119</v>
      </c>
      <c r="AV21">
        <v>100</v>
      </c>
      <c r="AW21" s="235">
        <f t="shared" si="19"/>
        <v>62.766666666666666</v>
      </c>
      <c r="AX21" s="235">
        <f t="shared" si="20"/>
        <v>80.98511149172171</v>
      </c>
      <c r="AY21" s="235">
        <f t="shared" si="21"/>
        <v>44.548221841611614</v>
      </c>
      <c r="AZ21" s="235">
        <f t="shared" si="22"/>
        <v>2941.6666666666665</v>
      </c>
      <c r="BA21" s="235">
        <f t="shared" si="23"/>
        <v>4966.9775952753826</v>
      </c>
      <c r="BB21" s="235">
        <f t="shared" si="24"/>
        <v>916.35573805795048</v>
      </c>
      <c r="BC21" s="235">
        <f t="shared" si="25"/>
        <v>53.18888888888889</v>
      </c>
      <c r="BD21" s="235">
        <f t="shared" si="26"/>
        <v>112.67052202318322</v>
      </c>
      <c r="BE21" s="235">
        <f t="shared" si="27"/>
        <v>-6.2927442454054372</v>
      </c>
      <c r="BF21" s="235">
        <f t="shared" si="28"/>
        <v>3577.2222222222222</v>
      </c>
      <c r="BG21" s="235">
        <f t="shared" si="29"/>
        <v>5636.1265941907786</v>
      </c>
      <c r="BH21" s="235">
        <f t="shared" si="30"/>
        <v>1518.3178502536657</v>
      </c>
      <c r="BI21">
        <v>5000</v>
      </c>
      <c r="BJ21" s="235">
        <f t="shared" si="31"/>
        <v>0</v>
      </c>
      <c r="BK21" s="235">
        <f t="shared" si="32"/>
        <v>0</v>
      </c>
      <c r="BL21" s="235">
        <f t="shared" si="33"/>
        <v>0</v>
      </c>
      <c r="BO21" s="235">
        <f t="shared" si="34"/>
        <v>40526</v>
      </c>
      <c r="CD21" s="533">
        <f t="shared" si="35"/>
        <v>0.1</v>
      </c>
      <c r="CE21" s="102">
        <f t="shared" si="36"/>
        <v>13.9</v>
      </c>
      <c r="CF21" s="102">
        <f t="shared" si="37"/>
        <v>95</v>
      </c>
      <c r="CG21" s="102">
        <f t="shared" si="38"/>
        <v>7.92</v>
      </c>
      <c r="CH21" s="102">
        <f t="shared" si="39"/>
        <v>4.2</v>
      </c>
      <c r="CI21" s="102" t="str">
        <f t="shared" si="40"/>
        <v/>
      </c>
      <c r="CJ21" s="102">
        <f t="shared" si="41"/>
        <v>3.4</v>
      </c>
      <c r="CK21" s="102">
        <f t="shared" si="42"/>
        <v>36</v>
      </c>
      <c r="CL21" s="102">
        <f t="shared" si="43"/>
        <v>54</v>
      </c>
      <c r="CM21" s="102">
        <f t="shared" si="44"/>
        <v>5100</v>
      </c>
      <c r="CN21" s="102">
        <f t="shared" si="45"/>
        <v>100</v>
      </c>
      <c r="CO21" s="102">
        <f t="shared" si="46"/>
        <v>6200</v>
      </c>
      <c r="CP21" s="102" t="str">
        <f t="shared" si="47"/>
        <v/>
      </c>
    </row>
    <row r="22" spans="2:94">
      <c r="B22" t="s">
        <v>252</v>
      </c>
      <c r="C22" s="231">
        <v>40554</v>
      </c>
      <c r="D22" s="233">
        <v>0.2</v>
      </c>
      <c r="E22" s="233">
        <v>13.7</v>
      </c>
      <c r="F22" s="235">
        <v>94</v>
      </c>
      <c r="G22" s="233">
        <v>7.87</v>
      </c>
      <c r="H22" s="233">
        <v>6</v>
      </c>
      <c r="J22" s="233">
        <v>2.6</v>
      </c>
      <c r="K22" s="235">
        <v>31</v>
      </c>
      <c r="L22" s="235">
        <v>56</v>
      </c>
      <c r="M22" s="235">
        <v>4400</v>
      </c>
      <c r="N22" s="235">
        <v>170</v>
      </c>
      <c r="O22" s="235">
        <v>5300</v>
      </c>
      <c r="Q22">
        <v>2011</v>
      </c>
      <c r="R22">
        <v>1</v>
      </c>
      <c r="T22" s="226"/>
      <c r="U22" s="226"/>
      <c r="V22" s="226"/>
      <c r="W22" s="226"/>
      <c r="X22" s="226"/>
      <c r="Y22" s="226"/>
      <c r="Z22" s="226"/>
      <c r="AA22" s="233">
        <f t="shared" si="1"/>
        <v>10.332000000000001</v>
      </c>
      <c r="AB22" s="233">
        <f t="shared" si="2"/>
        <v>12.739174193481931</v>
      </c>
      <c r="AC22" s="233">
        <f t="shared" si="3"/>
        <v>7.9248258065180703</v>
      </c>
      <c r="AD22">
        <v>2.95</v>
      </c>
      <c r="AE22" s="233">
        <f t="shared" si="4"/>
        <v>7.9374301675977676</v>
      </c>
      <c r="AF22" s="233">
        <f t="shared" si="5"/>
        <v>8.0830597168027865</v>
      </c>
      <c r="AG22" s="233">
        <f t="shared" si="6"/>
        <v>7.7918006183927488</v>
      </c>
      <c r="AH22">
        <v>6.5</v>
      </c>
      <c r="AI22" s="233">
        <f t="shared" si="7"/>
        <v>3.3601117318435763</v>
      </c>
      <c r="AJ22" s="233">
        <f t="shared" si="8"/>
        <v>6.3851512410714601</v>
      </c>
      <c r="AK22" s="233">
        <f t="shared" si="9"/>
        <v>0.33507222261569281</v>
      </c>
      <c r="AL22">
        <v>7</v>
      </c>
      <c r="AM22" s="233">
        <f t="shared" si="10"/>
        <v>48.104347826086951</v>
      </c>
      <c r="AN22" s="233">
        <f t="shared" si="11"/>
        <v>52.277593646348265</v>
      </c>
      <c r="AO22" s="233">
        <f t="shared" si="12"/>
        <v>43.931102005825636</v>
      </c>
      <c r="AP22" s="233">
        <f t="shared" si="13"/>
        <v>2.0655865921787711</v>
      </c>
      <c r="AQ22" s="233">
        <f t="shared" si="14"/>
        <v>3.1665882132978602</v>
      </c>
      <c r="AR22" s="233">
        <f t="shared" si="15"/>
        <v>0.96458497105968211</v>
      </c>
      <c r="AS22" s="235">
        <f t="shared" si="16"/>
        <v>33.105027932960894</v>
      </c>
      <c r="AT22" s="235">
        <f t="shared" si="17"/>
        <v>50.535961542150602</v>
      </c>
      <c r="AU22" s="235">
        <f t="shared" si="18"/>
        <v>15.67409432377119</v>
      </c>
      <c r="AV22">
        <v>100</v>
      </c>
      <c r="AW22" s="235">
        <f t="shared" si="19"/>
        <v>62.766666666666666</v>
      </c>
      <c r="AX22" s="235">
        <f t="shared" si="20"/>
        <v>80.98511149172171</v>
      </c>
      <c r="AY22" s="235">
        <f t="shared" si="21"/>
        <v>44.548221841611614</v>
      </c>
      <c r="AZ22" s="235">
        <f t="shared" si="22"/>
        <v>2941.6666666666665</v>
      </c>
      <c r="BA22" s="235">
        <f t="shared" si="23"/>
        <v>4966.9775952753826</v>
      </c>
      <c r="BB22" s="235">
        <f t="shared" si="24"/>
        <v>916.35573805795048</v>
      </c>
      <c r="BC22" s="235">
        <f t="shared" si="25"/>
        <v>53.18888888888889</v>
      </c>
      <c r="BD22" s="235">
        <f t="shared" si="26"/>
        <v>112.67052202318322</v>
      </c>
      <c r="BE22" s="235">
        <f t="shared" si="27"/>
        <v>-6.2927442454054372</v>
      </c>
      <c r="BF22" s="235">
        <f t="shared" si="28"/>
        <v>3577.2222222222222</v>
      </c>
      <c r="BG22" s="235">
        <f t="shared" si="29"/>
        <v>5636.1265941907786</v>
      </c>
      <c r="BH22" s="235">
        <f t="shared" si="30"/>
        <v>1518.3178502536657</v>
      </c>
      <c r="BI22">
        <v>5000</v>
      </c>
      <c r="BJ22" s="235">
        <f t="shared" si="31"/>
        <v>0</v>
      </c>
      <c r="BK22" s="235">
        <f t="shared" si="32"/>
        <v>0</v>
      </c>
      <c r="BL22" s="235">
        <f t="shared" si="33"/>
        <v>0</v>
      </c>
      <c r="BO22" s="235">
        <f t="shared" si="34"/>
        <v>40554</v>
      </c>
      <c r="CD22" s="533">
        <f t="shared" si="35"/>
        <v>0.2</v>
      </c>
      <c r="CE22" s="102">
        <f t="shared" si="36"/>
        <v>13.7</v>
      </c>
      <c r="CF22" s="102">
        <f t="shared" si="37"/>
        <v>94</v>
      </c>
      <c r="CG22" s="102">
        <f t="shared" si="38"/>
        <v>7.87</v>
      </c>
      <c r="CH22" s="102">
        <f t="shared" si="39"/>
        <v>6</v>
      </c>
      <c r="CI22" s="102" t="str">
        <f t="shared" si="40"/>
        <v/>
      </c>
      <c r="CJ22" s="102">
        <f t="shared" si="41"/>
        <v>2.6</v>
      </c>
      <c r="CK22" s="102">
        <f t="shared" si="42"/>
        <v>31</v>
      </c>
      <c r="CL22" s="102">
        <f t="shared" si="43"/>
        <v>56</v>
      </c>
      <c r="CM22" s="102">
        <f t="shared" si="44"/>
        <v>4400</v>
      </c>
      <c r="CN22" s="102">
        <f t="shared" si="45"/>
        <v>170</v>
      </c>
      <c r="CO22" s="102">
        <f t="shared" si="46"/>
        <v>5300</v>
      </c>
      <c r="CP22" s="102" t="str">
        <f t="shared" si="47"/>
        <v/>
      </c>
    </row>
    <row r="23" spans="2:94">
      <c r="B23" t="s">
        <v>252</v>
      </c>
      <c r="C23" s="231">
        <v>40589</v>
      </c>
      <c r="D23" s="233">
        <v>0.1</v>
      </c>
      <c r="E23" s="233">
        <v>14.1</v>
      </c>
      <c r="F23" s="235">
        <v>97</v>
      </c>
      <c r="G23" s="233">
        <v>7.95</v>
      </c>
      <c r="H23" s="233">
        <v>9.4</v>
      </c>
      <c r="J23" s="233">
        <v>4.8</v>
      </c>
      <c r="K23" s="235">
        <v>36</v>
      </c>
      <c r="L23" s="235">
        <v>63</v>
      </c>
      <c r="M23" s="235">
        <v>3800</v>
      </c>
      <c r="N23" s="235">
        <v>120</v>
      </c>
      <c r="O23" s="235">
        <v>5000</v>
      </c>
      <c r="Q23">
        <v>2011</v>
      </c>
      <c r="R23">
        <v>2</v>
      </c>
      <c r="T23" s="226"/>
      <c r="U23" s="226"/>
      <c r="V23" s="226"/>
      <c r="W23" s="226"/>
      <c r="X23" s="226"/>
      <c r="Y23" s="226"/>
      <c r="Z23" s="226"/>
      <c r="AA23" s="233">
        <f t="shared" si="1"/>
        <v>10.332000000000001</v>
      </c>
      <c r="AB23" s="233">
        <f t="shared" si="2"/>
        <v>12.739174193481931</v>
      </c>
      <c r="AC23" s="233">
        <f t="shared" si="3"/>
        <v>7.9248258065180703</v>
      </c>
      <c r="AD23">
        <v>2.95</v>
      </c>
      <c r="AE23" s="233">
        <f t="shared" si="4"/>
        <v>7.9374301675977676</v>
      </c>
      <c r="AF23" s="233">
        <f t="shared" si="5"/>
        <v>8.0830597168027865</v>
      </c>
      <c r="AG23" s="233">
        <f t="shared" si="6"/>
        <v>7.7918006183927488</v>
      </c>
      <c r="AH23">
        <v>6.5</v>
      </c>
      <c r="AI23" s="233">
        <f t="shared" si="7"/>
        <v>3.3601117318435763</v>
      </c>
      <c r="AJ23" s="233">
        <f t="shared" si="8"/>
        <v>6.3851512410714601</v>
      </c>
      <c r="AK23" s="233">
        <f t="shared" si="9"/>
        <v>0.33507222261569281</v>
      </c>
      <c r="AL23">
        <v>7</v>
      </c>
      <c r="AM23" s="233">
        <f t="shared" si="10"/>
        <v>48.104347826086951</v>
      </c>
      <c r="AN23" s="233">
        <f t="shared" si="11"/>
        <v>52.277593646348265</v>
      </c>
      <c r="AO23" s="233">
        <f t="shared" si="12"/>
        <v>43.931102005825636</v>
      </c>
      <c r="AP23" s="233">
        <f t="shared" si="13"/>
        <v>2.0655865921787711</v>
      </c>
      <c r="AQ23" s="233">
        <f t="shared" si="14"/>
        <v>3.1665882132978602</v>
      </c>
      <c r="AR23" s="233">
        <f t="shared" si="15"/>
        <v>0.96458497105968211</v>
      </c>
      <c r="AS23" s="235">
        <f t="shared" si="16"/>
        <v>33.105027932960894</v>
      </c>
      <c r="AT23" s="235">
        <f t="shared" si="17"/>
        <v>50.535961542150602</v>
      </c>
      <c r="AU23" s="235">
        <f t="shared" si="18"/>
        <v>15.67409432377119</v>
      </c>
      <c r="AV23">
        <v>100</v>
      </c>
      <c r="AW23" s="235">
        <f t="shared" si="19"/>
        <v>62.766666666666666</v>
      </c>
      <c r="AX23" s="235">
        <f t="shared" si="20"/>
        <v>80.98511149172171</v>
      </c>
      <c r="AY23" s="235">
        <f t="shared" si="21"/>
        <v>44.548221841611614</v>
      </c>
      <c r="AZ23" s="235">
        <f t="shared" si="22"/>
        <v>2941.6666666666665</v>
      </c>
      <c r="BA23" s="235">
        <f t="shared" si="23"/>
        <v>4966.9775952753826</v>
      </c>
      <c r="BB23" s="235">
        <f t="shared" si="24"/>
        <v>916.35573805795048</v>
      </c>
      <c r="BC23" s="235">
        <f t="shared" si="25"/>
        <v>53.18888888888889</v>
      </c>
      <c r="BD23" s="235">
        <f t="shared" si="26"/>
        <v>112.67052202318322</v>
      </c>
      <c r="BE23" s="235">
        <f t="shared" si="27"/>
        <v>-6.2927442454054372</v>
      </c>
      <c r="BF23" s="235">
        <f t="shared" si="28"/>
        <v>3577.2222222222222</v>
      </c>
      <c r="BG23" s="235">
        <f t="shared" si="29"/>
        <v>5636.1265941907786</v>
      </c>
      <c r="BH23" s="235">
        <f t="shared" si="30"/>
        <v>1518.3178502536657</v>
      </c>
      <c r="BI23">
        <v>5000</v>
      </c>
      <c r="BJ23" s="235">
        <f t="shared" si="31"/>
        <v>0</v>
      </c>
      <c r="BK23" s="235">
        <f t="shared" si="32"/>
        <v>0</v>
      </c>
      <c r="BL23" s="235">
        <f t="shared" si="33"/>
        <v>0</v>
      </c>
      <c r="BO23" s="235">
        <f t="shared" si="34"/>
        <v>40589</v>
      </c>
      <c r="CD23" s="533">
        <f t="shared" si="35"/>
        <v>0.1</v>
      </c>
      <c r="CE23" s="102">
        <f t="shared" si="36"/>
        <v>14.1</v>
      </c>
      <c r="CF23" s="102">
        <f t="shared" si="37"/>
        <v>97</v>
      </c>
      <c r="CG23" s="102">
        <f t="shared" si="38"/>
        <v>7.95</v>
      </c>
      <c r="CH23" s="102">
        <f t="shared" si="39"/>
        <v>9.4</v>
      </c>
      <c r="CI23" s="102" t="str">
        <f t="shared" si="40"/>
        <v/>
      </c>
      <c r="CJ23" s="102">
        <f t="shared" si="41"/>
        <v>4.8</v>
      </c>
      <c r="CK23" s="102">
        <f t="shared" si="42"/>
        <v>36</v>
      </c>
      <c r="CL23" s="102">
        <f t="shared" si="43"/>
        <v>63</v>
      </c>
      <c r="CM23" s="102">
        <f t="shared" si="44"/>
        <v>3800</v>
      </c>
      <c r="CN23" s="102">
        <f t="shared" si="45"/>
        <v>120</v>
      </c>
      <c r="CO23" s="102">
        <f t="shared" si="46"/>
        <v>5000</v>
      </c>
      <c r="CP23" s="102" t="str">
        <f t="shared" si="47"/>
        <v/>
      </c>
    </row>
    <row r="24" spans="2:94">
      <c r="B24" t="s">
        <v>252</v>
      </c>
      <c r="C24" s="231">
        <v>40612</v>
      </c>
      <c r="D24" s="233">
        <v>2</v>
      </c>
      <c r="E24" s="233">
        <v>13.1</v>
      </c>
      <c r="F24" s="235">
        <v>95</v>
      </c>
      <c r="G24" s="233">
        <v>7.95</v>
      </c>
      <c r="H24" s="233">
        <v>6.8</v>
      </c>
      <c r="J24" s="233">
        <v>4.3</v>
      </c>
      <c r="K24" s="235">
        <v>30</v>
      </c>
      <c r="L24" s="235">
        <v>65</v>
      </c>
      <c r="M24" s="235">
        <v>3100</v>
      </c>
      <c r="N24" s="235">
        <v>180</v>
      </c>
      <c r="O24" s="235">
        <v>4100</v>
      </c>
      <c r="Q24">
        <v>2011</v>
      </c>
      <c r="R24">
        <v>3</v>
      </c>
      <c r="T24" s="226"/>
      <c r="U24" s="226"/>
      <c r="V24" s="226"/>
      <c r="W24" s="226"/>
      <c r="X24" s="226"/>
      <c r="Y24" s="226"/>
      <c r="Z24" s="226"/>
      <c r="AA24" s="233">
        <f t="shared" si="1"/>
        <v>10.332000000000001</v>
      </c>
      <c r="AB24" s="233">
        <f t="shared" si="2"/>
        <v>12.739174193481931</v>
      </c>
      <c r="AC24" s="233">
        <f t="shared" si="3"/>
        <v>7.9248258065180703</v>
      </c>
      <c r="AD24">
        <v>2.95</v>
      </c>
      <c r="AE24" s="233">
        <f t="shared" si="4"/>
        <v>7.9374301675977676</v>
      </c>
      <c r="AF24" s="233">
        <f t="shared" si="5"/>
        <v>8.0830597168027865</v>
      </c>
      <c r="AG24" s="233">
        <f t="shared" si="6"/>
        <v>7.7918006183927488</v>
      </c>
      <c r="AH24">
        <v>6.5</v>
      </c>
      <c r="AI24" s="233">
        <f t="shared" si="7"/>
        <v>3.3601117318435763</v>
      </c>
      <c r="AJ24" s="233">
        <f t="shared" si="8"/>
        <v>6.3851512410714601</v>
      </c>
      <c r="AK24" s="233">
        <f t="shared" si="9"/>
        <v>0.33507222261569281</v>
      </c>
      <c r="AL24">
        <v>7</v>
      </c>
      <c r="AM24" s="233">
        <f t="shared" si="10"/>
        <v>48.104347826086951</v>
      </c>
      <c r="AN24" s="233">
        <f t="shared" si="11"/>
        <v>52.277593646348265</v>
      </c>
      <c r="AO24" s="233">
        <f t="shared" si="12"/>
        <v>43.931102005825636</v>
      </c>
      <c r="AP24" s="233">
        <f t="shared" si="13"/>
        <v>2.0655865921787711</v>
      </c>
      <c r="AQ24" s="233">
        <f t="shared" si="14"/>
        <v>3.1665882132978602</v>
      </c>
      <c r="AR24" s="233">
        <f t="shared" si="15"/>
        <v>0.96458497105968211</v>
      </c>
      <c r="AS24" s="235">
        <f t="shared" si="16"/>
        <v>33.105027932960894</v>
      </c>
      <c r="AT24" s="235">
        <f t="shared" si="17"/>
        <v>50.535961542150602</v>
      </c>
      <c r="AU24" s="235">
        <f t="shared" si="18"/>
        <v>15.67409432377119</v>
      </c>
      <c r="AV24">
        <v>100</v>
      </c>
      <c r="AW24" s="235">
        <f t="shared" si="19"/>
        <v>62.766666666666666</v>
      </c>
      <c r="AX24" s="235">
        <f t="shared" si="20"/>
        <v>80.98511149172171</v>
      </c>
      <c r="AY24" s="235">
        <f t="shared" si="21"/>
        <v>44.548221841611614</v>
      </c>
      <c r="AZ24" s="235">
        <f t="shared" si="22"/>
        <v>2941.6666666666665</v>
      </c>
      <c r="BA24" s="235">
        <f t="shared" si="23"/>
        <v>4966.9775952753826</v>
      </c>
      <c r="BB24" s="235">
        <f t="shared" si="24"/>
        <v>916.35573805795048</v>
      </c>
      <c r="BC24" s="235">
        <f t="shared" si="25"/>
        <v>53.18888888888889</v>
      </c>
      <c r="BD24" s="235">
        <f t="shared" si="26"/>
        <v>112.67052202318322</v>
      </c>
      <c r="BE24" s="235">
        <f t="shared" si="27"/>
        <v>-6.2927442454054372</v>
      </c>
      <c r="BF24" s="235">
        <f t="shared" si="28"/>
        <v>3577.2222222222222</v>
      </c>
      <c r="BG24" s="235">
        <f t="shared" si="29"/>
        <v>5636.1265941907786</v>
      </c>
      <c r="BH24" s="235">
        <f t="shared" si="30"/>
        <v>1518.3178502536657</v>
      </c>
      <c r="BI24">
        <v>5000</v>
      </c>
      <c r="BJ24" s="235">
        <f t="shared" si="31"/>
        <v>0</v>
      </c>
      <c r="BK24" s="235">
        <f t="shared" si="32"/>
        <v>0</v>
      </c>
      <c r="BL24" s="235">
        <f t="shared" si="33"/>
        <v>0</v>
      </c>
      <c r="BO24" s="235">
        <f t="shared" si="34"/>
        <v>40612</v>
      </c>
      <c r="CD24" s="533">
        <f t="shared" si="35"/>
        <v>2</v>
      </c>
      <c r="CE24" s="102">
        <f t="shared" si="36"/>
        <v>13.1</v>
      </c>
      <c r="CF24" s="102">
        <f t="shared" si="37"/>
        <v>95</v>
      </c>
      <c r="CG24" s="102">
        <f t="shared" si="38"/>
        <v>7.95</v>
      </c>
      <c r="CH24" s="102">
        <f t="shared" si="39"/>
        <v>6.8</v>
      </c>
      <c r="CI24" s="102" t="str">
        <f t="shared" si="40"/>
        <v/>
      </c>
      <c r="CJ24" s="102">
        <f t="shared" si="41"/>
        <v>4.3</v>
      </c>
      <c r="CK24" s="102">
        <f t="shared" si="42"/>
        <v>30</v>
      </c>
      <c r="CL24" s="102">
        <f t="shared" si="43"/>
        <v>65</v>
      </c>
      <c r="CM24" s="102">
        <f t="shared" si="44"/>
        <v>3100</v>
      </c>
      <c r="CN24" s="102">
        <f t="shared" si="45"/>
        <v>180</v>
      </c>
      <c r="CO24" s="102">
        <f t="shared" si="46"/>
        <v>4100</v>
      </c>
      <c r="CP24" s="102" t="str">
        <f t="shared" si="47"/>
        <v/>
      </c>
    </row>
    <row r="25" spans="2:94">
      <c r="B25" t="s">
        <v>252</v>
      </c>
      <c r="C25" s="231">
        <v>40646</v>
      </c>
      <c r="D25" s="233">
        <v>8.8000000000000007</v>
      </c>
      <c r="E25" s="233">
        <v>10.6</v>
      </c>
      <c r="F25" s="235">
        <v>92</v>
      </c>
      <c r="G25" s="233">
        <v>8.02</v>
      </c>
      <c r="H25" s="233">
        <v>3</v>
      </c>
      <c r="J25" s="233">
        <v>2.25</v>
      </c>
      <c r="K25" s="235">
        <v>12</v>
      </c>
      <c r="L25" s="235">
        <v>34</v>
      </c>
      <c r="M25" s="235">
        <v>2900</v>
      </c>
      <c r="N25" s="235">
        <v>49</v>
      </c>
      <c r="O25" s="235">
        <v>3500</v>
      </c>
      <c r="Q25">
        <v>2011</v>
      </c>
      <c r="R25">
        <v>4</v>
      </c>
      <c r="T25" s="226"/>
      <c r="U25" s="226"/>
      <c r="V25" s="226"/>
      <c r="W25" s="226"/>
      <c r="X25" s="226"/>
      <c r="Y25" s="226"/>
      <c r="Z25" s="226"/>
      <c r="AA25" s="233">
        <f t="shared" si="1"/>
        <v>10.332000000000001</v>
      </c>
      <c r="AB25" s="233">
        <f t="shared" si="2"/>
        <v>12.739174193481931</v>
      </c>
      <c r="AC25" s="233">
        <f t="shared" si="3"/>
        <v>7.9248258065180703</v>
      </c>
      <c r="AD25">
        <v>2.95</v>
      </c>
      <c r="AE25" s="233">
        <f t="shared" si="4"/>
        <v>7.9374301675977676</v>
      </c>
      <c r="AF25" s="233">
        <f t="shared" si="5"/>
        <v>8.0830597168027865</v>
      </c>
      <c r="AG25" s="233">
        <f t="shared" si="6"/>
        <v>7.7918006183927488</v>
      </c>
      <c r="AH25">
        <v>6.5</v>
      </c>
      <c r="AI25" s="233">
        <f t="shared" si="7"/>
        <v>3.3601117318435763</v>
      </c>
      <c r="AJ25" s="233">
        <f t="shared" si="8"/>
        <v>6.3851512410714601</v>
      </c>
      <c r="AK25" s="233">
        <f t="shared" si="9"/>
        <v>0.33507222261569281</v>
      </c>
      <c r="AL25">
        <v>7</v>
      </c>
      <c r="AM25" s="233">
        <f t="shared" si="10"/>
        <v>48.104347826086951</v>
      </c>
      <c r="AN25" s="233">
        <f t="shared" si="11"/>
        <v>52.277593646348265</v>
      </c>
      <c r="AO25" s="233">
        <f t="shared" si="12"/>
        <v>43.931102005825636</v>
      </c>
      <c r="AP25" s="233">
        <f t="shared" si="13"/>
        <v>2.0655865921787711</v>
      </c>
      <c r="AQ25" s="233">
        <f t="shared" si="14"/>
        <v>3.1665882132978602</v>
      </c>
      <c r="AR25" s="233">
        <f t="shared" si="15"/>
        <v>0.96458497105968211</v>
      </c>
      <c r="AS25" s="235">
        <f t="shared" si="16"/>
        <v>33.105027932960894</v>
      </c>
      <c r="AT25" s="235">
        <f t="shared" si="17"/>
        <v>50.535961542150602</v>
      </c>
      <c r="AU25" s="235">
        <f t="shared" si="18"/>
        <v>15.67409432377119</v>
      </c>
      <c r="AV25">
        <v>100</v>
      </c>
      <c r="AW25" s="235">
        <f t="shared" si="19"/>
        <v>62.766666666666666</v>
      </c>
      <c r="AX25" s="235">
        <f t="shared" si="20"/>
        <v>80.98511149172171</v>
      </c>
      <c r="AY25" s="235">
        <f t="shared" si="21"/>
        <v>44.548221841611614</v>
      </c>
      <c r="AZ25" s="235">
        <f t="shared" si="22"/>
        <v>2941.6666666666665</v>
      </c>
      <c r="BA25" s="235">
        <f t="shared" si="23"/>
        <v>4966.9775952753826</v>
      </c>
      <c r="BB25" s="235">
        <f t="shared" si="24"/>
        <v>916.35573805795048</v>
      </c>
      <c r="BC25" s="235">
        <f t="shared" si="25"/>
        <v>53.18888888888889</v>
      </c>
      <c r="BD25" s="235">
        <f t="shared" si="26"/>
        <v>112.67052202318322</v>
      </c>
      <c r="BE25" s="235">
        <f t="shared" si="27"/>
        <v>-6.2927442454054372</v>
      </c>
      <c r="BF25" s="235">
        <f t="shared" si="28"/>
        <v>3577.2222222222222</v>
      </c>
      <c r="BG25" s="235">
        <f t="shared" si="29"/>
        <v>5636.1265941907786</v>
      </c>
      <c r="BH25" s="235">
        <f t="shared" si="30"/>
        <v>1518.3178502536657</v>
      </c>
      <c r="BI25">
        <v>5000</v>
      </c>
      <c r="BJ25" s="235">
        <f t="shared" si="31"/>
        <v>0</v>
      </c>
      <c r="BK25" s="235">
        <f t="shared" si="32"/>
        <v>0</v>
      </c>
      <c r="BL25" s="235">
        <f t="shared" si="33"/>
        <v>0</v>
      </c>
      <c r="BO25" s="235">
        <f t="shared" si="34"/>
        <v>40646</v>
      </c>
      <c r="CD25" s="533">
        <f t="shared" si="35"/>
        <v>8.8000000000000007</v>
      </c>
      <c r="CE25" s="102">
        <f t="shared" si="36"/>
        <v>10.6</v>
      </c>
      <c r="CF25" s="102">
        <f t="shared" si="37"/>
        <v>92</v>
      </c>
      <c r="CG25" s="102">
        <f t="shared" si="38"/>
        <v>8.02</v>
      </c>
      <c r="CH25" s="102">
        <f t="shared" si="39"/>
        <v>3</v>
      </c>
      <c r="CI25" s="102" t="str">
        <f t="shared" si="40"/>
        <v/>
      </c>
      <c r="CJ25" s="102">
        <f t="shared" si="41"/>
        <v>2.25</v>
      </c>
      <c r="CK25" s="102">
        <f t="shared" si="42"/>
        <v>12</v>
      </c>
      <c r="CL25" s="102">
        <f t="shared" si="43"/>
        <v>34</v>
      </c>
      <c r="CM25" s="102">
        <f t="shared" si="44"/>
        <v>2900</v>
      </c>
      <c r="CN25" s="102">
        <f t="shared" si="45"/>
        <v>49</v>
      </c>
      <c r="CO25" s="102">
        <f t="shared" si="46"/>
        <v>3500</v>
      </c>
      <c r="CP25" s="102" t="str">
        <f t="shared" si="47"/>
        <v/>
      </c>
    </row>
    <row r="26" spans="2:94">
      <c r="B26" t="s">
        <v>252</v>
      </c>
      <c r="C26" s="231">
        <v>40673</v>
      </c>
      <c r="D26" s="233">
        <v>14</v>
      </c>
      <c r="E26" s="233">
        <v>9.1199999999999992</v>
      </c>
      <c r="F26" s="235">
        <v>89</v>
      </c>
      <c r="G26" s="233">
        <v>8</v>
      </c>
      <c r="H26" s="233">
        <v>2.5</v>
      </c>
      <c r="J26" s="233">
        <v>3.3</v>
      </c>
      <c r="K26" s="235">
        <v>13</v>
      </c>
      <c r="L26" s="235">
        <v>42</v>
      </c>
      <c r="M26" s="235">
        <v>1500</v>
      </c>
      <c r="N26" s="235">
        <v>27</v>
      </c>
      <c r="O26" s="235">
        <v>2500</v>
      </c>
      <c r="Q26">
        <v>2011</v>
      </c>
      <c r="R26">
        <v>5</v>
      </c>
      <c r="T26" s="226"/>
      <c r="U26" s="226"/>
      <c r="V26" s="226"/>
      <c r="W26" s="226"/>
      <c r="X26" s="226"/>
      <c r="Y26" s="226"/>
      <c r="Z26" s="226"/>
      <c r="AA26" s="233">
        <f t="shared" si="1"/>
        <v>10.332000000000001</v>
      </c>
      <c r="AB26" s="233">
        <f t="shared" si="2"/>
        <v>12.739174193481931</v>
      </c>
      <c r="AC26" s="233">
        <f t="shared" si="3"/>
        <v>7.9248258065180703</v>
      </c>
      <c r="AD26">
        <v>2.95</v>
      </c>
      <c r="AE26" s="233">
        <f t="shared" si="4"/>
        <v>7.9374301675977676</v>
      </c>
      <c r="AF26" s="233">
        <f t="shared" si="5"/>
        <v>8.0830597168027865</v>
      </c>
      <c r="AG26" s="233">
        <f t="shared" si="6"/>
        <v>7.7918006183927488</v>
      </c>
      <c r="AH26">
        <v>6.5</v>
      </c>
      <c r="AI26" s="233">
        <f t="shared" si="7"/>
        <v>3.3601117318435763</v>
      </c>
      <c r="AJ26" s="233">
        <f t="shared" si="8"/>
        <v>6.3851512410714601</v>
      </c>
      <c r="AK26" s="233">
        <f t="shared" si="9"/>
        <v>0.33507222261569281</v>
      </c>
      <c r="AL26">
        <v>7</v>
      </c>
      <c r="AM26" s="233">
        <f t="shared" si="10"/>
        <v>48.104347826086951</v>
      </c>
      <c r="AN26" s="233">
        <f t="shared" si="11"/>
        <v>52.277593646348265</v>
      </c>
      <c r="AO26" s="233">
        <f t="shared" si="12"/>
        <v>43.931102005825636</v>
      </c>
      <c r="AP26" s="233">
        <f t="shared" si="13"/>
        <v>2.0655865921787711</v>
      </c>
      <c r="AQ26" s="233">
        <f t="shared" si="14"/>
        <v>3.1665882132978602</v>
      </c>
      <c r="AR26" s="233">
        <f t="shared" si="15"/>
        <v>0.96458497105968211</v>
      </c>
      <c r="AS26" s="235">
        <f t="shared" si="16"/>
        <v>33.105027932960894</v>
      </c>
      <c r="AT26" s="235">
        <f t="shared" si="17"/>
        <v>50.535961542150602</v>
      </c>
      <c r="AU26" s="235">
        <f t="shared" si="18"/>
        <v>15.67409432377119</v>
      </c>
      <c r="AV26">
        <v>100</v>
      </c>
      <c r="AW26" s="235">
        <f t="shared" si="19"/>
        <v>62.766666666666666</v>
      </c>
      <c r="AX26" s="235">
        <f t="shared" si="20"/>
        <v>80.98511149172171</v>
      </c>
      <c r="AY26" s="235">
        <f t="shared" si="21"/>
        <v>44.548221841611614</v>
      </c>
      <c r="AZ26" s="235">
        <f t="shared" si="22"/>
        <v>2941.6666666666665</v>
      </c>
      <c r="BA26" s="235">
        <f t="shared" si="23"/>
        <v>4966.9775952753826</v>
      </c>
      <c r="BB26" s="235">
        <f t="shared" si="24"/>
        <v>916.35573805795048</v>
      </c>
      <c r="BC26" s="235">
        <f t="shared" si="25"/>
        <v>53.18888888888889</v>
      </c>
      <c r="BD26" s="235">
        <f t="shared" si="26"/>
        <v>112.67052202318322</v>
      </c>
      <c r="BE26" s="235">
        <f t="shared" si="27"/>
        <v>-6.2927442454054372</v>
      </c>
      <c r="BF26" s="235">
        <f t="shared" si="28"/>
        <v>3577.2222222222222</v>
      </c>
      <c r="BG26" s="235">
        <f t="shared" si="29"/>
        <v>5636.1265941907786</v>
      </c>
      <c r="BH26" s="235">
        <f t="shared" si="30"/>
        <v>1518.3178502536657</v>
      </c>
      <c r="BI26">
        <v>5000</v>
      </c>
      <c r="BJ26" s="235">
        <f t="shared" si="31"/>
        <v>0</v>
      </c>
      <c r="BK26" s="235">
        <f t="shared" si="32"/>
        <v>0</v>
      </c>
      <c r="BL26" s="235">
        <f t="shared" si="33"/>
        <v>0</v>
      </c>
      <c r="BO26" s="235">
        <f t="shared" si="34"/>
        <v>40673</v>
      </c>
      <c r="CD26" s="533">
        <f t="shared" si="35"/>
        <v>14</v>
      </c>
      <c r="CE26" s="102">
        <f t="shared" si="36"/>
        <v>9.1199999999999992</v>
      </c>
      <c r="CF26" s="102">
        <f t="shared" si="37"/>
        <v>89</v>
      </c>
      <c r="CG26" s="102">
        <f t="shared" si="38"/>
        <v>8</v>
      </c>
      <c r="CH26" s="102">
        <f t="shared" si="39"/>
        <v>2.5</v>
      </c>
      <c r="CI26" s="102" t="str">
        <f t="shared" si="40"/>
        <v/>
      </c>
      <c r="CJ26" s="102">
        <f t="shared" si="41"/>
        <v>3.3</v>
      </c>
      <c r="CK26" s="102">
        <f t="shared" si="42"/>
        <v>13</v>
      </c>
      <c r="CL26" s="102">
        <f t="shared" si="43"/>
        <v>42</v>
      </c>
      <c r="CM26" s="102">
        <f t="shared" si="44"/>
        <v>1500</v>
      </c>
      <c r="CN26" s="102">
        <f t="shared" si="45"/>
        <v>27</v>
      </c>
      <c r="CO26" s="102">
        <f t="shared" si="46"/>
        <v>2500</v>
      </c>
      <c r="CP26" s="102" t="str">
        <f t="shared" si="47"/>
        <v/>
      </c>
    </row>
    <row r="27" spans="2:94">
      <c r="B27" t="s">
        <v>252</v>
      </c>
      <c r="C27" s="231">
        <v>40710</v>
      </c>
      <c r="D27" s="233">
        <v>19.8</v>
      </c>
      <c r="E27" s="233">
        <v>7.8</v>
      </c>
      <c r="F27" s="235">
        <v>85</v>
      </c>
      <c r="G27" s="233">
        <v>7.97</v>
      </c>
      <c r="H27" s="233">
        <v>2.4</v>
      </c>
      <c r="J27" s="233">
        <v>1.65</v>
      </c>
      <c r="K27" s="235">
        <v>41</v>
      </c>
      <c r="L27" s="235">
        <v>120</v>
      </c>
      <c r="M27" s="235">
        <v>1100</v>
      </c>
      <c r="N27" s="235">
        <v>16</v>
      </c>
      <c r="O27" s="235">
        <v>2200</v>
      </c>
      <c r="Q27">
        <v>2011</v>
      </c>
      <c r="R27">
        <v>6</v>
      </c>
      <c r="T27" s="226"/>
      <c r="U27" s="226"/>
      <c r="V27" s="226"/>
      <c r="W27" s="226"/>
      <c r="X27" s="226"/>
      <c r="Y27" s="226"/>
      <c r="Z27" s="226"/>
      <c r="AA27" s="233">
        <f t="shared" si="1"/>
        <v>10.332000000000001</v>
      </c>
      <c r="AB27" s="233">
        <f t="shared" si="2"/>
        <v>12.739174193481931</v>
      </c>
      <c r="AC27" s="233">
        <f t="shared" si="3"/>
        <v>7.9248258065180703</v>
      </c>
      <c r="AD27">
        <v>2.95</v>
      </c>
      <c r="AE27" s="233">
        <f t="shared" si="4"/>
        <v>7.9374301675977676</v>
      </c>
      <c r="AF27" s="233">
        <f t="shared" si="5"/>
        <v>8.0830597168027865</v>
      </c>
      <c r="AG27" s="233">
        <f t="shared" si="6"/>
        <v>7.7918006183927488</v>
      </c>
      <c r="AH27">
        <v>6.5</v>
      </c>
      <c r="AI27" s="233">
        <f t="shared" si="7"/>
        <v>3.3601117318435763</v>
      </c>
      <c r="AJ27" s="233">
        <f t="shared" si="8"/>
        <v>6.3851512410714601</v>
      </c>
      <c r="AK27" s="233">
        <f t="shared" si="9"/>
        <v>0.33507222261569281</v>
      </c>
      <c r="AL27">
        <v>7</v>
      </c>
      <c r="AM27" s="233">
        <f t="shared" si="10"/>
        <v>48.104347826086951</v>
      </c>
      <c r="AN27" s="233">
        <f t="shared" si="11"/>
        <v>52.277593646348265</v>
      </c>
      <c r="AO27" s="233">
        <f t="shared" si="12"/>
        <v>43.931102005825636</v>
      </c>
      <c r="AP27" s="233">
        <f t="shared" si="13"/>
        <v>2.0655865921787711</v>
      </c>
      <c r="AQ27" s="233">
        <f t="shared" si="14"/>
        <v>3.1665882132978602</v>
      </c>
      <c r="AR27" s="233">
        <f t="shared" si="15"/>
        <v>0.96458497105968211</v>
      </c>
      <c r="AS27" s="235">
        <f t="shared" si="16"/>
        <v>33.105027932960894</v>
      </c>
      <c r="AT27" s="235">
        <f t="shared" si="17"/>
        <v>50.535961542150602</v>
      </c>
      <c r="AU27" s="235">
        <f t="shared" si="18"/>
        <v>15.67409432377119</v>
      </c>
      <c r="AV27">
        <v>100</v>
      </c>
      <c r="AW27" s="235">
        <f t="shared" si="19"/>
        <v>62.766666666666666</v>
      </c>
      <c r="AX27" s="235">
        <f t="shared" si="20"/>
        <v>80.98511149172171</v>
      </c>
      <c r="AY27" s="235">
        <f t="shared" si="21"/>
        <v>44.548221841611614</v>
      </c>
      <c r="AZ27" s="235">
        <f t="shared" si="22"/>
        <v>2941.6666666666665</v>
      </c>
      <c r="BA27" s="235">
        <f t="shared" si="23"/>
        <v>4966.9775952753826</v>
      </c>
      <c r="BB27" s="235">
        <f t="shared" si="24"/>
        <v>916.35573805795048</v>
      </c>
      <c r="BC27" s="235">
        <f t="shared" si="25"/>
        <v>53.18888888888889</v>
      </c>
      <c r="BD27" s="235">
        <f t="shared" si="26"/>
        <v>112.67052202318322</v>
      </c>
      <c r="BE27" s="235">
        <f t="shared" si="27"/>
        <v>-6.2927442454054372</v>
      </c>
      <c r="BF27" s="235">
        <f t="shared" si="28"/>
        <v>3577.2222222222222</v>
      </c>
      <c r="BG27" s="235">
        <f t="shared" si="29"/>
        <v>5636.1265941907786</v>
      </c>
      <c r="BH27" s="235">
        <f t="shared" si="30"/>
        <v>1518.3178502536657</v>
      </c>
      <c r="BI27">
        <v>5000</v>
      </c>
      <c r="BJ27" s="235">
        <f t="shared" si="31"/>
        <v>0</v>
      </c>
      <c r="BK27" s="235">
        <f t="shared" si="32"/>
        <v>0</v>
      </c>
      <c r="BL27" s="235">
        <f t="shared" si="33"/>
        <v>0</v>
      </c>
      <c r="BO27" s="235">
        <f t="shared" si="34"/>
        <v>40710</v>
      </c>
      <c r="CD27" s="533">
        <f t="shared" si="35"/>
        <v>19.8</v>
      </c>
      <c r="CE27" s="102">
        <f t="shared" si="36"/>
        <v>7.8</v>
      </c>
      <c r="CF27" s="102">
        <f t="shared" si="37"/>
        <v>85</v>
      </c>
      <c r="CG27" s="102">
        <f t="shared" si="38"/>
        <v>7.97</v>
      </c>
      <c r="CH27" s="102">
        <f t="shared" si="39"/>
        <v>2.4</v>
      </c>
      <c r="CI27" s="102" t="str">
        <f t="shared" si="40"/>
        <v/>
      </c>
      <c r="CJ27" s="102">
        <f t="shared" si="41"/>
        <v>1.65</v>
      </c>
      <c r="CK27" s="102">
        <f t="shared" si="42"/>
        <v>41</v>
      </c>
      <c r="CL27" s="102">
        <f t="shared" si="43"/>
        <v>120</v>
      </c>
      <c r="CM27" s="102">
        <f t="shared" si="44"/>
        <v>1100</v>
      </c>
      <c r="CN27" s="102">
        <f t="shared" si="45"/>
        <v>16</v>
      </c>
      <c r="CO27" s="102">
        <f t="shared" si="46"/>
        <v>2200</v>
      </c>
      <c r="CP27" s="102" t="str">
        <f t="shared" si="47"/>
        <v/>
      </c>
    </row>
    <row r="28" spans="2:94">
      <c r="B28" t="s">
        <v>252</v>
      </c>
      <c r="C28" s="231">
        <v>40738</v>
      </c>
      <c r="D28" s="233">
        <v>19</v>
      </c>
      <c r="E28" s="233">
        <v>6.8</v>
      </c>
      <c r="F28" s="235">
        <v>73</v>
      </c>
      <c r="G28" s="233">
        <v>7.77</v>
      </c>
      <c r="H28" s="233">
        <v>1.2</v>
      </c>
      <c r="J28" s="233">
        <v>2</v>
      </c>
      <c r="K28" s="235">
        <v>59</v>
      </c>
      <c r="L28" s="235">
        <v>82</v>
      </c>
      <c r="M28" s="235">
        <v>1400</v>
      </c>
      <c r="N28" s="235">
        <v>39</v>
      </c>
      <c r="O28" s="235">
        <v>2200</v>
      </c>
      <c r="Q28">
        <v>2011</v>
      </c>
      <c r="R28">
        <v>7</v>
      </c>
      <c r="T28" s="226"/>
      <c r="U28" s="226"/>
      <c r="V28" s="226"/>
      <c r="W28" s="226"/>
      <c r="X28" s="226"/>
      <c r="Y28" s="226"/>
      <c r="Z28" s="226"/>
      <c r="AA28" s="233">
        <f t="shared" si="1"/>
        <v>10.332000000000001</v>
      </c>
      <c r="AB28" s="233">
        <f t="shared" si="2"/>
        <v>12.739174193481931</v>
      </c>
      <c r="AC28" s="233">
        <f t="shared" si="3"/>
        <v>7.9248258065180703</v>
      </c>
      <c r="AD28">
        <v>2.95</v>
      </c>
      <c r="AE28" s="233">
        <f t="shared" si="4"/>
        <v>7.9374301675977676</v>
      </c>
      <c r="AF28" s="233">
        <f t="shared" si="5"/>
        <v>8.0830597168027865</v>
      </c>
      <c r="AG28" s="233">
        <f t="shared" si="6"/>
        <v>7.7918006183927488</v>
      </c>
      <c r="AH28">
        <v>6.5</v>
      </c>
      <c r="AI28" s="233">
        <f t="shared" si="7"/>
        <v>3.3601117318435763</v>
      </c>
      <c r="AJ28" s="233">
        <f t="shared" si="8"/>
        <v>6.3851512410714601</v>
      </c>
      <c r="AK28" s="233">
        <f t="shared" si="9"/>
        <v>0.33507222261569281</v>
      </c>
      <c r="AL28">
        <v>7</v>
      </c>
      <c r="AM28" s="233">
        <f t="shared" si="10"/>
        <v>48.104347826086951</v>
      </c>
      <c r="AN28" s="233">
        <f t="shared" si="11"/>
        <v>52.277593646348265</v>
      </c>
      <c r="AO28" s="233">
        <f t="shared" si="12"/>
        <v>43.931102005825636</v>
      </c>
      <c r="AP28" s="233">
        <f t="shared" si="13"/>
        <v>2.0655865921787711</v>
      </c>
      <c r="AQ28" s="233">
        <f t="shared" si="14"/>
        <v>3.1665882132978602</v>
      </c>
      <c r="AR28" s="233">
        <f t="shared" si="15"/>
        <v>0.96458497105968211</v>
      </c>
      <c r="AS28" s="235">
        <f t="shared" si="16"/>
        <v>33.105027932960894</v>
      </c>
      <c r="AT28" s="235">
        <f t="shared" si="17"/>
        <v>50.535961542150602</v>
      </c>
      <c r="AU28" s="235">
        <f t="shared" si="18"/>
        <v>15.67409432377119</v>
      </c>
      <c r="AV28">
        <v>100</v>
      </c>
      <c r="AW28" s="235">
        <f t="shared" si="19"/>
        <v>62.766666666666666</v>
      </c>
      <c r="AX28" s="235">
        <f t="shared" si="20"/>
        <v>80.98511149172171</v>
      </c>
      <c r="AY28" s="235">
        <f t="shared" si="21"/>
        <v>44.548221841611614</v>
      </c>
      <c r="AZ28" s="235">
        <f t="shared" si="22"/>
        <v>2941.6666666666665</v>
      </c>
      <c r="BA28" s="235">
        <f t="shared" si="23"/>
        <v>4966.9775952753826</v>
      </c>
      <c r="BB28" s="235">
        <f t="shared" si="24"/>
        <v>916.35573805795048</v>
      </c>
      <c r="BC28" s="235">
        <f t="shared" si="25"/>
        <v>53.18888888888889</v>
      </c>
      <c r="BD28" s="235">
        <f t="shared" si="26"/>
        <v>112.67052202318322</v>
      </c>
      <c r="BE28" s="235">
        <f t="shared" si="27"/>
        <v>-6.2927442454054372</v>
      </c>
      <c r="BF28" s="235">
        <f t="shared" si="28"/>
        <v>3577.2222222222222</v>
      </c>
      <c r="BG28" s="235">
        <f t="shared" si="29"/>
        <v>5636.1265941907786</v>
      </c>
      <c r="BH28" s="235">
        <f t="shared" si="30"/>
        <v>1518.3178502536657</v>
      </c>
      <c r="BI28">
        <v>5000</v>
      </c>
      <c r="BJ28" s="235">
        <f t="shared" si="31"/>
        <v>0</v>
      </c>
      <c r="BK28" s="235">
        <f t="shared" si="32"/>
        <v>0</v>
      </c>
      <c r="BL28" s="235">
        <f t="shared" si="33"/>
        <v>0</v>
      </c>
      <c r="BO28" s="235">
        <f t="shared" si="34"/>
        <v>40738</v>
      </c>
      <c r="CD28" s="533">
        <f t="shared" si="35"/>
        <v>19</v>
      </c>
      <c r="CE28" s="102">
        <f t="shared" si="36"/>
        <v>6.8</v>
      </c>
      <c r="CF28" s="102">
        <f t="shared" si="37"/>
        <v>73</v>
      </c>
      <c r="CG28" s="102">
        <f t="shared" si="38"/>
        <v>7.77</v>
      </c>
      <c r="CH28" s="102">
        <f t="shared" si="39"/>
        <v>1.2</v>
      </c>
      <c r="CI28" s="102" t="str">
        <f t="shared" si="40"/>
        <v/>
      </c>
      <c r="CJ28" s="102">
        <f t="shared" si="41"/>
        <v>2</v>
      </c>
      <c r="CK28" s="102">
        <f t="shared" si="42"/>
        <v>59</v>
      </c>
      <c r="CL28" s="102">
        <f t="shared" si="43"/>
        <v>82</v>
      </c>
      <c r="CM28" s="102">
        <f t="shared" si="44"/>
        <v>1400</v>
      </c>
      <c r="CN28" s="102">
        <f t="shared" si="45"/>
        <v>39</v>
      </c>
      <c r="CO28" s="102">
        <f t="shared" si="46"/>
        <v>2200</v>
      </c>
      <c r="CP28" s="102" t="str">
        <f t="shared" si="47"/>
        <v/>
      </c>
    </row>
    <row r="29" spans="2:94">
      <c r="B29" t="s">
        <v>252</v>
      </c>
      <c r="C29" s="231">
        <v>40778</v>
      </c>
      <c r="D29" s="233">
        <v>16.899999999999999</v>
      </c>
      <c r="E29" s="233">
        <v>9.6999999999999993</v>
      </c>
      <c r="F29" s="235">
        <v>100</v>
      </c>
      <c r="G29" s="233">
        <v>7.92</v>
      </c>
      <c r="H29" s="233">
        <v>2</v>
      </c>
      <c r="J29" s="233">
        <v>2.2000000000000002</v>
      </c>
      <c r="K29" s="235">
        <v>45</v>
      </c>
      <c r="L29" s="235">
        <v>67</v>
      </c>
      <c r="M29" s="235">
        <v>2200</v>
      </c>
      <c r="N29" s="235">
        <v>22</v>
      </c>
      <c r="O29" s="235">
        <v>2900</v>
      </c>
      <c r="Q29">
        <v>2011</v>
      </c>
      <c r="R29">
        <v>8</v>
      </c>
      <c r="T29" s="226"/>
      <c r="U29" s="226"/>
      <c r="V29" s="226"/>
      <c r="W29" s="226"/>
      <c r="X29" s="226"/>
      <c r="Y29" s="226"/>
      <c r="Z29" s="226"/>
      <c r="AA29" s="233">
        <f t="shared" si="1"/>
        <v>10.332000000000001</v>
      </c>
      <c r="AB29" s="233">
        <f t="shared" si="2"/>
        <v>12.739174193481931</v>
      </c>
      <c r="AC29" s="233">
        <f t="shared" si="3"/>
        <v>7.9248258065180703</v>
      </c>
      <c r="AD29">
        <v>2.95</v>
      </c>
      <c r="AE29" s="233">
        <f t="shared" si="4"/>
        <v>7.9374301675977676</v>
      </c>
      <c r="AF29" s="233">
        <f t="shared" si="5"/>
        <v>8.0830597168027865</v>
      </c>
      <c r="AG29" s="233">
        <f t="shared" si="6"/>
        <v>7.7918006183927488</v>
      </c>
      <c r="AH29">
        <v>6.5</v>
      </c>
      <c r="AI29" s="233">
        <f t="shared" si="7"/>
        <v>3.3601117318435763</v>
      </c>
      <c r="AJ29" s="233">
        <f t="shared" si="8"/>
        <v>6.3851512410714601</v>
      </c>
      <c r="AK29" s="233">
        <f t="shared" si="9"/>
        <v>0.33507222261569281</v>
      </c>
      <c r="AL29">
        <v>7</v>
      </c>
      <c r="AM29" s="233">
        <f t="shared" si="10"/>
        <v>48.104347826086951</v>
      </c>
      <c r="AN29" s="233">
        <f t="shared" si="11"/>
        <v>52.277593646348265</v>
      </c>
      <c r="AO29" s="233">
        <f t="shared" si="12"/>
        <v>43.931102005825636</v>
      </c>
      <c r="AP29" s="233">
        <f t="shared" si="13"/>
        <v>2.0655865921787711</v>
      </c>
      <c r="AQ29" s="233">
        <f t="shared" si="14"/>
        <v>3.1665882132978602</v>
      </c>
      <c r="AR29" s="233">
        <f t="shared" si="15"/>
        <v>0.96458497105968211</v>
      </c>
      <c r="AS29" s="235">
        <f t="shared" si="16"/>
        <v>33.105027932960894</v>
      </c>
      <c r="AT29" s="235">
        <f t="shared" si="17"/>
        <v>50.535961542150602</v>
      </c>
      <c r="AU29" s="235">
        <f t="shared" si="18"/>
        <v>15.67409432377119</v>
      </c>
      <c r="AV29">
        <v>100</v>
      </c>
      <c r="AW29" s="235">
        <f t="shared" si="19"/>
        <v>62.766666666666666</v>
      </c>
      <c r="AX29" s="235">
        <f t="shared" si="20"/>
        <v>80.98511149172171</v>
      </c>
      <c r="AY29" s="235">
        <f t="shared" si="21"/>
        <v>44.548221841611614</v>
      </c>
      <c r="AZ29" s="235">
        <f t="shared" si="22"/>
        <v>2941.6666666666665</v>
      </c>
      <c r="BA29" s="235">
        <f t="shared" si="23"/>
        <v>4966.9775952753826</v>
      </c>
      <c r="BB29" s="235">
        <f t="shared" si="24"/>
        <v>916.35573805795048</v>
      </c>
      <c r="BC29" s="235">
        <f t="shared" si="25"/>
        <v>53.18888888888889</v>
      </c>
      <c r="BD29" s="235">
        <f t="shared" si="26"/>
        <v>112.67052202318322</v>
      </c>
      <c r="BE29" s="235">
        <f t="shared" si="27"/>
        <v>-6.2927442454054372</v>
      </c>
      <c r="BF29" s="235">
        <f t="shared" si="28"/>
        <v>3577.2222222222222</v>
      </c>
      <c r="BG29" s="235">
        <f t="shared" si="29"/>
        <v>5636.1265941907786</v>
      </c>
      <c r="BH29" s="235">
        <f t="shared" si="30"/>
        <v>1518.3178502536657</v>
      </c>
      <c r="BI29">
        <v>5000</v>
      </c>
      <c r="BJ29" s="235">
        <f t="shared" si="31"/>
        <v>0</v>
      </c>
      <c r="BK29" s="235">
        <f t="shared" si="32"/>
        <v>0</v>
      </c>
      <c r="BL29" s="235">
        <f t="shared" si="33"/>
        <v>0</v>
      </c>
      <c r="BO29" s="235">
        <f t="shared" si="34"/>
        <v>40778</v>
      </c>
      <c r="CD29" s="533">
        <f t="shared" si="35"/>
        <v>16.899999999999999</v>
      </c>
      <c r="CE29" s="102">
        <f t="shared" si="36"/>
        <v>9.6999999999999993</v>
      </c>
      <c r="CF29" s="102">
        <f t="shared" si="37"/>
        <v>100</v>
      </c>
      <c r="CG29" s="102">
        <f t="shared" si="38"/>
        <v>7.92</v>
      </c>
      <c r="CH29" s="102">
        <f t="shared" si="39"/>
        <v>2</v>
      </c>
      <c r="CI29" s="102" t="str">
        <f t="shared" si="40"/>
        <v/>
      </c>
      <c r="CJ29" s="102">
        <f t="shared" si="41"/>
        <v>2.2000000000000002</v>
      </c>
      <c r="CK29" s="102">
        <f t="shared" si="42"/>
        <v>45</v>
      </c>
      <c r="CL29" s="102">
        <f t="shared" si="43"/>
        <v>67</v>
      </c>
      <c r="CM29" s="102">
        <f t="shared" si="44"/>
        <v>2200</v>
      </c>
      <c r="CN29" s="102">
        <f t="shared" si="45"/>
        <v>22</v>
      </c>
      <c r="CO29" s="102">
        <f t="shared" si="46"/>
        <v>2900</v>
      </c>
      <c r="CP29" s="102" t="str">
        <f t="shared" si="47"/>
        <v/>
      </c>
    </row>
    <row r="30" spans="2:94">
      <c r="B30" t="s">
        <v>252</v>
      </c>
      <c r="C30" s="231">
        <v>40807</v>
      </c>
      <c r="D30" s="233">
        <v>14.7</v>
      </c>
      <c r="E30" s="233">
        <v>9</v>
      </c>
      <c r="F30" s="235">
        <v>89</v>
      </c>
      <c r="G30" s="233">
        <v>8.02</v>
      </c>
      <c r="H30" s="233">
        <v>4.3</v>
      </c>
      <c r="J30" s="233">
        <v>2.2000000000000002</v>
      </c>
      <c r="K30" s="235">
        <v>31</v>
      </c>
      <c r="L30" s="235">
        <v>62</v>
      </c>
      <c r="M30" s="235">
        <v>1800</v>
      </c>
      <c r="N30" s="235">
        <v>19</v>
      </c>
      <c r="O30" s="235">
        <v>2400</v>
      </c>
      <c r="Q30">
        <v>2011</v>
      </c>
      <c r="R30">
        <v>9</v>
      </c>
      <c r="T30" s="226"/>
      <c r="U30" s="226"/>
      <c r="V30" s="226"/>
      <c r="W30" s="226"/>
      <c r="X30" s="226"/>
      <c r="Y30" s="226"/>
      <c r="Z30" s="226"/>
      <c r="AA30" s="233">
        <f t="shared" si="1"/>
        <v>10.332000000000001</v>
      </c>
      <c r="AB30" s="233">
        <f t="shared" si="2"/>
        <v>12.739174193481931</v>
      </c>
      <c r="AC30" s="233">
        <f t="shared" si="3"/>
        <v>7.9248258065180703</v>
      </c>
      <c r="AD30">
        <v>2.95</v>
      </c>
      <c r="AE30" s="233">
        <f t="shared" si="4"/>
        <v>7.9374301675977676</v>
      </c>
      <c r="AF30" s="233">
        <f t="shared" si="5"/>
        <v>8.0830597168027865</v>
      </c>
      <c r="AG30" s="233">
        <f t="shared" si="6"/>
        <v>7.7918006183927488</v>
      </c>
      <c r="AH30">
        <v>6.5</v>
      </c>
      <c r="AI30" s="233">
        <f t="shared" si="7"/>
        <v>3.3601117318435763</v>
      </c>
      <c r="AJ30" s="233">
        <f t="shared" si="8"/>
        <v>6.3851512410714601</v>
      </c>
      <c r="AK30" s="233">
        <f t="shared" si="9"/>
        <v>0.33507222261569281</v>
      </c>
      <c r="AL30">
        <v>7</v>
      </c>
      <c r="AM30" s="233">
        <f t="shared" si="10"/>
        <v>48.104347826086951</v>
      </c>
      <c r="AN30" s="233">
        <f t="shared" si="11"/>
        <v>52.277593646348265</v>
      </c>
      <c r="AO30" s="233">
        <f t="shared" si="12"/>
        <v>43.931102005825636</v>
      </c>
      <c r="AP30" s="233">
        <f t="shared" si="13"/>
        <v>2.0655865921787711</v>
      </c>
      <c r="AQ30" s="233">
        <f t="shared" si="14"/>
        <v>3.1665882132978602</v>
      </c>
      <c r="AR30" s="233">
        <f t="shared" si="15"/>
        <v>0.96458497105968211</v>
      </c>
      <c r="AS30" s="235">
        <f t="shared" si="16"/>
        <v>33.105027932960894</v>
      </c>
      <c r="AT30" s="235">
        <f t="shared" si="17"/>
        <v>50.535961542150602</v>
      </c>
      <c r="AU30" s="235">
        <f t="shared" si="18"/>
        <v>15.67409432377119</v>
      </c>
      <c r="AV30">
        <v>100</v>
      </c>
      <c r="AW30" s="235">
        <f t="shared" si="19"/>
        <v>62.766666666666666</v>
      </c>
      <c r="AX30" s="235">
        <f t="shared" si="20"/>
        <v>80.98511149172171</v>
      </c>
      <c r="AY30" s="235">
        <f t="shared" si="21"/>
        <v>44.548221841611614</v>
      </c>
      <c r="AZ30" s="235">
        <f t="shared" si="22"/>
        <v>2941.6666666666665</v>
      </c>
      <c r="BA30" s="235">
        <f t="shared" si="23"/>
        <v>4966.9775952753826</v>
      </c>
      <c r="BB30" s="235">
        <f t="shared" si="24"/>
        <v>916.35573805795048</v>
      </c>
      <c r="BC30" s="235">
        <f t="shared" si="25"/>
        <v>53.18888888888889</v>
      </c>
      <c r="BD30" s="235">
        <f t="shared" si="26"/>
        <v>112.67052202318322</v>
      </c>
      <c r="BE30" s="235">
        <f t="shared" si="27"/>
        <v>-6.2927442454054372</v>
      </c>
      <c r="BF30" s="235">
        <f t="shared" si="28"/>
        <v>3577.2222222222222</v>
      </c>
      <c r="BG30" s="235">
        <f t="shared" si="29"/>
        <v>5636.1265941907786</v>
      </c>
      <c r="BH30" s="235">
        <f t="shared" si="30"/>
        <v>1518.3178502536657</v>
      </c>
      <c r="BI30">
        <v>5000</v>
      </c>
      <c r="BJ30" s="235">
        <f t="shared" si="31"/>
        <v>0</v>
      </c>
      <c r="BK30" s="235">
        <f t="shared" si="32"/>
        <v>0</v>
      </c>
      <c r="BL30" s="235">
        <f t="shared" si="33"/>
        <v>0</v>
      </c>
      <c r="BO30" s="235">
        <f t="shared" si="34"/>
        <v>40807</v>
      </c>
      <c r="CD30" s="533">
        <f t="shared" si="35"/>
        <v>14.7</v>
      </c>
      <c r="CE30" s="102">
        <f t="shared" si="36"/>
        <v>9</v>
      </c>
      <c r="CF30" s="102">
        <f t="shared" si="37"/>
        <v>89</v>
      </c>
      <c r="CG30" s="102">
        <f t="shared" si="38"/>
        <v>8.02</v>
      </c>
      <c r="CH30" s="102">
        <f t="shared" si="39"/>
        <v>4.3</v>
      </c>
      <c r="CI30" s="102" t="str">
        <f t="shared" si="40"/>
        <v/>
      </c>
      <c r="CJ30" s="102">
        <f t="shared" si="41"/>
        <v>2.2000000000000002</v>
      </c>
      <c r="CK30" s="102">
        <f t="shared" si="42"/>
        <v>31</v>
      </c>
      <c r="CL30" s="102">
        <f t="shared" si="43"/>
        <v>62</v>
      </c>
      <c r="CM30" s="102">
        <f t="shared" si="44"/>
        <v>1800</v>
      </c>
      <c r="CN30" s="102">
        <f t="shared" si="45"/>
        <v>19</v>
      </c>
      <c r="CO30" s="102">
        <f t="shared" si="46"/>
        <v>2400</v>
      </c>
      <c r="CP30" s="102" t="str">
        <f t="shared" si="47"/>
        <v/>
      </c>
    </row>
    <row r="31" spans="2:94">
      <c r="B31" t="s">
        <v>252</v>
      </c>
      <c r="C31" s="231">
        <v>40834</v>
      </c>
      <c r="D31" s="233">
        <v>9.3000000000000007</v>
      </c>
      <c r="E31" s="233">
        <v>10.6</v>
      </c>
      <c r="F31" s="235">
        <v>93</v>
      </c>
      <c r="G31" s="233">
        <v>7.89</v>
      </c>
      <c r="H31" s="233">
        <v>3.4</v>
      </c>
      <c r="J31" s="233">
        <v>1.6</v>
      </c>
      <c r="K31" s="235">
        <v>40</v>
      </c>
      <c r="L31" s="235">
        <v>63</v>
      </c>
      <c r="M31" s="235">
        <v>3200</v>
      </c>
      <c r="N31" s="235">
        <v>55</v>
      </c>
      <c r="O31" s="235">
        <v>3900</v>
      </c>
      <c r="Q31">
        <v>2011</v>
      </c>
      <c r="R31">
        <v>10</v>
      </c>
      <c r="T31" s="226"/>
      <c r="U31" s="226"/>
      <c r="V31" s="226"/>
      <c r="W31" s="226"/>
      <c r="X31" s="226"/>
      <c r="Y31" s="226"/>
      <c r="Z31" s="226"/>
      <c r="AA31" s="233">
        <f t="shared" si="1"/>
        <v>10.332000000000001</v>
      </c>
      <c r="AB31" s="233">
        <f t="shared" si="2"/>
        <v>12.739174193481931</v>
      </c>
      <c r="AC31" s="233">
        <f t="shared" si="3"/>
        <v>7.9248258065180703</v>
      </c>
      <c r="AD31">
        <v>2.95</v>
      </c>
      <c r="AE31" s="233">
        <f t="shared" si="4"/>
        <v>7.9374301675977676</v>
      </c>
      <c r="AF31" s="233">
        <f t="shared" si="5"/>
        <v>8.0830597168027865</v>
      </c>
      <c r="AG31" s="233">
        <f t="shared" si="6"/>
        <v>7.7918006183927488</v>
      </c>
      <c r="AH31">
        <v>6.5</v>
      </c>
      <c r="AI31" s="233">
        <f t="shared" si="7"/>
        <v>3.3601117318435763</v>
      </c>
      <c r="AJ31" s="233">
        <f t="shared" si="8"/>
        <v>6.3851512410714601</v>
      </c>
      <c r="AK31" s="233">
        <f t="shared" si="9"/>
        <v>0.33507222261569281</v>
      </c>
      <c r="AL31">
        <v>7</v>
      </c>
      <c r="AM31" s="233">
        <f t="shared" si="10"/>
        <v>48.104347826086951</v>
      </c>
      <c r="AN31" s="233">
        <f t="shared" si="11"/>
        <v>52.277593646348265</v>
      </c>
      <c r="AO31" s="233">
        <f t="shared" si="12"/>
        <v>43.931102005825636</v>
      </c>
      <c r="AP31" s="233">
        <f t="shared" si="13"/>
        <v>2.0655865921787711</v>
      </c>
      <c r="AQ31" s="233">
        <f t="shared" si="14"/>
        <v>3.1665882132978602</v>
      </c>
      <c r="AR31" s="233">
        <f t="shared" si="15"/>
        <v>0.96458497105968211</v>
      </c>
      <c r="AS31" s="235">
        <f t="shared" si="16"/>
        <v>33.105027932960894</v>
      </c>
      <c r="AT31" s="235">
        <f t="shared" si="17"/>
        <v>50.535961542150602</v>
      </c>
      <c r="AU31" s="235">
        <f t="shared" si="18"/>
        <v>15.67409432377119</v>
      </c>
      <c r="AV31">
        <v>100</v>
      </c>
      <c r="AW31" s="235">
        <f t="shared" si="19"/>
        <v>62.766666666666666</v>
      </c>
      <c r="AX31" s="235">
        <f t="shared" si="20"/>
        <v>80.98511149172171</v>
      </c>
      <c r="AY31" s="235">
        <f t="shared" si="21"/>
        <v>44.548221841611614</v>
      </c>
      <c r="AZ31" s="235">
        <f t="shared" si="22"/>
        <v>2941.6666666666665</v>
      </c>
      <c r="BA31" s="235">
        <f t="shared" si="23"/>
        <v>4966.9775952753826</v>
      </c>
      <c r="BB31" s="235">
        <f t="shared" si="24"/>
        <v>916.35573805795048</v>
      </c>
      <c r="BC31" s="235">
        <f t="shared" si="25"/>
        <v>53.18888888888889</v>
      </c>
      <c r="BD31" s="235">
        <f t="shared" si="26"/>
        <v>112.67052202318322</v>
      </c>
      <c r="BE31" s="235">
        <f t="shared" si="27"/>
        <v>-6.2927442454054372</v>
      </c>
      <c r="BF31" s="235">
        <f t="shared" si="28"/>
        <v>3577.2222222222222</v>
      </c>
      <c r="BG31" s="235">
        <f t="shared" si="29"/>
        <v>5636.1265941907786</v>
      </c>
      <c r="BH31" s="235">
        <f t="shared" si="30"/>
        <v>1518.3178502536657</v>
      </c>
      <c r="BI31">
        <v>5000</v>
      </c>
      <c r="BJ31" s="235">
        <f t="shared" si="31"/>
        <v>0</v>
      </c>
      <c r="BK31" s="235">
        <f t="shared" si="32"/>
        <v>0</v>
      </c>
      <c r="BL31" s="235">
        <f t="shared" si="33"/>
        <v>0</v>
      </c>
      <c r="BO31" s="235">
        <f t="shared" si="34"/>
        <v>40834</v>
      </c>
      <c r="CD31" s="533">
        <f t="shared" si="35"/>
        <v>9.3000000000000007</v>
      </c>
      <c r="CE31" s="102">
        <f t="shared" si="36"/>
        <v>10.6</v>
      </c>
      <c r="CF31" s="102">
        <f t="shared" si="37"/>
        <v>93</v>
      </c>
      <c r="CG31" s="102">
        <f t="shared" si="38"/>
        <v>7.89</v>
      </c>
      <c r="CH31" s="102">
        <f t="shared" si="39"/>
        <v>3.4</v>
      </c>
      <c r="CI31" s="102" t="str">
        <f t="shared" si="40"/>
        <v/>
      </c>
      <c r="CJ31" s="102">
        <f t="shared" si="41"/>
        <v>1.6</v>
      </c>
      <c r="CK31" s="102">
        <f t="shared" si="42"/>
        <v>40</v>
      </c>
      <c r="CL31" s="102">
        <f t="shared" si="43"/>
        <v>63</v>
      </c>
      <c r="CM31" s="102">
        <f t="shared" si="44"/>
        <v>3200</v>
      </c>
      <c r="CN31" s="102">
        <f t="shared" si="45"/>
        <v>55</v>
      </c>
      <c r="CO31" s="102">
        <f t="shared" si="46"/>
        <v>3900</v>
      </c>
      <c r="CP31" s="102" t="str">
        <f t="shared" si="47"/>
        <v/>
      </c>
    </row>
    <row r="32" spans="2:94">
      <c r="B32" t="s">
        <v>252</v>
      </c>
      <c r="C32" s="231">
        <v>40863</v>
      </c>
      <c r="D32" s="233">
        <v>5.5</v>
      </c>
      <c r="E32" s="233">
        <v>11.8</v>
      </c>
      <c r="F32" s="235">
        <v>94</v>
      </c>
      <c r="G32" s="233">
        <v>7.96</v>
      </c>
      <c r="H32" s="233">
        <v>3.2</v>
      </c>
      <c r="J32" s="233">
        <v>2.2999999999999998</v>
      </c>
      <c r="K32" s="235">
        <v>35</v>
      </c>
      <c r="L32" s="235">
        <v>54</v>
      </c>
      <c r="M32" s="235">
        <v>2000</v>
      </c>
      <c r="N32" s="235">
        <v>74</v>
      </c>
      <c r="O32" s="235">
        <v>2800</v>
      </c>
      <c r="Q32">
        <v>2011</v>
      </c>
      <c r="R32">
        <v>11</v>
      </c>
      <c r="T32" s="226"/>
      <c r="U32" s="226"/>
      <c r="V32" s="226"/>
      <c r="W32" s="226"/>
      <c r="X32" s="226"/>
      <c r="Y32" s="226"/>
      <c r="Z32" s="226"/>
      <c r="AA32" s="233">
        <f t="shared" si="1"/>
        <v>10.332000000000001</v>
      </c>
      <c r="AB32" s="233">
        <f t="shared" si="2"/>
        <v>12.739174193481931</v>
      </c>
      <c r="AC32" s="233">
        <f t="shared" si="3"/>
        <v>7.9248258065180703</v>
      </c>
      <c r="AD32">
        <v>2.95</v>
      </c>
      <c r="AE32" s="233">
        <f t="shared" si="4"/>
        <v>7.9374301675977676</v>
      </c>
      <c r="AF32" s="233">
        <f t="shared" si="5"/>
        <v>8.0830597168027865</v>
      </c>
      <c r="AG32" s="233">
        <f t="shared" si="6"/>
        <v>7.7918006183927488</v>
      </c>
      <c r="AH32">
        <v>6.5</v>
      </c>
      <c r="AI32" s="233">
        <f t="shared" si="7"/>
        <v>3.3601117318435763</v>
      </c>
      <c r="AJ32" s="233">
        <f t="shared" si="8"/>
        <v>6.3851512410714601</v>
      </c>
      <c r="AK32" s="233">
        <f t="shared" si="9"/>
        <v>0.33507222261569281</v>
      </c>
      <c r="AL32">
        <v>7</v>
      </c>
      <c r="AM32" s="233">
        <f t="shared" si="10"/>
        <v>48.104347826086951</v>
      </c>
      <c r="AN32" s="233">
        <f t="shared" si="11"/>
        <v>52.277593646348265</v>
      </c>
      <c r="AO32" s="233">
        <f t="shared" si="12"/>
        <v>43.931102005825636</v>
      </c>
      <c r="AP32" s="233">
        <f t="shared" si="13"/>
        <v>2.0655865921787711</v>
      </c>
      <c r="AQ32" s="233">
        <f t="shared" si="14"/>
        <v>3.1665882132978602</v>
      </c>
      <c r="AR32" s="233">
        <f t="shared" si="15"/>
        <v>0.96458497105968211</v>
      </c>
      <c r="AS32" s="235">
        <f t="shared" si="16"/>
        <v>33.105027932960894</v>
      </c>
      <c r="AT32" s="235">
        <f t="shared" si="17"/>
        <v>50.535961542150602</v>
      </c>
      <c r="AU32" s="235">
        <f t="shared" si="18"/>
        <v>15.67409432377119</v>
      </c>
      <c r="AV32">
        <v>100</v>
      </c>
      <c r="AW32" s="235">
        <f t="shared" si="19"/>
        <v>62.766666666666666</v>
      </c>
      <c r="AX32" s="235">
        <f t="shared" si="20"/>
        <v>80.98511149172171</v>
      </c>
      <c r="AY32" s="235">
        <f t="shared" si="21"/>
        <v>44.548221841611614</v>
      </c>
      <c r="AZ32" s="235">
        <f t="shared" si="22"/>
        <v>2941.6666666666665</v>
      </c>
      <c r="BA32" s="235">
        <f t="shared" si="23"/>
        <v>4966.9775952753826</v>
      </c>
      <c r="BB32" s="235">
        <f t="shared" si="24"/>
        <v>916.35573805795048</v>
      </c>
      <c r="BC32" s="235">
        <f t="shared" si="25"/>
        <v>53.18888888888889</v>
      </c>
      <c r="BD32" s="235">
        <f t="shared" si="26"/>
        <v>112.67052202318322</v>
      </c>
      <c r="BE32" s="235">
        <f t="shared" si="27"/>
        <v>-6.2927442454054372</v>
      </c>
      <c r="BF32" s="235">
        <f t="shared" si="28"/>
        <v>3577.2222222222222</v>
      </c>
      <c r="BG32" s="235">
        <f t="shared" si="29"/>
        <v>5636.1265941907786</v>
      </c>
      <c r="BH32" s="235">
        <f t="shared" si="30"/>
        <v>1518.3178502536657</v>
      </c>
      <c r="BI32">
        <v>5000</v>
      </c>
      <c r="BJ32" s="235">
        <f t="shared" si="31"/>
        <v>0</v>
      </c>
      <c r="BK32" s="235">
        <f t="shared" si="32"/>
        <v>0</v>
      </c>
      <c r="BL32" s="235">
        <f t="shared" si="33"/>
        <v>0</v>
      </c>
      <c r="BO32" s="235">
        <f t="shared" si="34"/>
        <v>40863</v>
      </c>
      <c r="CD32" s="533">
        <f t="shared" si="35"/>
        <v>5.5</v>
      </c>
      <c r="CE32" s="102">
        <f t="shared" si="36"/>
        <v>11.8</v>
      </c>
      <c r="CF32" s="102">
        <f t="shared" si="37"/>
        <v>94</v>
      </c>
      <c r="CG32" s="102">
        <f t="shared" si="38"/>
        <v>7.96</v>
      </c>
      <c r="CH32" s="102">
        <f t="shared" si="39"/>
        <v>3.2</v>
      </c>
      <c r="CI32" s="102" t="str">
        <f t="shared" si="40"/>
        <v/>
      </c>
      <c r="CJ32" s="102">
        <f t="shared" si="41"/>
        <v>2.2999999999999998</v>
      </c>
      <c r="CK32" s="102">
        <f t="shared" si="42"/>
        <v>35</v>
      </c>
      <c r="CL32" s="102">
        <f t="shared" si="43"/>
        <v>54</v>
      </c>
      <c r="CM32" s="102">
        <f t="shared" si="44"/>
        <v>2000</v>
      </c>
      <c r="CN32" s="102">
        <f t="shared" si="45"/>
        <v>74</v>
      </c>
      <c r="CO32" s="102">
        <f t="shared" si="46"/>
        <v>2800</v>
      </c>
      <c r="CP32" s="102" t="str">
        <f t="shared" si="47"/>
        <v/>
      </c>
    </row>
    <row r="33" spans="2:94">
      <c r="B33" t="s">
        <v>252</v>
      </c>
      <c r="C33" s="231">
        <v>40896</v>
      </c>
      <c r="D33" s="233">
        <v>3.8</v>
      </c>
      <c r="E33" s="233">
        <v>14.8</v>
      </c>
      <c r="F33" s="235">
        <v>112</v>
      </c>
      <c r="G33" s="233">
        <v>7.86</v>
      </c>
      <c r="H33" s="233">
        <v>10</v>
      </c>
      <c r="J33" s="233">
        <v>2.4500000000000002</v>
      </c>
      <c r="K33" s="235">
        <v>41</v>
      </c>
      <c r="L33" s="235">
        <v>83</v>
      </c>
      <c r="M33" s="235">
        <v>5400</v>
      </c>
      <c r="N33" s="235">
        <v>63</v>
      </c>
      <c r="O33" s="235">
        <v>6000</v>
      </c>
      <c r="Q33">
        <v>2011</v>
      </c>
      <c r="R33">
        <v>12</v>
      </c>
      <c r="T33" s="226"/>
      <c r="U33" s="226"/>
      <c r="V33" s="226"/>
      <c r="W33" s="226"/>
      <c r="X33" s="226"/>
      <c r="Y33" s="226"/>
      <c r="Z33" s="226"/>
      <c r="AA33" s="233">
        <f t="shared" si="1"/>
        <v>10.332000000000001</v>
      </c>
      <c r="AB33" s="233">
        <f t="shared" si="2"/>
        <v>12.739174193481931</v>
      </c>
      <c r="AC33" s="233">
        <f t="shared" si="3"/>
        <v>7.9248258065180703</v>
      </c>
      <c r="AD33">
        <v>2.95</v>
      </c>
      <c r="AE33" s="233">
        <f t="shared" si="4"/>
        <v>7.9374301675977676</v>
      </c>
      <c r="AF33" s="233">
        <f t="shared" si="5"/>
        <v>8.0830597168027865</v>
      </c>
      <c r="AG33" s="233">
        <f t="shared" si="6"/>
        <v>7.7918006183927488</v>
      </c>
      <c r="AH33">
        <v>6.5</v>
      </c>
      <c r="AI33" s="233">
        <f t="shared" si="7"/>
        <v>3.3601117318435763</v>
      </c>
      <c r="AJ33" s="233">
        <f t="shared" si="8"/>
        <v>6.3851512410714601</v>
      </c>
      <c r="AK33" s="233">
        <f t="shared" si="9"/>
        <v>0.33507222261569281</v>
      </c>
      <c r="AL33">
        <v>7</v>
      </c>
      <c r="AM33" s="233">
        <f t="shared" si="10"/>
        <v>48.104347826086951</v>
      </c>
      <c r="AN33" s="233">
        <f t="shared" si="11"/>
        <v>52.277593646348265</v>
      </c>
      <c r="AO33" s="233">
        <f t="shared" si="12"/>
        <v>43.931102005825636</v>
      </c>
      <c r="AP33" s="233">
        <f t="shared" si="13"/>
        <v>2.0655865921787711</v>
      </c>
      <c r="AQ33" s="233">
        <f t="shared" si="14"/>
        <v>3.1665882132978602</v>
      </c>
      <c r="AR33" s="233">
        <f t="shared" si="15"/>
        <v>0.96458497105968211</v>
      </c>
      <c r="AS33" s="235">
        <f t="shared" si="16"/>
        <v>33.105027932960894</v>
      </c>
      <c r="AT33" s="235">
        <f t="shared" si="17"/>
        <v>50.535961542150602</v>
      </c>
      <c r="AU33" s="235">
        <f t="shared" si="18"/>
        <v>15.67409432377119</v>
      </c>
      <c r="AV33">
        <v>100</v>
      </c>
      <c r="AW33" s="235">
        <f t="shared" si="19"/>
        <v>62.766666666666666</v>
      </c>
      <c r="AX33" s="235">
        <f t="shared" si="20"/>
        <v>80.98511149172171</v>
      </c>
      <c r="AY33" s="235">
        <f t="shared" si="21"/>
        <v>44.548221841611614</v>
      </c>
      <c r="AZ33" s="235">
        <f t="shared" si="22"/>
        <v>2941.6666666666665</v>
      </c>
      <c r="BA33" s="235">
        <f t="shared" si="23"/>
        <v>4966.9775952753826</v>
      </c>
      <c r="BB33" s="235">
        <f t="shared" si="24"/>
        <v>916.35573805795048</v>
      </c>
      <c r="BC33" s="235">
        <f t="shared" si="25"/>
        <v>53.18888888888889</v>
      </c>
      <c r="BD33" s="235">
        <f t="shared" si="26"/>
        <v>112.67052202318322</v>
      </c>
      <c r="BE33" s="235">
        <f t="shared" si="27"/>
        <v>-6.2927442454054372</v>
      </c>
      <c r="BF33" s="235">
        <f t="shared" si="28"/>
        <v>3577.2222222222222</v>
      </c>
      <c r="BG33" s="235">
        <f t="shared" si="29"/>
        <v>5636.1265941907786</v>
      </c>
      <c r="BH33" s="235">
        <f t="shared" si="30"/>
        <v>1518.3178502536657</v>
      </c>
      <c r="BI33">
        <v>5000</v>
      </c>
      <c r="BJ33" s="235">
        <f t="shared" si="31"/>
        <v>0</v>
      </c>
      <c r="BK33" s="235">
        <f t="shared" si="32"/>
        <v>0</v>
      </c>
      <c r="BL33" s="235">
        <f t="shared" si="33"/>
        <v>0</v>
      </c>
      <c r="BO33" s="235">
        <f t="shared" si="34"/>
        <v>40896</v>
      </c>
      <c r="CD33" s="533">
        <f t="shared" si="35"/>
        <v>3.8</v>
      </c>
      <c r="CE33" s="102">
        <f t="shared" si="36"/>
        <v>14.8</v>
      </c>
      <c r="CF33" s="102">
        <f t="shared" si="37"/>
        <v>112</v>
      </c>
      <c r="CG33" s="102">
        <f t="shared" si="38"/>
        <v>7.86</v>
      </c>
      <c r="CH33" s="102">
        <f t="shared" si="39"/>
        <v>10</v>
      </c>
      <c r="CI33" s="102" t="str">
        <f t="shared" si="40"/>
        <v/>
      </c>
      <c r="CJ33" s="102">
        <f t="shared" si="41"/>
        <v>2.4500000000000002</v>
      </c>
      <c r="CK33" s="102">
        <f t="shared" si="42"/>
        <v>41</v>
      </c>
      <c r="CL33" s="102">
        <f t="shared" si="43"/>
        <v>83</v>
      </c>
      <c r="CM33" s="102">
        <f t="shared" si="44"/>
        <v>5400</v>
      </c>
      <c r="CN33" s="102">
        <f t="shared" si="45"/>
        <v>63</v>
      </c>
      <c r="CO33" s="102">
        <f t="shared" si="46"/>
        <v>6000</v>
      </c>
      <c r="CP33" s="102" t="str">
        <f t="shared" si="47"/>
        <v/>
      </c>
    </row>
    <row r="34" spans="2:94">
      <c r="B34" t="s">
        <v>252</v>
      </c>
      <c r="C34" s="231">
        <v>40926</v>
      </c>
      <c r="D34" s="233">
        <v>2.8</v>
      </c>
      <c r="E34" s="233">
        <v>13</v>
      </c>
      <c r="F34" s="235">
        <v>95</v>
      </c>
      <c r="G34" s="233">
        <v>8</v>
      </c>
      <c r="H34" s="233">
        <v>7.2</v>
      </c>
      <c r="J34" s="233">
        <v>2.5</v>
      </c>
      <c r="K34" s="235">
        <v>38</v>
      </c>
      <c r="L34" s="235">
        <v>64</v>
      </c>
      <c r="M34" s="235">
        <v>3300</v>
      </c>
      <c r="N34" s="235">
        <v>98</v>
      </c>
      <c r="O34" s="235">
        <v>3800</v>
      </c>
      <c r="Q34">
        <v>2012</v>
      </c>
      <c r="R34">
        <v>1</v>
      </c>
      <c r="T34" s="226"/>
      <c r="U34" s="226"/>
      <c r="V34" s="226"/>
      <c r="W34" s="226"/>
      <c r="X34" s="226"/>
      <c r="Y34" s="226"/>
      <c r="Z34" s="226"/>
      <c r="AA34" s="233">
        <f t="shared" si="1"/>
        <v>10.332000000000001</v>
      </c>
      <c r="AB34" s="233">
        <f t="shared" si="2"/>
        <v>12.739174193481931</v>
      </c>
      <c r="AC34" s="233">
        <f t="shared" si="3"/>
        <v>7.9248258065180703</v>
      </c>
      <c r="AD34">
        <v>2.95</v>
      </c>
      <c r="AE34" s="233">
        <f t="shared" si="4"/>
        <v>7.9374301675977676</v>
      </c>
      <c r="AF34" s="233">
        <f t="shared" si="5"/>
        <v>8.0830597168027865</v>
      </c>
      <c r="AG34" s="233">
        <f t="shared" si="6"/>
        <v>7.7918006183927488</v>
      </c>
      <c r="AH34">
        <v>6.5</v>
      </c>
      <c r="AI34" s="233">
        <f t="shared" si="7"/>
        <v>3.3601117318435763</v>
      </c>
      <c r="AJ34" s="233">
        <f t="shared" si="8"/>
        <v>6.3851512410714601</v>
      </c>
      <c r="AK34" s="233">
        <f t="shared" si="9"/>
        <v>0.33507222261569281</v>
      </c>
      <c r="AL34">
        <v>7</v>
      </c>
      <c r="AM34" s="233">
        <f t="shared" si="10"/>
        <v>48.104347826086951</v>
      </c>
      <c r="AN34" s="233">
        <f t="shared" si="11"/>
        <v>52.277593646348265</v>
      </c>
      <c r="AO34" s="233">
        <f t="shared" si="12"/>
        <v>43.931102005825636</v>
      </c>
      <c r="AP34" s="233">
        <f t="shared" si="13"/>
        <v>2.0655865921787711</v>
      </c>
      <c r="AQ34" s="233">
        <f t="shared" si="14"/>
        <v>3.1665882132978602</v>
      </c>
      <c r="AR34" s="233">
        <f t="shared" si="15"/>
        <v>0.96458497105968211</v>
      </c>
      <c r="AS34" s="235">
        <f t="shared" si="16"/>
        <v>33.105027932960894</v>
      </c>
      <c r="AT34" s="235">
        <f t="shared" si="17"/>
        <v>50.535961542150602</v>
      </c>
      <c r="AU34" s="235">
        <f t="shared" si="18"/>
        <v>15.67409432377119</v>
      </c>
      <c r="AV34">
        <v>100</v>
      </c>
      <c r="AW34" s="235">
        <f t="shared" si="19"/>
        <v>62.766666666666666</v>
      </c>
      <c r="AX34" s="235">
        <f t="shared" si="20"/>
        <v>80.98511149172171</v>
      </c>
      <c r="AY34" s="235">
        <f t="shared" si="21"/>
        <v>44.548221841611614</v>
      </c>
      <c r="AZ34" s="235">
        <f t="shared" si="22"/>
        <v>2941.6666666666665</v>
      </c>
      <c r="BA34" s="235">
        <f t="shared" si="23"/>
        <v>4966.9775952753826</v>
      </c>
      <c r="BB34" s="235">
        <f t="shared" si="24"/>
        <v>916.35573805795048</v>
      </c>
      <c r="BC34" s="235">
        <f t="shared" si="25"/>
        <v>53.18888888888889</v>
      </c>
      <c r="BD34" s="235">
        <f t="shared" si="26"/>
        <v>112.67052202318322</v>
      </c>
      <c r="BE34" s="235">
        <f t="shared" si="27"/>
        <v>-6.2927442454054372</v>
      </c>
      <c r="BF34" s="235">
        <f t="shared" si="28"/>
        <v>3577.2222222222222</v>
      </c>
      <c r="BG34" s="235">
        <f t="shared" si="29"/>
        <v>5636.1265941907786</v>
      </c>
      <c r="BH34" s="235">
        <f t="shared" si="30"/>
        <v>1518.3178502536657</v>
      </c>
      <c r="BI34">
        <v>5000</v>
      </c>
      <c r="BJ34" s="235">
        <f t="shared" si="31"/>
        <v>0</v>
      </c>
      <c r="BK34" s="235">
        <f t="shared" si="32"/>
        <v>0</v>
      </c>
      <c r="BL34" s="235">
        <f t="shared" si="33"/>
        <v>0</v>
      </c>
      <c r="BO34" s="235">
        <f t="shared" si="34"/>
        <v>40926</v>
      </c>
      <c r="CD34" s="533">
        <f t="shared" si="35"/>
        <v>2.8</v>
      </c>
      <c r="CE34" s="102">
        <f t="shared" si="36"/>
        <v>13</v>
      </c>
      <c r="CF34" s="102">
        <f t="shared" si="37"/>
        <v>95</v>
      </c>
      <c r="CG34" s="102">
        <f t="shared" si="38"/>
        <v>8</v>
      </c>
      <c r="CH34" s="102">
        <f t="shared" si="39"/>
        <v>7.2</v>
      </c>
      <c r="CI34" s="102" t="str">
        <f t="shared" si="40"/>
        <v/>
      </c>
      <c r="CJ34" s="102">
        <f t="shared" si="41"/>
        <v>2.5</v>
      </c>
      <c r="CK34" s="102">
        <f t="shared" si="42"/>
        <v>38</v>
      </c>
      <c r="CL34" s="102">
        <f t="shared" si="43"/>
        <v>64</v>
      </c>
      <c r="CM34" s="102">
        <f t="shared" si="44"/>
        <v>3300</v>
      </c>
      <c r="CN34" s="102">
        <f t="shared" si="45"/>
        <v>98</v>
      </c>
      <c r="CO34" s="102">
        <f t="shared" si="46"/>
        <v>3800</v>
      </c>
      <c r="CP34" s="102" t="str">
        <f t="shared" si="47"/>
        <v/>
      </c>
    </row>
    <row r="35" spans="2:94">
      <c r="B35" t="s">
        <v>252</v>
      </c>
      <c r="C35" s="231">
        <v>40949</v>
      </c>
      <c r="D35" s="233">
        <v>0</v>
      </c>
      <c r="E35" s="233">
        <v>14.4</v>
      </c>
      <c r="F35" s="235">
        <v>96.3</v>
      </c>
      <c r="G35" s="233">
        <v>8</v>
      </c>
      <c r="H35" s="233">
        <v>4</v>
      </c>
      <c r="J35" s="233" t="s">
        <v>287</v>
      </c>
      <c r="K35" s="235">
        <v>30</v>
      </c>
      <c r="L35" s="235">
        <v>55</v>
      </c>
      <c r="M35" s="235">
        <v>2900</v>
      </c>
      <c r="N35" s="235">
        <v>170</v>
      </c>
      <c r="O35" s="235">
        <v>3500</v>
      </c>
      <c r="Q35">
        <v>2012</v>
      </c>
      <c r="R35">
        <v>2</v>
      </c>
      <c r="T35" s="226"/>
      <c r="U35" s="226"/>
      <c r="V35" s="226"/>
      <c r="W35" s="226"/>
      <c r="X35" s="226"/>
      <c r="Y35" s="226"/>
      <c r="Z35" s="226"/>
      <c r="AA35" s="233">
        <f t="shared" si="1"/>
        <v>10.332000000000001</v>
      </c>
      <c r="AB35" s="233">
        <f t="shared" si="2"/>
        <v>12.739174193481931</v>
      </c>
      <c r="AC35" s="233">
        <f t="shared" si="3"/>
        <v>7.9248258065180703</v>
      </c>
      <c r="AD35">
        <v>2.95</v>
      </c>
      <c r="AE35" s="233">
        <f t="shared" si="4"/>
        <v>7.9374301675977676</v>
      </c>
      <c r="AF35" s="233">
        <f t="shared" si="5"/>
        <v>8.0830597168027865</v>
      </c>
      <c r="AG35" s="233">
        <f t="shared" si="6"/>
        <v>7.7918006183927488</v>
      </c>
      <c r="AH35">
        <v>6.5</v>
      </c>
      <c r="AI35" s="233">
        <f t="shared" si="7"/>
        <v>3.3601117318435763</v>
      </c>
      <c r="AJ35" s="233">
        <f t="shared" si="8"/>
        <v>6.3851512410714601</v>
      </c>
      <c r="AK35" s="233">
        <f t="shared" si="9"/>
        <v>0.33507222261569281</v>
      </c>
      <c r="AL35">
        <v>7</v>
      </c>
      <c r="AM35" s="233">
        <f t="shared" si="10"/>
        <v>48.104347826086951</v>
      </c>
      <c r="AN35" s="233">
        <f t="shared" si="11"/>
        <v>52.277593646348265</v>
      </c>
      <c r="AO35" s="233">
        <f t="shared" si="12"/>
        <v>43.931102005825636</v>
      </c>
      <c r="AP35" s="233">
        <f t="shared" si="13"/>
        <v>2.0655865921787711</v>
      </c>
      <c r="AQ35" s="233">
        <f t="shared" si="14"/>
        <v>3.1665882132978602</v>
      </c>
      <c r="AR35" s="233">
        <f t="shared" si="15"/>
        <v>0.96458497105968211</v>
      </c>
      <c r="AS35" s="235">
        <f t="shared" si="16"/>
        <v>33.105027932960894</v>
      </c>
      <c r="AT35" s="235">
        <f t="shared" si="17"/>
        <v>50.535961542150602</v>
      </c>
      <c r="AU35" s="235">
        <f t="shared" si="18"/>
        <v>15.67409432377119</v>
      </c>
      <c r="AV35">
        <v>100</v>
      </c>
      <c r="AW35" s="235">
        <f t="shared" si="19"/>
        <v>62.766666666666666</v>
      </c>
      <c r="AX35" s="235">
        <f t="shared" si="20"/>
        <v>80.98511149172171</v>
      </c>
      <c r="AY35" s="235">
        <f t="shared" si="21"/>
        <v>44.548221841611614</v>
      </c>
      <c r="AZ35" s="235">
        <f t="shared" si="22"/>
        <v>2941.6666666666665</v>
      </c>
      <c r="BA35" s="235">
        <f t="shared" si="23"/>
        <v>4966.9775952753826</v>
      </c>
      <c r="BB35" s="235">
        <f t="shared" si="24"/>
        <v>916.35573805795048</v>
      </c>
      <c r="BC35" s="235">
        <f t="shared" si="25"/>
        <v>53.18888888888889</v>
      </c>
      <c r="BD35" s="235">
        <f t="shared" si="26"/>
        <v>112.67052202318322</v>
      </c>
      <c r="BE35" s="235">
        <f t="shared" si="27"/>
        <v>-6.2927442454054372</v>
      </c>
      <c r="BF35" s="235">
        <f t="shared" si="28"/>
        <v>3577.2222222222222</v>
      </c>
      <c r="BG35" s="235">
        <f t="shared" si="29"/>
        <v>5636.1265941907786</v>
      </c>
      <c r="BH35" s="235">
        <f t="shared" si="30"/>
        <v>1518.3178502536657</v>
      </c>
      <c r="BI35">
        <v>5000</v>
      </c>
      <c r="BJ35" s="235">
        <f t="shared" si="31"/>
        <v>0</v>
      </c>
      <c r="BK35" s="235">
        <f t="shared" si="32"/>
        <v>0</v>
      </c>
      <c r="BL35" s="235">
        <f t="shared" si="33"/>
        <v>0</v>
      </c>
      <c r="BO35" s="235">
        <f t="shared" si="34"/>
        <v>40949</v>
      </c>
      <c r="CD35" s="533">
        <f t="shared" si="35"/>
        <v>0</v>
      </c>
      <c r="CE35" s="102">
        <f t="shared" si="36"/>
        <v>14.4</v>
      </c>
      <c r="CF35" s="102">
        <f t="shared" si="37"/>
        <v>96.3</v>
      </c>
      <c r="CG35" s="102">
        <f t="shared" si="38"/>
        <v>8</v>
      </c>
      <c r="CH35" s="102">
        <f t="shared" si="39"/>
        <v>4</v>
      </c>
      <c r="CI35" s="102" t="str">
        <f t="shared" si="40"/>
        <v/>
      </c>
      <c r="CJ35" s="102">
        <f t="shared" si="41"/>
        <v>0.5</v>
      </c>
      <c r="CK35" s="102">
        <f t="shared" si="42"/>
        <v>30</v>
      </c>
      <c r="CL35" s="102">
        <f t="shared" si="43"/>
        <v>55</v>
      </c>
      <c r="CM35" s="102">
        <f t="shared" si="44"/>
        <v>2900</v>
      </c>
      <c r="CN35" s="102">
        <f t="shared" si="45"/>
        <v>170</v>
      </c>
      <c r="CO35" s="102">
        <f t="shared" si="46"/>
        <v>3500</v>
      </c>
      <c r="CP35" s="102" t="str">
        <f t="shared" si="47"/>
        <v/>
      </c>
    </row>
    <row r="36" spans="2:94">
      <c r="B36" t="s">
        <v>252</v>
      </c>
      <c r="C36" s="231">
        <v>40983</v>
      </c>
      <c r="D36" s="233">
        <v>5.6</v>
      </c>
      <c r="E36" s="233">
        <v>13.9</v>
      </c>
      <c r="F36" s="235">
        <v>100</v>
      </c>
      <c r="G36" s="233">
        <v>8.1</v>
      </c>
      <c r="H36" s="233">
        <v>4.4000000000000004</v>
      </c>
      <c r="J36" s="233">
        <v>2.2999999999999998</v>
      </c>
      <c r="K36" s="235">
        <v>19</v>
      </c>
      <c r="L36" s="235">
        <v>49</v>
      </c>
      <c r="M36" s="235">
        <v>3100</v>
      </c>
      <c r="N36" s="235">
        <v>87</v>
      </c>
      <c r="O36" s="235">
        <v>3800</v>
      </c>
      <c r="Q36">
        <v>2012</v>
      </c>
      <c r="R36">
        <v>3</v>
      </c>
      <c r="T36" s="226"/>
      <c r="U36" s="226"/>
      <c r="V36" s="226"/>
      <c r="W36" s="226"/>
      <c r="X36" s="226"/>
      <c r="Y36" s="226"/>
      <c r="Z36" s="226"/>
      <c r="AA36" s="233">
        <f t="shared" si="1"/>
        <v>10.332000000000001</v>
      </c>
      <c r="AB36" s="233">
        <f t="shared" si="2"/>
        <v>12.739174193481931</v>
      </c>
      <c r="AC36" s="233">
        <f t="shared" si="3"/>
        <v>7.9248258065180703</v>
      </c>
      <c r="AD36">
        <v>2.95</v>
      </c>
      <c r="AE36" s="233">
        <f t="shared" si="4"/>
        <v>7.9374301675977676</v>
      </c>
      <c r="AF36" s="233">
        <f t="shared" si="5"/>
        <v>8.0830597168027865</v>
      </c>
      <c r="AG36" s="233">
        <f t="shared" si="6"/>
        <v>7.7918006183927488</v>
      </c>
      <c r="AH36">
        <v>6.5</v>
      </c>
      <c r="AI36" s="233">
        <f t="shared" si="7"/>
        <v>3.3601117318435763</v>
      </c>
      <c r="AJ36" s="233">
        <f t="shared" si="8"/>
        <v>6.3851512410714601</v>
      </c>
      <c r="AK36" s="233">
        <f t="shared" si="9"/>
        <v>0.33507222261569281</v>
      </c>
      <c r="AL36">
        <v>7</v>
      </c>
      <c r="AM36" s="233">
        <f t="shared" si="10"/>
        <v>48.104347826086951</v>
      </c>
      <c r="AN36" s="233">
        <f t="shared" si="11"/>
        <v>52.277593646348265</v>
      </c>
      <c r="AO36" s="233">
        <f t="shared" si="12"/>
        <v>43.931102005825636</v>
      </c>
      <c r="AP36" s="233">
        <f t="shared" si="13"/>
        <v>2.0655865921787711</v>
      </c>
      <c r="AQ36" s="233">
        <f t="shared" si="14"/>
        <v>3.1665882132978602</v>
      </c>
      <c r="AR36" s="233">
        <f t="shared" si="15"/>
        <v>0.96458497105968211</v>
      </c>
      <c r="AS36" s="235">
        <f t="shared" si="16"/>
        <v>33.105027932960894</v>
      </c>
      <c r="AT36" s="235">
        <f t="shared" si="17"/>
        <v>50.535961542150602</v>
      </c>
      <c r="AU36" s="235">
        <f t="shared" si="18"/>
        <v>15.67409432377119</v>
      </c>
      <c r="AV36">
        <v>100</v>
      </c>
      <c r="AW36" s="235">
        <f t="shared" si="19"/>
        <v>62.766666666666666</v>
      </c>
      <c r="AX36" s="235">
        <f t="shared" si="20"/>
        <v>80.98511149172171</v>
      </c>
      <c r="AY36" s="235">
        <f t="shared" si="21"/>
        <v>44.548221841611614</v>
      </c>
      <c r="AZ36" s="235">
        <f t="shared" si="22"/>
        <v>2941.6666666666665</v>
      </c>
      <c r="BA36" s="235">
        <f t="shared" si="23"/>
        <v>4966.9775952753826</v>
      </c>
      <c r="BB36" s="235">
        <f t="shared" si="24"/>
        <v>916.35573805795048</v>
      </c>
      <c r="BC36" s="235">
        <f t="shared" si="25"/>
        <v>53.18888888888889</v>
      </c>
      <c r="BD36" s="235">
        <f t="shared" si="26"/>
        <v>112.67052202318322</v>
      </c>
      <c r="BE36" s="235">
        <f t="shared" si="27"/>
        <v>-6.2927442454054372</v>
      </c>
      <c r="BF36" s="235">
        <f t="shared" si="28"/>
        <v>3577.2222222222222</v>
      </c>
      <c r="BG36" s="235">
        <f t="shared" si="29"/>
        <v>5636.1265941907786</v>
      </c>
      <c r="BH36" s="235">
        <f t="shared" si="30"/>
        <v>1518.3178502536657</v>
      </c>
      <c r="BI36">
        <v>5000</v>
      </c>
      <c r="BJ36" s="235">
        <f t="shared" si="31"/>
        <v>0</v>
      </c>
      <c r="BK36" s="235">
        <f t="shared" si="32"/>
        <v>0</v>
      </c>
      <c r="BL36" s="235">
        <f t="shared" si="33"/>
        <v>0</v>
      </c>
      <c r="BO36" s="235">
        <f t="shared" si="34"/>
        <v>40983</v>
      </c>
      <c r="CD36" s="533">
        <f t="shared" si="35"/>
        <v>5.6</v>
      </c>
      <c r="CE36" s="102">
        <f t="shared" si="36"/>
        <v>13.9</v>
      </c>
      <c r="CF36" s="102">
        <f t="shared" si="37"/>
        <v>100</v>
      </c>
      <c r="CG36" s="102">
        <f t="shared" si="38"/>
        <v>8.1</v>
      </c>
      <c r="CH36" s="102">
        <f t="shared" si="39"/>
        <v>4.4000000000000004</v>
      </c>
      <c r="CI36" s="102" t="str">
        <f t="shared" si="40"/>
        <v/>
      </c>
      <c r="CJ36" s="102">
        <f t="shared" si="41"/>
        <v>2.2999999999999998</v>
      </c>
      <c r="CK36" s="102">
        <f t="shared" si="42"/>
        <v>19</v>
      </c>
      <c r="CL36" s="102">
        <f t="shared" si="43"/>
        <v>49</v>
      </c>
      <c r="CM36" s="102">
        <f t="shared" si="44"/>
        <v>3100</v>
      </c>
      <c r="CN36" s="102">
        <f t="shared" si="45"/>
        <v>87</v>
      </c>
      <c r="CO36" s="102">
        <f t="shared" si="46"/>
        <v>3800</v>
      </c>
      <c r="CP36" s="102" t="str">
        <f t="shared" si="47"/>
        <v/>
      </c>
    </row>
    <row r="37" spans="2:94">
      <c r="B37" t="s">
        <v>252</v>
      </c>
      <c r="C37" s="231">
        <v>41012</v>
      </c>
      <c r="D37" s="233">
        <v>7.6</v>
      </c>
      <c r="E37" s="233">
        <v>11</v>
      </c>
      <c r="F37" s="235">
        <v>94</v>
      </c>
      <c r="G37" s="233">
        <v>8.1</v>
      </c>
      <c r="H37" s="233">
        <v>3.1</v>
      </c>
      <c r="J37" s="233">
        <v>3</v>
      </c>
      <c r="K37" s="235">
        <v>10</v>
      </c>
      <c r="L37" s="235">
        <v>36</v>
      </c>
      <c r="M37" s="235">
        <v>2000</v>
      </c>
      <c r="N37" s="235">
        <v>140</v>
      </c>
      <c r="O37" s="235">
        <v>2600</v>
      </c>
      <c r="Q37">
        <v>2012</v>
      </c>
      <c r="R37">
        <v>4</v>
      </c>
      <c r="T37" s="226"/>
      <c r="U37" s="226"/>
      <c r="V37" s="226"/>
      <c r="W37" s="226"/>
      <c r="X37" s="226"/>
      <c r="Y37" s="226"/>
      <c r="Z37" s="226"/>
      <c r="AA37" s="233">
        <f t="shared" si="1"/>
        <v>10.332000000000001</v>
      </c>
      <c r="AB37" s="233">
        <f t="shared" si="2"/>
        <v>12.739174193481931</v>
      </c>
      <c r="AC37" s="233">
        <f t="shared" si="3"/>
        <v>7.9248258065180703</v>
      </c>
      <c r="AD37">
        <v>2.95</v>
      </c>
      <c r="AE37" s="233">
        <f t="shared" si="4"/>
        <v>7.9374301675977676</v>
      </c>
      <c r="AF37" s="233">
        <f t="shared" si="5"/>
        <v>8.0830597168027865</v>
      </c>
      <c r="AG37" s="233">
        <f t="shared" si="6"/>
        <v>7.7918006183927488</v>
      </c>
      <c r="AH37">
        <v>6.5</v>
      </c>
      <c r="AI37" s="233">
        <f t="shared" si="7"/>
        <v>3.3601117318435763</v>
      </c>
      <c r="AJ37" s="233">
        <f t="shared" si="8"/>
        <v>6.3851512410714601</v>
      </c>
      <c r="AK37" s="233">
        <f t="shared" si="9"/>
        <v>0.33507222261569281</v>
      </c>
      <c r="AL37">
        <v>7</v>
      </c>
      <c r="AM37" s="233">
        <f t="shared" si="10"/>
        <v>48.104347826086951</v>
      </c>
      <c r="AN37" s="233">
        <f t="shared" si="11"/>
        <v>52.277593646348265</v>
      </c>
      <c r="AO37" s="233">
        <f t="shared" si="12"/>
        <v>43.931102005825636</v>
      </c>
      <c r="AP37" s="233">
        <f t="shared" si="13"/>
        <v>2.0655865921787711</v>
      </c>
      <c r="AQ37" s="233">
        <f t="shared" si="14"/>
        <v>3.1665882132978602</v>
      </c>
      <c r="AR37" s="233">
        <f t="shared" si="15"/>
        <v>0.96458497105968211</v>
      </c>
      <c r="AS37" s="235">
        <f t="shared" si="16"/>
        <v>33.105027932960894</v>
      </c>
      <c r="AT37" s="235">
        <f t="shared" si="17"/>
        <v>50.535961542150602</v>
      </c>
      <c r="AU37" s="235">
        <f t="shared" si="18"/>
        <v>15.67409432377119</v>
      </c>
      <c r="AV37">
        <v>100</v>
      </c>
      <c r="AW37" s="235">
        <f t="shared" si="19"/>
        <v>62.766666666666666</v>
      </c>
      <c r="AX37" s="235">
        <f t="shared" si="20"/>
        <v>80.98511149172171</v>
      </c>
      <c r="AY37" s="235">
        <f t="shared" si="21"/>
        <v>44.548221841611614</v>
      </c>
      <c r="AZ37" s="235">
        <f t="shared" si="22"/>
        <v>2941.6666666666665</v>
      </c>
      <c r="BA37" s="235">
        <f t="shared" si="23"/>
        <v>4966.9775952753826</v>
      </c>
      <c r="BB37" s="235">
        <f t="shared" si="24"/>
        <v>916.35573805795048</v>
      </c>
      <c r="BC37" s="235">
        <f t="shared" si="25"/>
        <v>53.18888888888889</v>
      </c>
      <c r="BD37" s="235">
        <f t="shared" si="26"/>
        <v>112.67052202318322</v>
      </c>
      <c r="BE37" s="235">
        <f t="shared" si="27"/>
        <v>-6.2927442454054372</v>
      </c>
      <c r="BF37" s="235">
        <f t="shared" si="28"/>
        <v>3577.2222222222222</v>
      </c>
      <c r="BG37" s="235">
        <f t="shared" si="29"/>
        <v>5636.1265941907786</v>
      </c>
      <c r="BH37" s="235">
        <f t="shared" si="30"/>
        <v>1518.3178502536657</v>
      </c>
      <c r="BI37">
        <v>5000</v>
      </c>
      <c r="BJ37" s="235">
        <f t="shared" si="31"/>
        <v>0</v>
      </c>
      <c r="BK37" s="235">
        <f t="shared" si="32"/>
        <v>0</v>
      </c>
      <c r="BL37" s="235">
        <f t="shared" si="33"/>
        <v>0</v>
      </c>
      <c r="BO37" s="235">
        <f t="shared" si="34"/>
        <v>41012</v>
      </c>
      <c r="CD37" s="533">
        <f t="shared" si="35"/>
        <v>7.6</v>
      </c>
      <c r="CE37" s="102">
        <f t="shared" si="36"/>
        <v>11</v>
      </c>
      <c r="CF37" s="102">
        <f t="shared" si="37"/>
        <v>94</v>
      </c>
      <c r="CG37" s="102">
        <f t="shared" si="38"/>
        <v>8.1</v>
      </c>
      <c r="CH37" s="102">
        <f t="shared" si="39"/>
        <v>3.1</v>
      </c>
      <c r="CI37" s="102" t="str">
        <f t="shared" si="40"/>
        <v/>
      </c>
      <c r="CJ37" s="102">
        <f t="shared" si="41"/>
        <v>3</v>
      </c>
      <c r="CK37" s="102">
        <f t="shared" si="42"/>
        <v>10</v>
      </c>
      <c r="CL37" s="102">
        <f t="shared" si="43"/>
        <v>36</v>
      </c>
      <c r="CM37" s="102">
        <f t="shared" si="44"/>
        <v>2000</v>
      </c>
      <c r="CN37" s="102">
        <f t="shared" si="45"/>
        <v>140</v>
      </c>
      <c r="CO37" s="102">
        <f t="shared" si="46"/>
        <v>2600</v>
      </c>
      <c r="CP37" s="102" t="str">
        <f t="shared" si="47"/>
        <v/>
      </c>
    </row>
    <row r="38" spans="2:94">
      <c r="B38" t="s">
        <v>252</v>
      </c>
      <c r="C38" s="231">
        <v>41044</v>
      </c>
      <c r="D38" s="233">
        <v>13.7</v>
      </c>
      <c r="E38" s="233">
        <v>9.6999999999999993</v>
      </c>
      <c r="F38" s="235">
        <v>94</v>
      </c>
      <c r="G38" s="233">
        <v>8.1</v>
      </c>
      <c r="H38" s="233">
        <v>3.2</v>
      </c>
      <c r="J38" s="233">
        <v>2.8</v>
      </c>
      <c r="K38" s="235">
        <v>5</v>
      </c>
      <c r="L38" s="235">
        <v>44</v>
      </c>
      <c r="M38" s="235">
        <v>1300</v>
      </c>
      <c r="N38" s="235" t="s">
        <v>148</v>
      </c>
      <c r="O38" s="235">
        <v>2100</v>
      </c>
      <c r="Q38">
        <v>2012</v>
      </c>
      <c r="R38">
        <v>5</v>
      </c>
      <c r="T38" s="226"/>
      <c r="U38" s="226"/>
      <c r="V38" s="226"/>
      <c r="W38" s="226"/>
      <c r="X38" s="226"/>
      <c r="Y38" s="226"/>
      <c r="Z38" s="226"/>
      <c r="AA38" s="233">
        <f t="shared" si="1"/>
        <v>10.332000000000001</v>
      </c>
      <c r="AB38" s="233">
        <f t="shared" si="2"/>
        <v>12.739174193481931</v>
      </c>
      <c r="AC38" s="233">
        <f t="shared" si="3"/>
        <v>7.9248258065180703</v>
      </c>
      <c r="AD38">
        <v>2.95</v>
      </c>
      <c r="AE38" s="233">
        <f t="shared" si="4"/>
        <v>7.9374301675977676</v>
      </c>
      <c r="AF38" s="233">
        <f t="shared" si="5"/>
        <v>8.0830597168027865</v>
      </c>
      <c r="AG38" s="233">
        <f t="shared" si="6"/>
        <v>7.7918006183927488</v>
      </c>
      <c r="AH38">
        <v>6.5</v>
      </c>
      <c r="AI38" s="233">
        <f t="shared" si="7"/>
        <v>3.3601117318435763</v>
      </c>
      <c r="AJ38" s="233">
        <f t="shared" si="8"/>
        <v>6.3851512410714601</v>
      </c>
      <c r="AK38" s="233">
        <f t="shared" si="9"/>
        <v>0.33507222261569281</v>
      </c>
      <c r="AL38">
        <v>7</v>
      </c>
      <c r="AM38" s="233">
        <f t="shared" si="10"/>
        <v>48.104347826086951</v>
      </c>
      <c r="AN38" s="233">
        <f t="shared" si="11"/>
        <v>52.277593646348265</v>
      </c>
      <c r="AO38" s="233">
        <f t="shared" si="12"/>
        <v>43.931102005825636</v>
      </c>
      <c r="AP38" s="233">
        <f t="shared" si="13"/>
        <v>2.0655865921787711</v>
      </c>
      <c r="AQ38" s="233">
        <f t="shared" si="14"/>
        <v>3.1665882132978602</v>
      </c>
      <c r="AR38" s="233">
        <f t="shared" si="15"/>
        <v>0.96458497105968211</v>
      </c>
      <c r="AS38" s="235">
        <f t="shared" si="16"/>
        <v>33.105027932960894</v>
      </c>
      <c r="AT38" s="235">
        <f t="shared" si="17"/>
        <v>50.535961542150602</v>
      </c>
      <c r="AU38" s="235">
        <f t="shared" si="18"/>
        <v>15.67409432377119</v>
      </c>
      <c r="AV38">
        <v>100</v>
      </c>
      <c r="AW38" s="235">
        <f t="shared" si="19"/>
        <v>62.766666666666666</v>
      </c>
      <c r="AX38" s="235">
        <f t="shared" si="20"/>
        <v>80.98511149172171</v>
      </c>
      <c r="AY38" s="235">
        <f t="shared" si="21"/>
        <v>44.548221841611614</v>
      </c>
      <c r="AZ38" s="235">
        <f t="shared" si="22"/>
        <v>2941.6666666666665</v>
      </c>
      <c r="BA38" s="235">
        <f t="shared" si="23"/>
        <v>4966.9775952753826</v>
      </c>
      <c r="BB38" s="235">
        <f t="shared" si="24"/>
        <v>916.35573805795048</v>
      </c>
      <c r="BC38" s="235">
        <f t="shared" si="25"/>
        <v>53.18888888888889</v>
      </c>
      <c r="BD38" s="235">
        <f t="shared" si="26"/>
        <v>112.67052202318322</v>
      </c>
      <c r="BE38" s="235">
        <f t="shared" si="27"/>
        <v>-6.2927442454054372</v>
      </c>
      <c r="BF38" s="235">
        <f t="shared" si="28"/>
        <v>3577.2222222222222</v>
      </c>
      <c r="BG38" s="235">
        <f t="shared" si="29"/>
        <v>5636.1265941907786</v>
      </c>
      <c r="BH38" s="235">
        <f t="shared" si="30"/>
        <v>1518.3178502536657</v>
      </c>
      <c r="BI38">
        <v>5000</v>
      </c>
      <c r="BJ38" s="235">
        <f t="shared" si="31"/>
        <v>0</v>
      </c>
      <c r="BK38" s="235">
        <f t="shared" si="32"/>
        <v>0</v>
      </c>
      <c r="BL38" s="235">
        <f t="shared" si="33"/>
        <v>0</v>
      </c>
      <c r="BO38" s="235">
        <f t="shared" si="34"/>
        <v>41044</v>
      </c>
      <c r="CD38" s="533">
        <f t="shared" si="35"/>
        <v>13.7</v>
      </c>
      <c r="CE38" s="102">
        <f t="shared" si="36"/>
        <v>9.6999999999999993</v>
      </c>
      <c r="CF38" s="102">
        <f t="shared" si="37"/>
        <v>94</v>
      </c>
      <c r="CG38" s="102">
        <f t="shared" si="38"/>
        <v>8.1</v>
      </c>
      <c r="CH38" s="102">
        <f t="shared" si="39"/>
        <v>3.2</v>
      </c>
      <c r="CI38" s="102" t="str">
        <f t="shared" si="40"/>
        <v/>
      </c>
      <c r="CJ38" s="102">
        <f t="shared" si="41"/>
        <v>2.8</v>
      </c>
      <c r="CK38" s="102">
        <f t="shared" si="42"/>
        <v>5</v>
      </c>
      <c r="CL38" s="102">
        <f t="shared" si="43"/>
        <v>44</v>
      </c>
      <c r="CM38" s="102">
        <f t="shared" si="44"/>
        <v>1300</v>
      </c>
      <c r="CN38" s="102">
        <f t="shared" si="45"/>
        <v>10</v>
      </c>
      <c r="CO38" s="102">
        <f t="shared" si="46"/>
        <v>2100</v>
      </c>
      <c r="CP38" s="102" t="str">
        <f t="shared" si="47"/>
        <v/>
      </c>
    </row>
    <row r="39" spans="2:94">
      <c r="B39" t="s">
        <v>252</v>
      </c>
      <c r="C39" s="231">
        <v>41078</v>
      </c>
      <c r="D39" s="233">
        <v>17.5</v>
      </c>
      <c r="E39" s="233">
        <v>8.1999999999999993</v>
      </c>
      <c r="F39" s="235">
        <v>86</v>
      </c>
      <c r="G39" s="233">
        <v>7.9</v>
      </c>
      <c r="H39" s="233">
        <v>2.2999999999999998</v>
      </c>
      <c r="J39" s="233">
        <v>1.3</v>
      </c>
      <c r="K39" s="235">
        <v>28</v>
      </c>
      <c r="L39" s="235">
        <v>66</v>
      </c>
      <c r="M39" s="235">
        <v>1200</v>
      </c>
      <c r="N39" s="235">
        <v>48</v>
      </c>
      <c r="O39" s="235">
        <v>2200</v>
      </c>
      <c r="Q39">
        <v>2012</v>
      </c>
      <c r="R39">
        <v>6</v>
      </c>
      <c r="T39" s="226"/>
      <c r="U39" s="226"/>
      <c r="V39" s="226"/>
      <c r="W39" s="226"/>
      <c r="X39" s="226"/>
      <c r="Y39" s="226"/>
      <c r="Z39" s="226"/>
      <c r="AA39" s="233">
        <f t="shared" si="1"/>
        <v>10.332000000000001</v>
      </c>
      <c r="AB39" s="233">
        <f t="shared" si="2"/>
        <v>12.739174193481931</v>
      </c>
      <c r="AC39" s="233">
        <f t="shared" si="3"/>
        <v>7.9248258065180703</v>
      </c>
      <c r="AD39">
        <v>2.95</v>
      </c>
      <c r="AE39" s="233">
        <f t="shared" si="4"/>
        <v>7.9374301675977676</v>
      </c>
      <c r="AF39" s="233">
        <f t="shared" si="5"/>
        <v>8.0830597168027865</v>
      </c>
      <c r="AG39" s="233">
        <f t="shared" si="6"/>
        <v>7.7918006183927488</v>
      </c>
      <c r="AH39">
        <v>6.5</v>
      </c>
      <c r="AI39" s="233">
        <f t="shared" si="7"/>
        <v>3.3601117318435763</v>
      </c>
      <c r="AJ39" s="233">
        <f t="shared" si="8"/>
        <v>6.3851512410714601</v>
      </c>
      <c r="AK39" s="233">
        <f t="shared" si="9"/>
        <v>0.33507222261569281</v>
      </c>
      <c r="AL39">
        <v>7</v>
      </c>
      <c r="AM39" s="233">
        <f t="shared" si="10"/>
        <v>48.104347826086951</v>
      </c>
      <c r="AN39" s="233">
        <f t="shared" si="11"/>
        <v>52.277593646348265</v>
      </c>
      <c r="AO39" s="233">
        <f t="shared" si="12"/>
        <v>43.931102005825636</v>
      </c>
      <c r="AP39" s="233">
        <f t="shared" si="13"/>
        <v>2.0655865921787711</v>
      </c>
      <c r="AQ39" s="233">
        <f t="shared" si="14"/>
        <v>3.1665882132978602</v>
      </c>
      <c r="AR39" s="233">
        <f t="shared" si="15"/>
        <v>0.96458497105968211</v>
      </c>
      <c r="AS39" s="235">
        <f t="shared" si="16"/>
        <v>33.105027932960894</v>
      </c>
      <c r="AT39" s="235">
        <f t="shared" si="17"/>
        <v>50.535961542150602</v>
      </c>
      <c r="AU39" s="235">
        <f t="shared" si="18"/>
        <v>15.67409432377119</v>
      </c>
      <c r="AV39">
        <v>100</v>
      </c>
      <c r="AW39" s="235">
        <f t="shared" si="19"/>
        <v>62.766666666666666</v>
      </c>
      <c r="AX39" s="235">
        <f t="shared" si="20"/>
        <v>80.98511149172171</v>
      </c>
      <c r="AY39" s="235">
        <f t="shared" si="21"/>
        <v>44.548221841611614</v>
      </c>
      <c r="AZ39" s="235">
        <f t="shared" si="22"/>
        <v>2941.6666666666665</v>
      </c>
      <c r="BA39" s="235">
        <f t="shared" si="23"/>
        <v>4966.9775952753826</v>
      </c>
      <c r="BB39" s="235">
        <f t="shared" si="24"/>
        <v>916.35573805795048</v>
      </c>
      <c r="BC39" s="235">
        <f t="shared" si="25"/>
        <v>53.18888888888889</v>
      </c>
      <c r="BD39" s="235">
        <f t="shared" si="26"/>
        <v>112.67052202318322</v>
      </c>
      <c r="BE39" s="235">
        <f t="shared" si="27"/>
        <v>-6.2927442454054372</v>
      </c>
      <c r="BF39" s="235">
        <f t="shared" si="28"/>
        <v>3577.2222222222222</v>
      </c>
      <c r="BG39" s="235">
        <f t="shared" si="29"/>
        <v>5636.1265941907786</v>
      </c>
      <c r="BH39" s="235">
        <f t="shared" si="30"/>
        <v>1518.3178502536657</v>
      </c>
      <c r="BI39">
        <v>5000</v>
      </c>
      <c r="BJ39" s="235">
        <f t="shared" si="31"/>
        <v>0</v>
      </c>
      <c r="BK39" s="235">
        <f t="shared" si="32"/>
        <v>0</v>
      </c>
      <c r="BL39" s="235">
        <f t="shared" si="33"/>
        <v>0</v>
      </c>
      <c r="BO39" s="235">
        <f t="shared" si="34"/>
        <v>41078</v>
      </c>
      <c r="CD39" s="533">
        <f t="shared" si="35"/>
        <v>17.5</v>
      </c>
      <c r="CE39" s="102">
        <f t="shared" si="36"/>
        <v>8.1999999999999993</v>
      </c>
      <c r="CF39" s="102">
        <f t="shared" si="37"/>
        <v>86</v>
      </c>
      <c r="CG39" s="102">
        <f t="shared" si="38"/>
        <v>7.9</v>
      </c>
      <c r="CH39" s="102">
        <f t="shared" si="39"/>
        <v>2.2999999999999998</v>
      </c>
      <c r="CI39" s="102" t="str">
        <f t="shared" si="40"/>
        <v/>
      </c>
      <c r="CJ39" s="102">
        <f t="shared" si="41"/>
        <v>1.3</v>
      </c>
      <c r="CK39" s="102">
        <f t="shared" si="42"/>
        <v>28</v>
      </c>
      <c r="CL39" s="102">
        <f t="shared" si="43"/>
        <v>66</v>
      </c>
      <c r="CM39" s="102">
        <f t="shared" si="44"/>
        <v>1200</v>
      </c>
      <c r="CN39" s="102">
        <f t="shared" si="45"/>
        <v>48</v>
      </c>
      <c r="CO39" s="102">
        <f t="shared" si="46"/>
        <v>2200</v>
      </c>
      <c r="CP39" s="102" t="str">
        <f t="shared" si="47"/>
        <v/>
      </c>
    </row>
    <row r="40" spans="2:94">
      <c r="B40" t="s">
        <v>252</v>
      </c>
      <c r="C40" s="231">
        <v>41101</v>
      </c>
      <c r="D40" s="233">
        <v>19.7</v>
      </c>
      <c r="E40" s="233">
        <v>7.6</v>
      </c>
      <c r="F40" s="235">
        <v>83</v>
      </c>
      <c r="G40" s="233">
        <v>7.9</v>
      </c>
      <c r="H40" s="233">
        <v>1.1000000000000001</v>
      </c>
      <c r="J40" s="233">
        <v>0.75</v>
      </c>
      <c r="K40" s="235">
        <v>49</v>
      </c>
      <c r="L40" s="235">
        <v>76</v>
      </c>
      <c r="M40" s="235">
        <v>1200</v>
      </c>
      <c r="N40" s="235">
        <v>45</v>
      </c>
      <c r="O40" s="235">
        <v>1700</v>
      </c>
      <c r="Q40">
        <v>2012</v>
      </c>
      <c r="R40">
        <v>7</v>
      </c>
      <c r="T40" s="226"/>
      <c r="U40" s="226"/>
      <c r="V40" s="226"/>
      <c r="W40" s="226"/>
      <c r="X40" s="226"/>
      <c r="Y40" s="226"/>
      <c r="Z40" s="226"/>
      <c r="AA40" s="233">
        <f t="shared" si="1"/>
        <v>10.332000000000001</v>
      </c>
      <c r="AB40" s="233">
        <f t="shared" si="2"/>
        <v>12.739174193481931</v>
      </c>
      <c r="AC40" s="233">
        <f t="shared" si="3"/>
        <v>7.9248258065180703</v>
      </c>
      <c r="AD40">
        <v>2.95</v>
      </c>
      <c r="AE40" s="233">
        <f t="shared" si="4"/>
        <v>7.9374301675977676</v>
      </c>
      <c r="AF40" s="233">
        <f t="shared" si="5"/>
        <v>8.0830597168027865</v>
      </c>
      <c r="AG40" s="233">
        <f t="shared" si="6"/>
        <v>7.7918006183927488</v>
      </c>
      <c r="AH40">
        <v>6.5</v>
      </c>
      <c r="AI40" s="233">
        <f t="shared" si="7"/>
        <v>3.3601117318435763</v>
      </c>
      <c r="AJ40" s="233">
        <f t="shared" si="8"/>
        <v>6.3851512410714601</v>
      </c>
      <c r="AK40" s="233">
        <f t="shared" si="9"/>
        <v>0.33507222261569281</v>
      </c>
      <c r="AL40">
        <v>7</v>
      </c>
      <c r="AM40" s="233">
        <f t="shared" si="10"/>
        <v>48.104347826086951</v>
      </c>
      <c r="AN40" s="233">
        <f t="shared" si="11"/>
        <v>52.277593646348265</v>
      </c>
      <c r="AO40" s="233">
        <f t="shared" si="12"/>
        <v>43.931102005825636</v>
      </c>
      <c r="AP40" s="233">
        <f t="shared" si="13"/>
        <v>2.0655865921787711</v>
      </c>
      <c r="AQ40" s="233">
        <f t="shared" si="14"/>
        <v>3.1665882132978602</v>
      </c>
      <c r="AR40" s="233">
        <f t="shared" si="15"/>
        <v>0.96458497105968211</v>
      </c>
      <c r="AS40" s="235">
        <f t="shared" si="16"/>
        <v>33.105027932960894</v>
      </c>
      <c r="AT40" s="235">
        <f t="shared" si="17"/>
        <v>50.535961542150602</v>
      </c>
      <c r="AU40" s="235">
        <f t="shared" si="18"/>
        <v>15.67409432377119</v>
      </c>
      <c r="AV40">
        <v>100</v>
      </c>
      <c r="AW40" s="235">
        <f t="shared" si="19"/>
        <v>62.766666666666666</v>
      </c>
      <c r="AX40" s="235">
        <f t="shared" si="20"/>
        <v>80.98511149172171</v>
      </c>
      <c r="AY40" s="235">
        <f t="shared" si="21"/>
        <v>44.548221841611614</v>
      </c>
      <c r="AZ40" s="235">
        <f t="shared" si="22"/>
        <v>2941.6666666666665</v>
      </c>
      <c r="BA40" s="235">
        <f t="shared" si="23"/>
        <v>4966.9775952753826</v>
      </c>
      <c r="BB40" s="235">
        <f t="shared" si="24"/>
        <v>916.35573805795048</v>
      </c>
      <c r="BC40" s="235">
        <f t="shared" si="25"/>
        <v>53.18888888888889</v>
      </c>
      <c r="BD40" s="235">
        <f t="shared" si="26"/>
        <v>112.67052202318322</v>
      </c>
      <c r="BE40" s="235">
        <f t="shared" si="27"/>
        <v>-6.2927442454054372</v>
      </c>
      <c r="BF40" s="235">
        <f t="shared" si="28"/>
        <v>3577.2222222222222</v>
      </c>
      <c r="BG40" s="235">
        <f t="shared" si="29"/>
        <v>5636.1265941907786</v>
      </c>
      <c r="BH40" s="235">
        <f t="shared" si="30"/>
        <v>1518.3178502536657</v>
      </c>
      <c r="BI40">
        <v>5000</v>
      </c>
      <c r="BJ40" s="235">
        <f t="shared" si="31"/>
        <v>0</v>
      </c>
      <c r="BK40" s="235">
        <f t="shared" si="32"/>
        <v>0</v>
      </c>
      <c r="BL40" s="235">
        <f t="shared" si="33"/>
        <v>0</v>
      </c>
      <c r="BO40" s="235">
        <f t="shared" si="34"/>
        <v>41101</v>
      </c>
      <c r="CD40" s="533">
        <f t="shared" si="35"/>
        <v>19.7</v>
      </c>
      <c r="CE40" s="102">
        <f t="shared" si="36"/>
        <v>7.6</v>
      </c>
      <c r="CF40" s="102">
        <f t="shared" si="37"/>
        <v>83</v>
      </c>
      <c r="CG40" s="102">
        <f t="shared" si="38"/>
        <v>7.9</v>
      </c>
      <c r="CH40" s="102">
        <f t="shared" si="39"/>
        <v>1.1000000000000001</v>
      </c>
      <c r="CI40" s="102" t="str">
        <f t="shared" si="40"/>
        <v/>
      </c>
      <c r="CJ40" s="102">
        <f t="shared" si="41"/>
        <v>0.75</v>
      </c>
      <c r="CK40" s="102">
        <f t="shared" si="42"/>
        <v>49</v>
      </c>
      <c r="CL40" s="102">
        <f t="shared" si="43"/>
        <v>76</v>
      </c>
      <c r="CM40" s="102">
        <f t="shared" si="44"/>
        <v>1200</v>
      </c>
      <c r="CN40" s="102">
        <f t="shared" si="45"/>
        <v>45</v>
      </c>
      <c r="CO40" s="102">
        <f t="shared" si="46"/>
        <v>1700</v>
      </c>
      <c r="CP40" s="102" t="str">
        <f t="shared" si="47"/>
        <v/>
      </c>
    </row>
    <row r="41" spans="2:94">
      <c r="B41" t="s">
        <v>252</v>
      </c>
      <c r="C41" s="231">
        <v>41136</v>
      </c>
      <c r="D41" s="233">
        <v>17.8</v>
      </c>
      <c r="E41" s="233">
        <v>9.3000000000000007</v>
      </c>
      <c r="F41" s="235">
        <v>99</v>
      </c>
      <c r="G41" s="233">
        <v>8</v>
      </c>
      <c r="H41" s="233">
        <v>0.97</v>
      </c>
      <c r="J41" s="233">
        <v>1.1000000000000001</v>
      </c>
      <c r="K41" s="235">
        <v>36</v>
      </c>
      <c r="L41" s="235">
        <v>62</v>
      </c>
      <c r="M41" s="235">
        <v>690</v>
      </c>
      <c r="N41" s="235">
        <v>13</v>
      </c>
      <c r="O41" s="235">
        <v>1100</v>
      </c>
      <c r="Q41">
        <v>2012</v>
      </c>
      <c r="R41">
        <v>8</v>
      </c>
      <c r="T41" s="226"/>
      <c r="U41" s="226"/>
      <c r="V41" s="226"/>
      <c r="W41" s="226"/>
      <c r="X41" s="226"/>
      <c r="Y41" s="226"/>
      <c r="Z41" s="226"/>
      <c r="AA41" s="233">
        <f t="shared" si="1"/>
        <v>10.332000000000001</v>
      </c>
      <c r="AB41" s="233">
        <f t="shared" si="2"/>
        <v>12.739174193481931</v>
      </c>
      <c r="AC41" s="233">
        <f t="shared" si="3"/>
        <v>7.9248258065180703</v>
      </c>
      <c r="AD41">
        <v>2.95</v>
      </c>
      <c r="AE41" s="233">
        <f t="shared" si="4"/>
        <v>7.9374301675977676</v>
      </c>
      <c r="AF41" s="233">
        <f t="shared" si="5"/>
        <v>8.0830597168027865</v>
      </c>
      <c r="AG41" s="233">
        <f t="shared" si="6"/>
        <v>7.7918006183927488</v>
      </c>
      <c r="AH41">
        <v>6.5</v>
      </c>
      <c r="AI41" s="233">
        <f t="shared" si="7"/>
        <v>3.3601117318435763</v>
      </c>
      <c r="AJ41" s="233">
        <f t="shared" si="8"/>
        <v>6.3851512410714601</v>
      </c>
      <c r="AK41" s="233">
        <f t="shared" si="9"/>
        <v>0.33507222261569281</v>
      </c>
      <c r="AL41">
        <v>7</v>
      </c>
      <c r="AM41" s="233">
        <f t="shared" si="10"/>
        <v>48.104347826086951</v>
      </c>
      <c r="AN41" s="233">
        <f t="shared" si="11"/>
        <v>52.277593646348265</v>
      </c>
      <c r="AO41" s="233">
        <f t="shared" si="12"/>
        <v>43.931102005825636</v>
      </c>
      <c r="AP41" s="233">
        <f t="shared" si="13"/>
        <v>2.0655865921787711</v>
      </c>
      <c r="AQ41" s="233">
        <f t="shared" si="14"/>
        <v>3.1665882132978602</v>
      </c>
      <c r="AR41" s="233">
        <f t="shared" si="15"/>
        <v>0.96458497105968211</v>
      </c>
      <c r="AS41" s="235">
        <f t="shared" si="16"/>
        <v>33.105027932960894</v>
      </c>
      <c r="AT41" s="235">
        <f t="shared" si="17"/>
        <v>50.535961542150602</v>
      </c>
      <c r="AU41" s="235">
        <f t="shared" si="18"/>
        <v>15.67409432377119</v>
      </c>
      <c r="AV41">
        <v>100</v>
      </c>
      <c r="AW41" s="235">
        <f t="shared" si="19"/>
        <v>62.766666666666666</v>
      </c>
      <c r="AX41" s="235">
        <f t="shared" si="20"/>
        <v>80.98511149172171</v>
      </c>
      <c r="AY41" s="235">
        <f t="shared" si="21"/>
        <v>44.548221841611614</v>
      </c>
      <c r="AZ41" s="235">
        <f t="shared" si="22"/>
        <v>2941.6666666666665</v>
      </c>
      <c r="BA41" s="235">
        <f t="shared" si="23"/>
        <v>4966.9775952753826</v>
      </c>
      <c r="BB41" s="235">
        <f t="shared" si="24"/>
        <v>916.35573805795048</v>
      </c>
      <c r="BC41" s="235">
        <f t="shared" si="25"/>
        <v>53.18888888888889</v>
      </c>
      <c r="BD41" s="235">
        <f t="shared" si="26"/>
        <v>112.67052202318322</v>
      </c>
      <c r="BE41" s="235">
        <f t="shared" si="27"/>
        <v>-6.2927442454054372</v>
      </c>
      <c r="BF41" s="235">
        <f t="shared" si="28"/>
        <v>3577.2222222222222</v>
      </c>
      <c r="BG41" s="235">
        <f t="shared" si="29"/>
        <v>5636.1265941907786</v>
      </c>
      <c r="BH41" s="235">
        <f t="shared" si="30"/>
        <v>1518.3178502536657</v>
      </c>
      <c r="BI41">
        <v>5000</v>
      </c>
      <c r="BJ41" s="235">
        <f t="shared" si="31"/>
        <v>0</v>
      </c>
      <c r="BK41" s="235">
        <f t="shared" si="32"/>
        <v>0</v>
      </c>
      <c r="BL41" s="235">
        <f t="shared" si="33"/>
        <v>0</v>
      </c>
      <c r="BO41" s="235">
        <f t="shared" si="34"/>
        <v>41136</v>
      </c>
      <c r="CD41" s="533">
        <f t="shared" si="35"/>
        <v>17.8</v>
      </c>
      <c r="CE41" s="102">
        <f t="shared" si="36"/>
        <v>9.3000000000000007</v>
      </c>
      <c r="CF41" s="102">
        <f t="shared" si="37"/>
        <v>99</v>
      </c>
      <c r="CG41" s="102">
        <f t="shared" si="38"/>
        <v>8</v>
      </c>
      <c r="CH41" s="102">
        <f t="shared" si="39"/>
        <v>0.97</v>
      </c>
      <c r="CI41" s="102" t="str">
        <f t="shared" si="40"/>
        <v/>
      </c>
      <c r="CJ41" s="102">
        <f t="shared" si="41"/>
        <v>1.1000000000000001</v>
      </c>
      <c r="CK41" s="102">
        <f t="shared" si="42"/>
        <v>36</v>
      </c>
      <c r="CL41" s="102">
        <f t="shared" si="43"/>
        <v>62</v>
      </c>
      <c r="CM41" s="102">
        <f t="shared" si="44"/>
        <v>690</v>
      </c>
      <c r="CN41" s="102">
        <f t="shared" si="45"/>
        <v>13</v>
      </c>
      <c r="CO41" s="102">
        <f t="shared" si="46"/>
        <v>1100</v>
      </c>
      <c r="CP41" s="102" t="str">
        <f t="shared" si="47"/>
        <v/>
      </c>
    </row>
    <row r="42" spans="2:94">
      <c r="B42" t="s">
        <v>252</v>
      </c>
      <c r="C42" s="231">
        <v>41169</v>
      </c>
      <c r="D42" s="233">
        <v>17.100000000000001</v>
      </c>
      <c r="E42" s="233">
        <v>8.1999999999999993</v>
      </c>
      <c r="F42" s="235">
        <v>84</v>
      </c>
      <c r="G42" s="233">
        <v>8</v>
      </c>
      <c r="H42" s="233">
        <v>1.2</v>
      </c>
      <c r="J42" s="233">
        <v>0.85</v>
      </c>
      <c r="K42" s="235">
        <v>51</v>
      </c>
      <c r="L42" s="235">
        <v>81</v>
      </c>
      <c r="M42" s="235">
        <v>860</v>
      </c>
      <c r="N42" s="235">
        <v>17</v>
      </c>
      <c r="O42" s="235">
        <v>1500</v>
      </c>
      <c r="Q42">
        <v>2012</v>
      </c>
      <c r="R42">
        <v>9</v>
      </c>
      <c r="T42" s="226"/>
      <c r="U42" s="226"/>
      <c r="V42" s="226"/>
      <c r="W42" s="226"/>
      <c r="X42" s="226"/>
      <c r="Y42" s="226"/>
      <c r="Z42" s="226"/>
      <c r="AA42" s="233">
        <f t="shared" si="1"/>
        <v>10.332000000000001</v>
      </c>
      <c r="AB42" s="233">
        <f t="shared" si="2"/>
        <v>12.739174193481931</v>
      </c>
      <c r="AC42" s="233">
        <f t="shared" si="3"/>
        <v>7.9248258065180703</v>
      </c>
      <c r="AD42">
        <v>2.95</v>
      </c>
      <c r="AE42" s="233">
        <f t="shared" si="4"/>
        <v>7.9374301675977676</v>
      </c>
      <c r="AF42" s="233">
        <f t="shared" si="5"/>
        <v>8.0830597168027865</v>
      </c>
      <c r="AG42" s="233">
        <f t="shared" si="6"/>
        <v>7.7918006183927488</v>
      </c>
      <c r="AH42">
        <v>6.5</v>
      </c>
      <c r="AI42" s="233">
        <f t="shared" si="7"/>
        <v>3.3601117318435763</v>
      </c>
      <c r="AJ42" s="233">
        <f t="shared" si="8"/>
        <v>6.3851512410714601</v>
      </c>
      <c r="AK42" s="233">
        <f t="shared" si="9"/>
        <v>0.33507222261569281</v>
      </c>
      <c r="AL42">
        <v>7</v>
      </c>
      <c r="AM42" s="233">
        <f t="shared" si="10"/>
        <v>48.104347826086951</v>
      </c>
      <c r="AN42" s="233">
        <f t="shared" si="11"/>
        <v>52.277593646348265</v>
      </c>
      <c r="AO42" s="233">
        <f t="shared" si="12"/>
        <v>43.931102005825636</v>
      </c>
      <c r="AP42" s="233">
        <f t="shared" si="13"/>
        <v>2.0655865921787711</v>
      </c>
      <c r="AQ42" s="233">
        <f t="shared" si="14"/>
        <v>3.1665882132978602</v>
      </c>
      <c r="AR42" s="233">
        <f t="shared" si="15"/>
        <v>0.96458497105968211</v>
      </c>
      <c r="AS42" s="235">
        <f t="shared" si="16"/>
        <v>33.105027932960894</v>
      </c>
      <c r="AT42" s="235">
        <f t="shared" si="17"/>
        <v>50.535961542150602</v>
      </c>
      <c r="AU42" s="235">
        <f t="shared" si="18"/>
        <v>15.67409432377119</v>
      </c>
      <c r="AV42">
        <v>100</v>
      </c>
      <c r="AW42" s="235">
        <f t="shared" si="19"/>
        <v>62.766666666666666</v>
      </c>
      <c r="AX42" s="235">
        <f t="shared" si="20"/>
        <v>80.98511149172171</v>
      </c>
      <c r="AY42" s="235">
        <f t="shared" si="21"/>
        <v>44.548221841611614</v>
      </c>
      <c r="AZ42" s="235">
        <f t="shared" si="22"/>
        <v>2941.6666666666665</v>
      </c>
      <c r="BA42" s="235">
        <f t="shared" si="23"/>
        <v>4966.9775952753826</v>
      </c>
      <c r="BB42" s="235">
        <f t="shared" si="24"/>
        <v>916.35573805795048</v>
      </c>
      <c r="BC42" s="235">
        <f t="shared" si="25"/>
        <v>53.18888888888889</v>
      </c>
      <c r="BD42" s="235">
        <f t="shared" si="26"/>
        <v>112.67052202318322</v>
      </c>
      <c r="BE42" s="235">
        <f t="shared" si="27"/>
        <v>-6.2927442454054372</v>
      </c>
      <c r="BF42" s="235">
        <f t="shared" si="28"/>
        <v>3577.2222222222222</v>
      </c>
      <c r="BG42" s="235">
        <f t="shared" si="29"/>
        <v>5636.1265941907786</v>
      </c>
      <c r="BH42" s="235">
        <f t="shared" si="30"/>
        <v>1518.3178502536657</v>
      </c>
      <c r="BI42">
        <v>5000</v>
      </c>
      <c r="BJ42" s="235">
        <f t="shared" si="31"/>
        <v>0</v>
      </c>
      <c r="BK42" s="235">
        <f t="shared" si="32"/>
        <v>0</v>
      </c>
      <c r="BL42" s="235">
        <f t="shared" si="33"/>
        <v>0</v>
      </c>
      <c r="BO42" s="235">
        <f t="shared" si="34"/>
        <v>41169</v>
      </c>
      <c r="CD42" s="533">
        <f t="shared" si="35"/>
        <v>17.100000000000001</v>
      </c>
      <c r="CE42" s="102">
        <f t="shared" si="36"/>
        <v>8.1999999999999993</v>
      </c>
      <c r="CF42" s="102">
        <f t="shared" si="37"/>
        <v>84</v>
      </c>
      <c r="CG42" s="102">
        <f t="shared" si="38"/>
        <v>8</v>
      </c>
      <c r="CH42" s="102">
        <f t="shared" si="39"/>
        <v>1.2</v>
      </c>
      <c r="CI42" s="102" t="str">
        <f t="shared" si="40"/>
        <v/>
      </c>
      <c r="CJ42" s="102">
        <f t="shared" si="41"/>
        <v>0.85</v>
      </c>
      <c r="CK42" s="102">
        <f t="shared" si="42"/>
        <v>51</v>
      </c>
      <c r="CL42" s="102">
        <f t="shared" si="43"/>
        <v>81</v>
      </c>
      <c r="CM42" s="102">
        <f t="shared" si="44"/>
        <v>860</v>
      </c>
      <c r="CN42" s="102">
        <f t="shared" si="45"/>
        <v>17</v>
      </c>
      <c r="CO42" s="102">
        <f t="shared" si="46"/>
        <v>1500</v>
      </c>
      <c r="CP42" s="102" t="str">
        <f t="shared" si="47"/>
        <v/>
      </c>
    </row>
    <row r="43" spans="2:94">
      <c r="B43" t="s">
        <v>252</v>
      </c>
      <c r="C43" s="231">
        <v>41193</v>
      </c>
      <c r="D43" s="233">
        <v>10.199999999999999</v>
      </c>
      <c r="E43" s="233">
        <v>9.9</v>
      </c>
      <c r="F43" s="235">
        <v>87</v>
      </c>
      <c r="G43" s="233">
        <v>8.1</v>
      </c>
      <c r="H43" s="233">
        <v>1.7</v>
      </c>
      <c r="J43" s="233">
        <v>1.4</v>
      </c>
      <c r="K43" s="235">
        <v>83</v>
      </c>
      <c r="L43" s="235">
        <v>92</v>
      </c>
      <c r="M43" s="235">
        <v>3000</v>
      </c>
      <c r="N43" s="235">
        <v>58</v>
      </c>
      <c r="O43" s="235">
        <v>3200</v>
      </c>
      <c r="Q43">
        <v>2012</v>
      </c>
      <c r="R43">
        <v>10</v>
      </c>
      <c r="T43" s="226"/>
      <c r="U43" s="226"/>
      <c r="V43" s="226"/>
      <c r="W43" s="226"/>
      <c r="X43" s="226"/>
      <c r="Y43" s="226"/>
      <c r="Z43" s="226"/>
      <c r="AA43" s="233">
        <f t="shared" si="1"/>
        <v>10.332000000000001</v>
      </c>
      <c r="AB43" s="233">
        <f t="shared" si="2"/>
        <v>12.739174193481931</v>
      </c>
      <c r="AC43" s="233">
        <f t="shared" si="3"/>
        <v>7.9248258065180703</v>
      </c>
      <c r="AD43">
        <v>2.95</v>
      </c>
      <c r="AE43" s="233">
        <f t="shared" si="4"/>
        <v>7.9374301675977676</v>
      </c>
      <c r="AF43" s="233">
        <f t="shared" si="5"/>
        <v>8.0830597168027865</v>
      </c>
      <c r="AG43" s="233">
        <f t="shared" si="6"/>
        <v>7.7918006183927488</v>
      </c>
      <c r="AH43">
        <v>6.5</v>
      </c>
      <c r="AI43" s="233">
        <f t="shared" si="7"/>
        <v>3.3601117318435763</v>
      </c>
      <c r="AJ43" s="233">
        <f t="shared" si="8"/>
        <v>6.3851512410714601</v>
      </c>
      <c r="AK43" s="233">
        <f t="shared" si="9"/>
        <v>0.33507222261569281</v>
      </c>
      <c r="AL43">
        <v>7</v>
      </c>
      <c r="AM43" s="233">
        <f t="shared" si="10"/>
        <v>48.104347826086951</v>
      </c>
      <c r="AN43" s="233">
        <f t="shared" si="11"/>
        <v>52.277593646348265</v>
      </c>
      <c r="AO43" s="233">
        <f t="shared" si="12"/>
        <v>43.931102005825636</v>
      </c>
      <c r="AP43" s="233">
        <f t="shared" si="13"/>
        <v>2.0655865921787711</v>
      </c>
      <c r="AQ43" s="233">
        <f t="shared" si="14"/>
        <v>3.1665882132978602</v>
      </c>
      <c r="AR43" s="233">
        <f t="shared" si="15"/>
        <v>0.96458497105968211</v>
      </c>
      <c r="AS43" s="235">
        <f t="shared" si="16"/>
        <v>33.105027932960894</v>
      </c>
      <c r="AT43" s="235">
        <f t="shared" si="17"/>
        <v>50.535961542150602</v>
      </c>
      <c r="AU43" s="235">
        <f t="shared" si="18"/>
        <v>15.67409432377119</v>
      </c>
      <c r="AV43">
        <v>100</v>
      </c>
      <c r="AW43" s="235">
        <f t="shared" si="19"/>
        <v>62.766666666666666</v>
      </c>
      <c r="AX43" s="235">
        <f t="shared" si="20"/>
        <v>80.98511149172171</v>
      </c>
      <c r="AY43" s="235">
        <f t="shared" si="21"/>
        <v>44.548221841611614</v>
      </c>
      <c r="AZ43" s="235">
        <f t="shared" si="22"/>
        <v>2941.6666666666665</v>
      </c>
      <c r="BA43" s="235">
        <f t="shared" si="23"/>
        <v>4966.9775952753826</v>
      </c>
      <c r="BB43" s="235">
        <f t="shared" si="24"/>
        <v>916.35573805795048</v>
      </c>
      <c r="BC43" s="235">
        <f t="shared" si="25"/>
        <v>53.18888888888889</v>
      </c>
      <c r="BD43" s="235">
        <f t="shared" si="26"/>
        <v>112.67052202318322</v>
      </c>
      <c r="BE43" s="235">
        <f t="shared" si="27"/>
        <v>-6.2927442454054372</v>
      </c>
      <c r="BF43" s="235">
        <f t="shared" si="28"/>
        <v>3577.2222222222222</v>
      </c>
      <c r="BG43" s="235">
        <f t="shared" si="29"/>
        <v>5636.1265941907786</v>
      </c>
      <c r="BH43" s="235">
        <f t="shared" si="30"/>
        <v>1518.3178502536657</v>
      </c>
      <c r="BI43">
        <v>5000</v>
      </c>
      <c r="BJ43" s="235">
        <f t="shared" si="31"/>
        <v>0</v>
      </c>
      <c r="BK43" s="235">
        <f t="shared" si="32"/>
        <v>0</v>
      </c>
      <c r="BL43" s="235">
        <f t="shared" si="33"/>
        <v>0</v>
      </c>
      <c r="BO43" s="235">
        <f t="shared" si="34"/>
        <v>41193</v>
      </c>
      <c r="CD43" s="533">
        <f t="shared" si="35"/>
        <v>10.199999999999999</v>
      </c>
      <c r="CE43" s="102">
        <f t="shared" si="36"/>
        <v>9.9</v>
      </c>
      <c r="CF43" s="102">
        <f t="shared" si="37"/>
        <v>87</v>
      </c>
      <c r="CG43" s="102">
        <f t="shared" si="38"/>
        <v>8.1</v>
      </c>
      <c r="CH43" s="102">
        <f t="shared" si="39"/>
        <v>1.7</v>
      </c>
      <c r="CI43" s="102" t="str">
        <f t="shared" si="40"/>
        <v/>
      </c>
      <c r="CJ43" s="102">
        <f t="shared" si="41"/>
        <v>1.4</v>
      </c>
      <c r="CK43" s="102">
        <f t="shared" si="42"/>
        <v>83</v>
      </c>
      <c r="CL43" s="102">
        <f t="shared" si="43"/>
        <v>92</v>
      </c>
      <c r="CM43" s="102">
        <f t="shared" si="44"/>
        <v>3000</v>
      </c>
      <c r="CN43" s="102">
        <f t="shared" si="45"/>
        <v>58</v>
      </c>
      <c r="CO43" s="102">
        <f t="shared" si="46"/>
        <v>3200</v>
      </c>
      <c r="CP43" s="102" t="str">
        <f t="shared" si="47"/>
        <v/>
      </c>
    </row>
    <row r="44" spans="2:94">
      <c r="B44" t="s">
        <v>252</v>
      </c>
      <c r="C44" s="231">
        <v>41225</v>
      </c>
      <c r="D44" s="233">
        <v>7.5</v>
      </c>
      <c r="E44" s="233">
        <v>11.1</v>
      </c>
      <c r="F44" s="235">
        <v>92</v>
      </c>
      <c r="G44" s="233">
        <v>8</v>
      </c>
      <c r="H44" s="233">
        <v>3.3</v>
      </c>
      <c r="J44" s="233">
        <v>1.4</v>
      </c>
      <c r="K44" s="235">
        <v>53</v>
      </c>
      <c r="L44" s="235">
        <v>90</v>
      </c>
      <c r="M44" s="235">
        <v>3600</v>
      </c>
      <c r="N44" s="235">
        <v>73</v>
      </c>
      <c r="O44" s="235">
        <v>4500</v>
      </c>
      <c r="Q44">
        <v>2012</v>
      </c>
      <c r="R44">
        <v>11</v>
      </c>
      <c r="T44" s="226"/>
      <c r="U44" s="226"/>
      <c r="V44" s="226"/>
      <c r="W44" s="226"/>
      <c r="X44" s="226"/>
      <c r="Y44" s="226"/>
      <c r="Z44" s="226"/>
      <c r="AA44" s="233">
        <f t="shared" si="1"/>
        <v>10.332000000000001</v>
      </c>
      <c r="AB44" s="233">
        <f t="shared" si="2"/>
        <v>12.739174193481931</v>
      </c>
      <c r="AC44" s="233">
        <f t="shared" si="3"/>
        <v>7.9248258065180703</v>
      </c>
      <c r="AD44">
        <v>2.95</v>
      </c>
      <c r="AE44" s="233">
        <f t="shared" si="4"/>
        <v>7.9374301675977676</v>
      </c>
      <c r="AF44" s="233">
        <f t="shared" si="5"/>
        <v>8.0830597168027865</v>
      </c>
      <c r="AG44" s="233">
        <f t="shared" si="6"/>
        <v>7.7918006183927488</v>
      </c>
      <c r="AH44">
        <v>6.5</v>
      </c>
      <c r="AI44" s="233">
        <f t="shared" si="7"/>
        <v>3.3601117318435763</v>
      </c>
      <c r="AJ44" s="233">
        <f t="shared" si="8"/>
        <v>6.3851512410714601</v>
      </c>
      <c r="AK44" s="233">
        <f t="shared" si="9"/>
        <v>0.33507222261569281</v>
      </c>
      <c r="AL44">
        <v>7</v>
      </c>
      <c r="AM44" s="233">
        <f t="shared" si="10"/>
        <v>48.104347826086951</v>
      </c>
      <c r="AN44" s="233">
        <f t="shared" si="11"/>
        <v>52.277593646348265</v>
      </c>
      <c r="AO44" s="233">
        <f t="shared" si="12"/>
        <v>43.931102005825636</v>
      </c>
      <c r="AP44" s="233">
        <f t="shared" si="13"/>
        <v>2.0655865921787711</v>
      </c>
      <c r="AQ44" s="233">
        <f t="shared" si="14"/>
        <v>3.1665882132978602</v>
      </c>
      <c r="AR44" s="233">
        <f t="shared" si="15"/>
        <v>0.96458497105968211</v>
      </c>
      <c r="AS44" s="235">
        <f t="shared" si="16"/>
        <v>33.105027932960894</v>
      </c>
      <c r="AT44" s="235">
        <f t="shared" si="17"/>
        <v>50.535961542150602</v>
      </c>
      <c r="AU44" s="235">
        <f t="shared" si="18"/>
        <v>15.67409432377119</v>
      </c>
      <c r="AV44">
        <v>100</v>
      </c>
      <c r="AW44" s="235">
        <f t="shared" si="19"/>
        <v>62.766666666666666</v>
      </c>
      <c r="AX44" s="235">
        <f t="shared" si="20"/>
        <v>80.98511149172171</v>
      </c>
      <c r="AY44" s="235">
        <f t="shared" si="21"/>
        <v>44.548221841611614</v>
      </c>
      <c r="AZ44" s="235">
        <f t="shared" si="22"/>
        <v>2941.6666666666665</v>
      </c>
      <c r="BA44" s="235">
        <f t="shared" si="23"/>
        <v>4966.9775952753826</v>
      </c>
      <c r="BB44" s="235">
        <f t="shared" si="24"/>
        <v>916.35573805795048</v>
      </c>
      <c r="BC44" s="235">
        <f t="shared" si="25"/>
        <v>53.18888888888889</v>
      </c>
      <c r="BD44" s="235">
        <f t="shared" si="26"/>
        <v>112.67052202318322</v>
      </c>
      <c r="BE44" s="235">
        <f t="shared" si="27"/>
        <v>-6.2927442454054372</v>
      </c>
      <c r="BF44" s="235">
        <f t="shared" si="28"/>
        <v>3577.2222222222222</v>
      </c>
      <c r="BG44" s="235">
        <f t="shared" si="29"/>
        <v>5636.1265941907786</v>
      </c>
      <c r="BH44" s="235">
        <f t="shared" si="30"/>
        <v>1518.3178502536657</v>
      </c>
      <c r="BI44">
        <v>5000</v>
      </c>
      <c r="BJ44" s="235">
        <f t="shared" si="31"/>
        <v>0</v>
      </c>
      <c r="BK44" s="235">
        <f t="shared" si="32"/>
        <v>0</v>
      </c>
      <c r="BL44" s="235">
        <f t="shared" si="33"/>
        <v>0</v>
      </c>
      <c r="BO44" s="235">
        <f t="shared" si="34"/>
        <v>41225</v>
      </c>
      <c r="CD44" s="533">
        <f t="shared" si="35"/>
        <v>7.5</v>
      </c>
      <c r="CE44" s="102">
        <f t="shared" si="36"/>
        <v>11.1</v>
      </c>
      <c r="CF44" s="102">
        <f t="shared" si="37"/>
        <v>92</v>
      </c>
      <c r="CG44" s="102">
        <f t="shared" si="38"/>
        <v>8</v>
      </c>
      <c r="CH44" s="102">
        <f t="shared" si="39"/>
        <v>3.3</v>
      </c>
      <c r="CI44" s="102" t="str">
        <f t="shared" si="40"/>
        <v/>
      </c>
      <c r="CJ44" s="102">
        <f t="shared" si="41"/>
        <v>1.4</v>
      </c>
      <c r="CK44" s="102">
        <f t="shared" si="42"/>
        <v>53</v>
      </c>
      <c r="CL44" s="102">
        <f t="shared" si="43"/>
        <v>90</v>
      </c>
      <c r="CM44" s="102">
        <f t="shared" si="44"/>
        <v>3600</v>
      </c>
      <c r="CN44" s="102">
        <f t="shared" si="45"/>
        <v>73</v>
      </c>
      <c r="CO44" s="102">
        <f t="shared" si="46"/>
        <v>4500</v>
      </c>
      <c r="CP44" s="102" t="str">
        <f t="shared" si="47"/>
        <v/>
      </c>
    </row>
    <row r="45" spans="2:94">
      <c r="B45" t="s">
        <v>252</v>
      </c>
      <c r="C45" s="231">
        <v>41263</v>
      </c>
      <c r="D45" s="233">
        <v>2.2000000000000002</v>
      </c>
      <c r="E45" s="233">
        <v>13.2</v>
      </c>
      <c r="F45" s="235">
        <v>93</v>
      </c>
      <c r="G45" s="233">
        <v>8</v>
      </c>
      <c r="H45" s="233">
        <v>7.1</v>
      </c>
      <c r="J45" s="233">
        <v>2.5</v>
      </c>
      <c r="K45" s="235">
        <v>41</v>
      </c>
      <c r="L45" s="235">
        <v>84</v>
      </c>
      <c r="M45" s="235">
        <v>7000</v>
      </c>
      <c r="N45" s="235">
        <v>120</v>
      </c>
      <c r="O45" s="235">
        <v>7900</v>
      </c>
      <c r="Q45">
        <v>2012</v>
      </c>
      <c r="R45">
        <v>12</v>
      </c>
      <c r="T45" s="226"/>
      <c r="U45" s="226"/>
      <c r="V45" s="226"/>
      <c r="W45" s="226"/>
      <c r="X45" s="226"/>
      <c r="Y45" s="226"/>
      <c r="Z45" s="226"/>
      <c r="AA45" s="233">
        <f t="shared" si="1"/>
        <v>10.332000000000001</v>
      </c>
      <c r="AB45" s="233">
        <f t="shared" si="2"/>
        <v>12.739174193481931</v>
      </c>
      <c r="AC45" s="233">
        <f t="shared" si="3"/>
        <v>7.9248258065180703</v>
      </c>
      <c r="AD45">
        <v>2.95</v>
      </c>
      <c r="AE45" s="233">
        <f t="shared" si="4"/>
        <v>7.9374301675977676</v>
      </c>
      <c r="AF45" s="233">
        <f t="shared" si="5"/>
        <v>8.0830597168027865</v>
      </c>
      <c r="AG45" s="233">
        <f t="shared" si="6"/>
        <v>7.7918006183927488</v>
      </c>
      <c r="AH45">
        <v>6.5</v>
      </c>
      <c r="AI45" s="233">
        <f t="shared" si="7"/>
        <v>3.3601117318435763</v>
      </c>
      <c r="AJ45" s="233">
        <f t="shared" si="8"/>
        <v>6.3851512410714601</v>
      </c>
      <c r="AK45" s="233">
        <f t="shared" si="9"/>
        <v>0.33507222261569281</v>
      </c>
      <c r="AL45">
        <v>7</v>
      </c>
      <c r="AM45" s="233">
        <f t="shared" si="10"/>
        <v>48.104347826086951</v>
      </c>
      <c r="AN45" s="233">
        <f t="shared" si="11"/>
        <v>52.277593646348265</v>
      </c>
      <c r="AO45" s="233">
        <f t="shared" si="12"/>
        <v>43.931102005825636</v>
      </c>
      <c r="AP45" s="233">
        <f t="shared" si="13"/>
        <v>2.0655865921787711</v>
      </c>
      <c r="AQ45" s="233">
        <f t="shared" si="14"/>
        <v>3.1665882132978602</v>
      </c>
      <c r="AR45" s="233">
        <f t="shared" si="15"/>
        <v>0.96458497105968211</v>
      </c>
      <c r="AS45" s="235">
        <f t="shared" si="16"/>
        <v>33.105027932960894</v>
      </c>
      <c r="AT45" s="235">
        <f t="shared" si="17"/>
        <v>50.535961542150602</v>
      </c>
      <c r="AU45" s="235">
        <f t="shared" si="18"/>
        <v>15.67409432377119</v>
      </c>
      <c r="AV45">
        <v>100</v>
      </c>
      <c r="AW45" s="235">
        <f t="shared" si="19"/>
        <v>62.766666666666666</v>
      </c>
      <c r="AX45" s="235">
        <f t="shared" si="20"/>
        <v>80.98511149172171</v>
      </c>
      <c r="AY45" s="235">
        <f t="shared" si="21"/>
        <v>44.548221841611614</v>
      </c>
      <c r="AZ45" s="235">
        <f t="shared" si="22"/>
        <v>2941.6666666666665</v>
      </c>
      <c r="BA45" s="235">
        <f t="shared" si="23"/>
        <v>4966.9775952753826</v>
      </c>
      <c r="BB45" s="235">
        <f t="shared" si="24"/>
        <v>916.35573805795048</v>
      </c>
      <c r="BC45" s="235">
        <f t="shared" si="25"/>
        <v>53.18888888888889</v>
      </c>
      <c r="BD45" s="235">
        <f t="shared" si="26"/>
        <v>112.67052202318322</v>
      </c>
      <c r="BE45" s="235">
        <f t="shared" si="27"/>
        <v>-6.2927442454054372</v>
      </c>
      <c r="BF45" s="235">
        <f t="shared" si="28"/>
        <v>3577.2222222222222</v>
      </c>
      <c r="BG45" s="235">
        <f t="shared" si="29"/>
        <v>5636.1265941907786</v>
      </c>
      <c r="BH45" s="235">
        <f t="shared" si="30"/>
        <v>1518.3178502536657</v>
      </c>
      <c r="BI45">
        <v>5000</v>
      </c>
      <c r="BJ45" s="235">
        <f t="shared" si="31"/>
        <v>0</v>
      </c>
      <c r="BK45" s="235">
        <f t="shared" si="32"/>
        <v>0</v>
      </c>
      <c r="BL45" s="235">
        <f t="shared" si="33"/>
        <v>0</v>
      </c>
      <c r="BO45" s="235">
        <f t="shared" si="34"/>
        <v>41263</v>
      </c>
      <c r="CD45" s="533">
        <f t="shared" si="35"/>
        <v>2.2000000000000002</v>
      </c>
      <c r="CE45" s="102">
        <f t="shared" si="36"/>
        <v>13.2</v>
      </c>
      <c r="CF45" s="102">
        <f t="shared" si="37"/>
        <v>93</v>
      </c>
      <c r="CG45" s="102">
        <f t="shared" si="38"/>
        <v>8</v>
      </c>
      <c r="CH45" s="102">
        <f t="shared" si="39"/>
        <v>7.1</v>
      </c>
      <c r="CI45" s="102" t="str">
        <f t="shared" si="40"/>
        <v/>
      </c>
      <c r="CJ45" s="102">
        <f t="shared" si="41"/>
        <v>2.5</v>
      </c>
      <c r="CK45" s="102">
        <f t="shared" si="42"/>
        <v>41</v>
      </c>
      <c r="CL45" s="102">
        <f t="shared" si="43"/>
        <v>84</v>
      </c>
      <c r="CM45" s="102">
        <f t="shared" si="44"/>
        <v>7000</v>
      </c>
      <c r="CN45" s="102">
        <f t="shared" si="45"/>
        <v>120</v>
      </c>
      <c r="CO45" s="102">
        <f t="shared" si="46"/>
        <v>7900</v>
      </c>
      <c r="CP45" s="102" t="str">
        <f t="shared" si="47"/>
        <v/>
      </c>
    </row>
    <row r="46" spans="2:94">
      <c r="B46" t="s">
        <v>252</v>
      </c>
      <c r="C46" s="231">
        <v>41290</v>
      </c>
      <c r="D46" s="233">
        <v>0.4</v>
      </c>
      <c r="E46" s="233">
        <v>13.9</v>
      </c>
      <c r="F46" s="235">
        <v>95</v>
      </c>
      <c r="G46" s="233">
        <v>8.1</v>
      </c>
      <c r="H46" s="233">
        <v>5.3</v>
      </c>
      <c r="J46" s="233">
        <v>2.2999999999999998</v>
      </c>
      <c r="K46" s="235">
        <v>39</v>
      </c>
      <c r="L46" s="235">
        <v>68</v>
      </c>
      <c r="M46" s="235">
        <v>4300</v>
      </c>
      <c r="N46" s="235">
        <v>130</v>
      </c>
      <c r="O46" s="235">
        <v>5100</v>
      </c>
      <c r="Q46">
        <v>2013</v>
      </c>
      <c r="R46">
        <v>1</v>
      </c>
      <c r="T46" s="226"/>
      <c r="U46" s="226"/>
      <c r="V46" s="226"/>
      <c r="W46" s="226"/>
      <c r="X46" s="226"/>
      <c r="Y46" s="226"/>
      <c r="Z46" s="226"/>
      <c r="AA46" s="233">
        <f t="shared" si="1"/>
        <v>10.332000000000001</v>
      </c>
      <c r="AB46" s="233">
        <f t="shared" si="2"/>
        <v>12.739174193481931</v>
      </c>
      <c r="AC46" s="233">
        <f t="shared" si="3"/>
        <v>7.9248258065180703</v>
      </c>
      <c r="AD46">
        <v>2.95</v>
      </c>
      <c r="AE46" s="233">
        <f t="shared" si="4"/>
        <v>7.9374301675977676</v>
      </c>
      <c r="AF46" s="233">
        <f t="shared" si="5"/>
        <v>8.0830597168027865</v>
      </c>
      <c r="AG46" s="233">
        <f t="shared" si="6"/>
        <v>7.7918006183927488</v>
      </c>
      <c r="AH46">
        <v>6.5</v>
      </c>
      <c r="AI46" s="233">
        <f t="shared" si="7"/>
        <v>3.3601117318435763</v>
      </c>
      <c r="AJ46" s="233">
        <f t="shared" si="8"/>
        <v>6.3851512410714601</v>
      </c>
      <c r="AK46" s="233">
        <f t="shared" si="9"/>
        <v>0.33507222261569281</v>
      </c>
      <c r="AL46">
        <v>7</v>
      </c>
      <c r="AM46" s="233">
        <f t="shared" si="10"/>
        <v>48.104347826086951</v>
      </c>
      <c r="AN46" s="233">
        <f t="shared" si="11"/>
        <v>52.277593646348265</v>
      </c>
      <c r="AO46" s="233">
        <f t="shared" si="12"/>
        <v>43.931102005825636</v>
      </c>
      <c r="AP46" s="233">
        <f t="shared" si="13"/>
        <v>2.0655865921787711</v>
      </c>
      <c r="AQ46" s="233">
        <f t="shared" si="14"/>
        <v>3.1665882132978602</v>
      </c>
      <c r="AR46" s="233">
        <f t="shared" si="15"/>
        <v>0.96458497105968211</v>
      </c>
      <c r="AS46" s="235">
        <f t="shared" si="16"/>
        <v>33.105027932960894</v>
      </c>
      <c r="AT46" s="235">
        <f t="shared" si="17"/>
        <v>50.535961542150602</v>
      </c>
      <c r="AU46" s="235">
        <f t="shared" si="18"/>
        <v>15.67409432377119</v>
      </c>
      <c r="AV46">
        <v>100</v>
      </c>
      <c r="AW46" s="235">
        <f t="shared" si="19"/>
        <v>62.766666666666666</v>
      </c>
      <c r="AX46" s="235">
        <f t="shared" si="20"/>
        <v>80.98511149172171</v>
      </c>
      <c r="AY46" s="235">
        <f t="shared" si="21"/>
        <v>44.548221841611614</v>
      </c>
      <c r="AZ46" s="235">
        <f t="shared" si="22"/>
        <v>2941.6666666666665</v>
      </c>
      <c r="BA46" s="235">
        <f t="shared" si="23"/>
        <v>4966.9775952753826</v>
      </c>
      <c r="BB46" s="235">
        <f t="shared" si="24"/>
        <v>916.35573805795048</v>
      </c>
      <c r="BC46" s="235">
        <f t="shared" si="25"/>
        <v>53.18888888888889</v>
      </c>
      <c r="BD46" s="235">
        <f t="shared" si="26"/>
        <v>112.67052202318322</v>
      </c>
      <c r="BE46" s="235">
        <f t="shared" si="27"/>
        <v>-6.2927442454054372</v>
      </c>
      <c r="BF46" s="235">
        <f t="shared" si="28"/>
        <v>3577.2222222222222</v>
      </c>
      <c r="BG46" s="235">
        <f t="shared" si="29"/>
        <v>5636.1265941907786</v>
      </c>
      <c r="BH46" s="235">
        <f t="shared" si="30"/>
        <v>1518.3178502536657</v>
      </c>
      <c r="BI46">
        <v>5000</v>
      </c>
      <c r="BJ46" s="235">
        <f t="shared" si="31"/>
        <v>0</v>
      </c>
      <c r="BK46" s="235">
        <f t="shared" si="32"/>
        <v>0</v>
      </c>
      <c r="BL46" s="235">
        <f t="shared" si="33"/>
        <v>0</v>
      </c>
      <c r="BO46" s="235">
        <f t="shared" si="34"/>
        <v>41290</v>
      </c>
      <c r="CD46" s="533">
        <f t="shared" si="35"/>
        <v>0.4</v>
      </c>
      <c r="CE46" s="102">
        <f t="shared" si="36"/>
        <v>13.9</v>
      </c>
      <c r="CF46" s="102">
        <f t="shared" si="37"/>
        <v>95</v>
      </c>
      <c r="CG46" s="102">
        <f t="shared" si="38"/>
        <v>8.1</v>
      </c>
      <c r="CH46" s="102">
        <f t="shared" si="39"/>
        <v>5.3</v>
      </c>
      <c r="CI46" s="102" t="str">
        <f t="shared" si="40"/>
        <v/>
      </c>
      <c r="CJ46" s="102">
        <f t="shared" si="41"/>
        <v>2.2999999999999998</v>
      </c>
      <c r="CK46" s="102">
        <f t="shared" si="42"/>
        <v>39</v>
      </c>
      <c r="CL46" s="102">
        <f t="shared" si="43"/>
        <v>68</v>
      </c>
      <c r="CM46" s="102">
        <f t="shared" si="44"/>
        <v>4300</v>
      </c>
      <c r="CN46" s="102">
        <f t="shared" si="45"/>
        <v>130</v>
      </c>
      <c r="CO46" s="102">
        <f t="shared" si="46"/>
        <v>5100</v>
      </c>
      <c r="CP46" s="102" t="str">
        <f t="shared" si="47"/>
        <v/>
      </c>
    </row>
    <row r="47" spans="2:94">
      <c r="B47" t="s">
        <v>252</v>
      </c>
      <c r="C47" s="231">
        <v>41323</v>
      </c>
      <c r="D47" s="233">
        <v>1.6</v>
      </c>
      <c r="E47" s="233">
        <v>12.9</v>
      </c>
      <c r="F47" s="235">
        <v>92</v>
      </c>
      <c r="G47" s="233">
        <v>8</v>
      </c>
      <c r="H47" s="233">
        <v>3.5</v>
      </c>
      <c r="J47" s="233">
        <v>2.2999999999999998</v>
      </c>
      <c r="K47" s="235">
        <v>34</v>
      </c>
      <c r="L47" s="235">
        <v>60</v>
      </c>
      <c r="M47" s="235">
        <v>3500</v>
      </c>
      <c r="N47" s="235">
        <v>81</v>
      </c>
      <c r="O47" s="235">
        <v>4300</v>
      </c>
      <c r="Q47">
        <v>2013</v>
      </c>
      <c r="R47">
        <v>2</v>
      </c>
      <c r="T47" s="226"/>
      <c r="U47" s="226"/>
      <c r="V47" s="226"/>
      <c r="W47" s="226"/>
      <c r="X47" s="226"/>
      <c r="Y47" s="226"/>
      <c r="Z47" s="226"/>
      <c r="AA47" s="233">
        <f t="shared" si="1"/>
        <v>10.332000000000001</v>
      </c>
      <c r="AB47" s="233">
        <f t="shared" si="2"/>
        <v>12.739174193481931</v>
      </c>
      <c r="AC47" s="233">
        <f t="shared" si="3"/>
        <v>7.9248258065180703</v>
      </c>
      <c r="AD47">
        <v>2.95</v>
      </c>
      <c r="AE47" s="233">
        <f t="shared" si="4"/>
        <v>7.9374301675977676</v>
      </c>
      <c r="AF47" s="233">
        <f t="shared" si="5"/>
        <v>8.0830597168027865</v>
      </c>
      <c r="AG47" s="233">
        <f t="shared" si="6"/>
        <v>7.7918006183927488</v>
      </c>
      <c r="AH47">
        <v>6.5</v>
      </c>
      <c r="AI47" s="233">
        <f t="shared" si="7"/>
        <v>3.3601117318435763</v>
      </c>
      <c r="AJ47" s="233">
        <f t="shared" si="8"/>
        <v>6.3851512410714601</v>
      </c>
      <c r="AK47" s="233">
        <f t="shared" si="9"/>
        <v>0.33507222261569281</v>
      </c>
      <c r="AL47">
        <v>7</v>
      </c>
      <c r="AM47" s="233">
        <f t="shared" si="10"/>
        <v>48.104347826086951</v>
      </c>
      <c r="AN47" s="233">
        <f t="shared" si="11"/>
        <v>52.277593646348265</v>
      </c>
      <c r="AO47" s="233">
        <f t="shared" si="12"/>
        <v>43.931102005825636</v>
      </c>
      <c r="AP47" s="233">
        <f t="shared" si="13"/>
        <v>2.0655865921787711</v>
      </c>
      <c r="AQ47" s="233">
        <f t="shared" si="14"/>
        <v>3.1665882132978602</v>
      </c>
      <c r="AR47" s="233">
        <f t="shared" si="15"/>
        <v>0.96458497105968211</v>
      </c>
      <c r="AS47" s="235">
        <f t="shared" si="16"/>
        <v>33.105027932960894</v>
      </c>
      <c r="AT47" s="235">
        <f t="shared" si="17"/>
        <v>50.535961542150602</v>
      </c>
      <c r="AU47" s="235">
        <f t="shared" si="18"/>
        <v>15.67409432377119</v>
      </c>
      <c r="AV47">
        <v>100</v>
      </c>
      <c r="AW47" s="235">
        <f t="shared" si="19"/>
        <v>62.766666666666666</v>
      </c>
      <c r="AX47" s="235">
        <f t="shared" si="20"/>
        <v>80.98511149172171</v>
      </c>
      <c r="AY47" s="235">
        <f t="shared" si="21"/>
        <v>44.548221841611614</v>
      </c>
      <c r="AZ47" s="235">
        <f t="shared" si="22"/>
        <v>2941.6666666666665</v>
      </c>
      <c r="BA47" s="235">
        <f t="shared" si="23"/>
        <v>4966.9775952753826</v>
      </c>
      <c r="BB47" s="235">
        <f t="shared" si="24"/>
        <v>916.35573805795048</v>
      </c>
      <c r="BC47" s="235">
        <f t="shared" si="25"/>
        <v>53.18888888888889</v>
      </c>
      <c r="BD47" s="235">
        <f t="shared" si="26"/>
        <v>112.67052202318322</v>
      </c>
      <c r="BE47" s="235">
        <f t="shared" si="27"/>
        <v>-6.2927442454054372</v>
      </c>
      <c r="BF47" s="235">
        <f t="shared" si="28"/>
        <v>3577.2222222222222</v>
      </c>
      <c r="BG47" s="235">
        <f t="shared" si="29"/>
        <v>5636.1265941907786</v>
      </c>
      <c r="BH47" s="235">
        <f t="shared" si="30"/>
        <v>1518.3178502536657</v>
      </c>
      <c r="BI47">
        <v>5000</v>
      </c>
      <c r="BJ47" s="235">
        <f t="shared" si="31"/>
        <v>0</v>
      </c>
      <c r="BK47" s="235">
        <f t="shared" si="32"/>
        <v>0</v>
      </c>
      <c r="BL47" s="235">
        <f t="shared" si="33"/>
        <v>0</v>
      </c>
      <c r="BO47" s="235">
        <f t="shared" si="34"/>
        <v>41323</v>
      </c>
      <c r="CD47" s="533">
        <f t="shared" si="35"/>
        <v>1.6</v>
      </c>
      <c r="CE47" s="102">
        <f t="shared" si="36"/>
        <v>12.9</v>
      </c>
      <c r="CF47" s="102">
        <f t="shared" si="37"/>
        <v>92</v>
      </c>
      <c r="CG47" s="102">
        <f t="shared" si="38"/>
        <v>8</v>
      </c>
      <c r="CH47" s="102">
        <f t="shared" si="39"/>
        <v>3.5</v>
      </c>
      <c r="CI47" s="102" t="str">
        <f t="shared" si="40"/>
        <v/>
      </c>
      <c r="CJ47" s="102">
        <f t="shared" si="41"/>
        <v>2.2999999999999998</v>
      </c>
      <c r="CK47" s="102">
        <f t="shared" si="42"/>
        <v>34</v>
      </c>
      <c r="CL47" s="102">
        <f t="shared" si="43"/>
        <v>60</v>
      </c>
      <c r="CM47" s="102">
        <f t="shared" si="44"/>
        <v>3500</v>
      </c>
      <c r="CN47" s="102">
        <f t="shared" si="45"/>
        <v>81</v>
      </c>
      <c r="CO47" s="102">
        <f t="shared" si="46"/>
        <v>4300</v>
      </c>
      <c r="CP47" s="102" t="str">
        <f t="shared" si="47"/>
        <v/>
      </c>
    </row>
    <row r="48" spans="2:94">
      <c r="B48" t="s">
        <v>252</v>
      </c>
      <c r="C48" s="231">
        <v>41347</v>
      </c>
      <c r="D48" s="233">
        <v>0.7</v>
      </c>
      <c r="E48" s="233">
        <v>13.3</v>
      </c>
      <c r="F48" s="235">
        <v>95</v>
      </c>
      <c r="G48" s="233">
        <v>8.1</v>
      </c>
      <c r="H48" s="233">
        <v>3.4</v>
      </c>
      <c r="J48" s="233">
        <v>2.5</v>
      </c>
      <c r="K48" s="235">
        <v>13</v>
      </c>
      <c r="L48" s="235">
        <v>44</v>
      </c>
      <c r="M48" s="235">
        <v>3700</v>
      </c>
      <c r="N48" s="235">
        <v>64</v>
      </c>
      <c r="O48" s="235">
        <v>4300</v>
      </c>
      <c r="Q48">
        <v>2013</v>
      </c>
      <c r="R48">
        <v>3</v>
      </c>
      <c r="T48" s="226"/>
      <c r="U48" s="226"/>
      <c r="V48" s="226"/>
      <c r="W48" s="226"/>
      <c r="X48" s="226"/>
      <c r="Y48" s="226"/>
      <c r="Z48" s="226"/>
      <c r="AA48" s="233">
        <f t="shared" si="1"/>
        <v>10.332000000000001</v>
      </c>
      <c r="AB48" s="233">
        <f t="shared" si="2"/>
        <v>12.739174193481931</v>
      </c>
      <c r="AC48" s="233">
        <f t="shared" si="3"/>
        <v>7.9248258065180703</v>
      </c>
      <c r="AD48">
        <v>2.95</v>
      </c>
      <c r="AE48" s="233">
        <f t="shared" si="4"/>
        <v>7.9374301675977676</v>
      </c>
      <c r="AF48" s="233">
        <f t="shared" si="5"/>
        <v>8.0830597168027865</v>
      </c>
      <c r="AG48" s="233">
        <f t="shared" si="6"/>
        <v>7.7918006183927488</v>
      </c>
      <c r="AH48">
        <v>6.5</v>
      </c>
      <c r="AI48" s="233">
        <f t="shared" si="7"/>
        <v>3.3601117318435763</v>
      </c>
      <c r="AJ48" s="233">
        <f t="shared" si="8"/>
        <v>6.3851512410714601</v>
      </c>
      <c r="AK48" s="233">
        <f t="shared" si="9"/>
        <v>0.33507222261569281</v>
      </c>
      <c r="AL48">
        <v>7</v>
      </c>
      <c r="AM48" s="233">
        <f t="shared" si="10"/>
        <v>48.104347826086951</v>
      </c>
      <c r="AN48" s="233">
        <f t="shared" si="11"/>
        <v>52.277593646348265</v>
      </c>
      <c r="AO48" s="233">
        <f t="shared" si="12"/>
        <v>43.931102005825636</v>
      </c>
      <c r="AP48" s="233">
        <f t="shared" si="13"/>
        <v>2.0655865921787711</v>
      </c>
      <c r="AQ48" s="233">
        <f t="shared" si="14"/>
        <v>3.1665882132978602</v>
      </c>
      <c r="AR48" s="233">
        <f t="shared" si="15"/>
        <v>0.96458497105968211</v>
      </c>
      <c r="AS48" s="235">
        <f t="shared" si="16"/>
        <v>33.105027932960894</v>
      </c>
      <c r="AT48" s="235">
        <f t="shared" si="17"/>
        <v>50.535961542150602</v>
      </c>
      <c r="AU48" s="235">
        <f t="shared" si="18"/>
        <v>15.67409432377119</v>
      </c>
      <c r="AV48">
        <v>100</v>
      </c>
      <c r="AW48" s="235">
        <f t="shared" si="19"/>
        <v>62.766666666666666</v>
      </c>
      <c r="AX48" s="235">
        <f t="shared" si="20"/>
        <v>80.98511149172171</v>
      </c>
      <c r="AY48" s="235">
        <f t="shared" si="21"/>
        <v>44.548221841611614</v>
      </c>
      <c r="AZ48" s="235">
        <f t="shared" si="22"/>
        <v>2941.6666666666665</v>
      </c>
      <c r="BA48" s="235">
        <f t="shared" si="23"/>
        <v>4966.9775952753826</v>
      </c>
      <c r="BB48" s="235">
        <f t="shared" si="24"/>
        <v>916.35573805795048</v>
      </c>
      <c r="BC48" s="235">
        <f t="shared" si="25"/>
        <v>53.18888888888889</v>
      </c>
      <c r="BD48" s="235">
        <f t="shared" si="26"/>
        <v>112.67052202318322</v>
      </c>
      <c r="BE48" s="235">
        <f t="shared" si="27"/>
        <v>-6.2927442454054372</v>
      </c>
      <c r="BF48" s="235">
        <f t="shared" si="28"/>
        <v>3577.2222222222222</v>
      </c>
      <c r="BG48" s="235">
        <f t="shared" si="29"/>
        <v>5636.1265941907786</v>
      </c>
      <c r="BH48" s="235">
        <f t="shared" si="30"/>
        <v>1518.3178502536657</v>
      </c>
      <c r="BI48">
        <v>5000</v>
      </c>
      <c r="BJ48" s="235">
        <f t="shared" si="31"/>
        <v>0</v>
      </c>
      <c r="BK48" s="235">
        <f t="shared" si="32"/>
        <v>0</v>
      </c>
      <c r="BL48" s="235">
        <f t="shared" si="33"/>
        <v>0</v>
      </c>
      <c r="BO48" s="235">
        <f t="shared" si="34"/>
        <v>41347</v>
      </c>
      <c r="CD48" s="533">
        <f t="shared" si="35"/>
        <v>0.7</v>
      </c>
      <c r="CE48" s="102">
        <f t="shared" si="36"/>
        <v>13.3</v>
      </c>
      <c r="CF48" s="102">
        <f t="shared" si="37"/>
        <v>95</v>
      </c>
      <c r="CG48" s="102">
        <f t="shared" si="38"/>
        <v>8.1</v>
      </c>
      <c r="CH48" s="102">
        <f t="shared" si="39"/>
        <v>3.4</v>
      </c>
      <c r="CI48" s="102" t="str">
        <f t="shared" si="40"/>
        <v/>
      </c>
      <c r="CJ48" s="102">
        <f t="shared" si="41"/>
        <v>2.5</v>
      </c>
      <c r="CK48" s="102">
        <f t="shared" si="42"/>
        <v>13</v>
      </c>
      <c r="CL48" s="102">
        <f t="shared" si="43"/>
        <v>44</v>
      </c>
      <c r="CM48" s="102">
        <f t="shared" si="44"/>
        <v>3700</v>
      </c>
      <c r="CN48" s="102">
        <f t="shared" si="45"/>
        <v>64</v>
      </c>
      <c r="CO48" s="102">
        <f t="shared" si="46"/>
        <v>4300</v>
      </c>
      <c r="CP48" s="102" t="str">
        <f t="shared" si="47"/>
        <v/>
      </c>
    </row>
    <row r="49" spans="2:94">
      <c r="B49" t="s">
        <v>252</v>
      </c>
      <c r="C49" s="231">
        <v>41379</v>
      </c>
      <c r="D49" s="233">
        <v>6.2</v>
      </c>
      <c r="E49" s="233">
        <v>11.7</v>
      </c>
      <c r="F49" s="235">
        <v>95</v>
      </c>
      <c r="G49" s="233">
        <v>8.1</v>
      </c>
      <c r="H49" s="233">
        <v>2.5</v>
      </c>
      <c r="J49" s="233">
        <v>2.4</v>
      </c>
      <c r="K49" s="235">
        <v>7</v>
      </c>
      <c r="L49" s="235">
        <v>26</v>
      </c>
      <c r="M49" s="235">
        <v>1900</v>
      </c>
      <c r="N49" s="235">
        <v>35</v>
      </c>
      <c r="O49" s="235">
        <v>2900</v>
      </c>
      <c r="Q49">
        <v>2013</v>
      </c>
      <c r="R49">
        <v>4</v>
      </c>
      <c r="T49" s="226"/>
      <c r="U49" s="226"/>
      <c r="V49" s="226"/>
      <c r="W49" s="226"/>
      <c r="X49" s="226"/>
      <c r="Y49" s="226"/>
      <c r="Z49" s="226"/>
      <c r="AA49" s="233">
        <f t="shared" si="1"/>
        <v>10.332000000000001</v>
      </c>
      <c r="AB49" s="233">
        <f t="shared" si="2"/>
        <v>12.739174193481931</v>
      </c>
      <c r="AC49" s="233">
        <f t="shared" si="3"/>
        <v>7.9248258065180703</v>
      </c>
      <c r="AD49">
        <v>2.95</v>
      </c>
      <c r="AE49" s="233">
        <f t="shared" si="4"/>
        <v>7.9374301675977676</v>
      </c>
      <c r="AF49" s="233">
        <f t="shared" si="5"/>
        <v>8.0830597168027865</v>
      </c>
      <c r="AG49" s="233">
        <f t="shared" si="6"/>
        <v>7.7918006183927488</v>
      </c>
      <c r="AH49">
        <v>6.5</v>
      </c>
      <c r="AI49" s="233">
        <f t="shared" si="7"/>
        <v>3.3601117318435763</v>
      </c>
      <c r="AJ49" s="233">
        <f t="shared" si="8"/>
        <v>6.3851512410714601</v>
      </c>
      <c r="AK49" s="233">
        <f t="shared" si="9"/>
        <v>0.33507222261569281</v>
      </c>
      <c r="AL49">
        <v>7</v>
      </c>
      <c r="AM49" s="233">
        <f t="shared" si="10"/>
        <v>48.104347826086951</v>
      </c>
      <c r="AN49" s="233">
        <f t="shared" si="11"/>
        <v>52.277593646348265</v>
      </c>
      <c r="AO49" s="233">
        <f t="shared" si="12"/>
        <v>43.931102005825636</v>
      </c>
      <c r="AP49" s="233">
        <f t="shared" si="13"/>
        <v>2.0655865921787711</v>
      </c>
      <c r="AQ49" s="233">
        <f t="shared" si="14"/>
        <v>3.1665882132978602</v>
      </c>
      <c r="AR49" s="233">
        <f t="shared" si="15"/>
        <v>0.96458497105968211</v>
      </c>
      <c r="AS49" s="235">
        <f t="shared" si="16"/>
        <v>33.105027932960894</v>
      </c>
      <c r="AT49" s="235">
        <f t="shared" si="17"/>
        <v>50.535961542150602</v>
      </c>
      <c r="AU49" s="235">
        <f t="shared" si="18"/>
        <v>15.67409432377119</v>
      </c>
      <c r="AV49">
        <v>100</v>
      </c>
      <c r="AW49" s="235">
        <f t="shared" si="19"/>
        <v>62.766666666666666</v>
      </c>
      <c r="AX49" s="235">
        <f t="shared" si="20"/>
        <v>80.98511149172171</v>
      </c>
      <c r="AY49" s="235">
        <f t="shared" si="21"/>
        <v>44.548221841611614</v>
      </c>
      <c r="AZ49" s="235">
        <f t="shared" si="22"/>
        <v>2941.6666666666665</v>
      </c>
      <c r="BA49" s="235">
        <f t="shared" si="23"/>
        <v>4966.9775952753826</v>
      </c>
      <c r="BB49" s="235">
        <f t="shared" si="24"/>
        <v>916.35573805795048</v>
      </c>
      <c r="BC49" s="235">
        <f t="shared" si="25"/>
        <v>53.18888888888889</v>
      </c>
      <c r="BD49" s="235">
        <f t="shared" si="26"/>
        <v>112.67052202318322</v>
      </c>
      <c r="BE49" s="235">
        <f t="shared" si="27"/>
        <v>-6.2927442454054372</v>
      </c>
      <c r="BF49" s="235">
        <f t="shared" si="28"/>
        <v>3577.2222222222222</v>
      </c>
      <c r="BG49" s="235">
        <f t="shared" si="29"/>
        <v>5636.1265941907786</v>
      </c>
      <c r="BH49" s="235">
        <f t="shared" si="30"/>
        <v>1518.3178502536657</v>
      </c>
      <c r="BI49">
        <v>5000</v>
      </c>
      <c r="BJ49" s="235">
        <f t="shared" si="31"/>
        <v>0</v>
      </c>
      <c r="BK49" s="235">
        <f t="shared" si="32"/>
        <v>0</v>
      </c>
      <c r="BL49" s="235">
        <f t="shared" si="33"/>
        <v>0</v>
      </c>
      <c r="BO49" s="235">
        <f t="shared" si="34"/>
        <v>41379</v>
      </c>
      <c r="CD49" s="533">
        <f t="shared" si="35"/>
        <v>6.2</v>
      </c>
      <c r="CE49" s="102">
        <f t="shared" si="36"/>
        <v>11.7</v>
      </c>
      <c r="CF49" s="102">
        <f t="shared" si="37"/>
        <v>95</v>
      </c>
      <c r="CG49" s="102">
        <f t="shared" si="38"/>
        <v>8.1</v>
      </c>
      <c r="CH49" s="102">
        <f t="shared" si="39"/>
        <v>2.5</v>
      </c>
      <c r="CI49" s="102" t="str">
        <f t="shared" si="40"/>
        <v/>
      </c>
      <c r="CJ49" s="102">
        <f t="shared" si="41"/>
        <v>2.4</v>
      </c>
      <c r="CK49" s="102">
        <f t="shared" si="42"/>
        <v>7</v>
      </c>
      <c r="CL49" s="102">
        <f t="shared" si="43"/>
        <v>26</v>
      </c>
      <c r="CM49" s="102">
        <f t="shared" si="44"/>
        <v>1900</v>
      </c>
      <c r="CN49" s="102">
        <f t="shared" si="45"/>
        <v>35</v>
      </c>
      <c r="CO49" s="102">
        <f t="shared" si="46"/>
        <v>2900</v>
      </c>
      <c r="CP49" s="102" t="str">
        <f t="shared" si="47"/>
        <v/>
      </c>
    </row>
    <row r="50" spans="2:94">
      <c r="B50" t="s">
        <v>252</v>
      </c>
      <c r="C50" s="231">
        <v>41408</v>
      </c>
      <c r="D50" s="233">
        <v>15.2</v>
      </c>
      <c r="E50" s="233">
        <v>8.8000000000000007</v>
      </c>
      <c r="F50" s="235">
        <v>88</v>
      </c>
      <c r="G50" s="233">
        <v>8.1</v>
      </c>
      <c r="H50" s="233">
        <v>4</v>
      </c>
      <c r="J50" s="233">
        <v>3.7</v>
      </c>
      <c r="K50" s="235">
        <v>7</v>
      </c>
      <c r="L50" s="235">
        <v>47</v>
      </c>
      <c r="M50" s="235">
        <v>920</v>
      </c>
      <c r="N50" s="235">
        <v>25</v>
      </c>
      <c r="O50" s="235">
        <v>1700</v>
      </c>
      <c r="Q50">
        <v>2013</v>
      </c>
      <c r="R50">
        <v>5</v>
      </c>
      <c r="T50" s="226"/>
      <c r="U50" s="226"/>
      <c r="V50" s="226"/>
      <c r="W50" s="226"/>
      <c r="X50" s="226"/>
      <c r="Y50" s="226"/>
      <c r="Z50" s="226"/>
      <c r="AA50" s="233">
        <f t="shared" si="1"/>
        <v>10.332000000000001</v>
      </c>
      <c r="AB50" s="233">
        <f t="shared" si="2"/>
        <v>12.739174193481931</v>
      </c>
      <c r="AC50" s="233">
        <f t="shared" si="3"/>
        <v>7.9248258065180703</v>
      </c>
      <c r="AD50">
        <v>2.95</v>
      </c>
      <c r="AE50" s="233">
        <f t="shared" si="4"/>
        <v>7.9374301675977676</v>
      </c>
      <c r="AF50" s="233">
        <f t="shared" si="5"/>
        <v>8.0830597168027865</v>
      </c>
      <c r="AG50" s="233">
        <f t="shared" si="6"/>
        <v>7.7918006183927488</v>
      </c>
      <c r="AH50">
        <v>6.5</v>
      </c>
      <c r="AI50" s="233">
        <f t="shared" si="7"/>
        <v>3.3601117318435763</v>
      </c>
      <c r="AJ50" s="233">
        <f t="shared" si="8"/>
        <v>6.3851512410714601</v>
      </c>
      <c r="AK50" s="233">
        <f t="shared" si="9"/>
        <v>0.33507222261569281</v>
      </c>
      <c r="AL50">
        <v>7</v>
      </c>
      <c r="AM50" s="233">
        <f t="shared" si="10"/>
        <v>48.104347826086951</v>
      </c>
      <c r="AN50" s="233">
        <f t="shared" si="11"/>
        <v>52.277593646348265</v>
      </c>
      <c r="AO50" s="233">
        <f t="shared" si="12"/>
        <v>43.931102005825636</v>
      </c>
      <c r="AP50" s="233">
        <f t="shared" si="13"/>
        <v>2.0655865921787711</v>
      </c>
      <c r="AQ50" s="233">
        <f t="shared" si="14"/>
        <v>3.1665882132978602</v>
      </c>
      <c r="AR50" s="233">
        <f t="shared" si="15"/>
        <v>0.96458497105968211</v>
      </c>
      <c r="AS50" s="235">
        <f t="shared" si="16"/>
        <v>33.105027932960894</v>
      </c>
      <c r="AT50" s="235">
        <f t="shared" si="17"/>
        <v>50.535961542150602</v>
      </c>
      <c r="AU50" s="235">
        <f t="shared" si="18"/>
        <v>15.67409432377119</v>
      </c>
      <c r="AV50">
        <v>100</v>
      </c>
      <c r="AW50" s="235">
        <f t="shared" si="19"/>
        <v>62.766666666666666</v>
      </c>
      <c r="AX50" s="235">
        <f t="shared" si="20"/>
        <v>80.98511149172171</v>
      </c>
      <c r="AY50" s="235">
        <f t="shared" si="21"/>
        <v>44.548221841611614</v>
      </c>
      <c r="AZ50" s="235">
        <f t="shared" si="22"/>
        <v>2941.6666666666665</v>
      </c>
      <c r="BA50" s="235">
        <f t="shared" si="23"/>
        <v>4966.9775952753826</v>
      </c>
      <c r="BB50" s="235">
        <f t="shared" si="24"/>
        <v>916.35573805795048</v>
      </c>
      <c r="BC50" s="235">
        <f t="shared" si="25"/>
        <v>53.18888888888889</v>
      </c>
      <c r="BD50" s="235">
        <f t="shared" si="26"/>
        <v>112.67052202318322</v>
      </c>
      <c r="BE50" s="235">
        <f t="shared" si="27"/>
        <v>-6.2927442454054372</v>
      </c>
      <c r="BF50" s="235">
        <f t="shared" si="28"/>
        <v>3577.2222222222222</v>
      </c>
      <c r="BG50" s="235">
        <f t="shared" si="29"/>
        <v>5636.1265941907786</v>
      </c>
      <c r="BH50" s="235">
        <f t="shared" si="30"/>
        <v>1518.3178502536657</v>
      </c>
      <c r="BI50">
        <v>5000</v>
      </c>
      <c r="BJ50" s="235">
        <f t="shared" si="31"/>
        <v>0</v>
      </c>
      <c r="BK50" s="235">
        <f t="shared" si="32"/>
        <v>0</v>
      </c>
      <c r="BL50" s="235">
        <f t="shared" si="33"/>
        <v>0</v>
      </c>
      <c r="BO50" s="235">
        <f t="shared" si="34"/>
        <v>41408</v>
      </c>
      <c r="CD50" s="533">
        <f t="shared" si="35"/>
        <v>15.2</v>
      </c>
      <c r="CE50" s="102">
        <f t="shared" si="36"/>
        <v>8.8000000000000007</v>
      </c>
      <c r="CF50" s="102">
        <f t="shared" si="37"/>
        <v>88</v>
      </c>
      <c r="CG50" s="102">
        <f t="shared" si="38"/>
        <v>8.1</v>
      </c>
      <c r="CH50" s="102">
        <f t="shared" si="39"/>
        <v>4</v>
      </c>
      <c r="CI50" s="102" t="str">
        <f t="shared" si="40"/>
        <v/>
      </c>
      <c r="CJ50" s="102">
        <f t="shared" si="41"/>
        <v>3.7</v>
      </c>
      <c r="CK50" s="102">
        <f t="shared" si="42"/>
        <v>7</v>
      </c>
      <c r="CL50" s="102">
        <f t="shared" si="43"/>
        <v>47</v>
      </c>
      <c r="CM50" s="102">
        <f t="shared" si="44"/>
        <v>920</v>
      </c>
      <c r="CN50" s="102">
        <f t="shared" si="45"/>
        <v>25</v>
      </c>
      <c r="CO50" s="102">
        <f t="shared" si="46"/>
        <v>1700</v>
      </c>
      <c r="CP50" s="102" t="str">
        <f t="shared" si="47"/>
        <v/>
      </c>
    </row>
    <row r="51" spans="2:94">
      <c r="B51" t="s">
        <v>252</v>
      </c>
      <c r="C51" s="231">
        <v>41443</v>
      </c>
      <c r="D51" s="233">
        <v>18.5</v>
      </c>
      <c r="E51" s="233">
        <v>7.3</v>
      </c>
      <c r="F51" s="235">
        <v>78</v>
      </c>
      <c r="G51" s="233">
        <v>7.9</v>
      </c>
      <c r="H51" s="233">
        <v>2.8</v>
      </c>
      <c r="J51" s="233">
        <v>1.4</v>
      </c>
      <c r="K51" s="235">
        <v>41</v>
      </c>
      <c r="L51" s="235">
        <v>73</v>
      </c>
      <c r="M51" s="235">
        <v>870</v>
      </c>
      <c r="N51" s="235">
        <v>43</v>
      </c>
      <c r="O51" s="235">
        <v>1800</v>
      </c>
      <c r="Q51">
        <v>2013</v>
      </c>
      <c r="R51">
        <v>6</v>
      </c>
      <c r="T51" s="226"/>
      <c r="U51" s="226"/>
      <c r="V51" s="226"/>
      <c r="W51" s="226"/>
      <c r="X51" s="226"/>
      <c r="Y51" s="226"/>
      <c r="Z51" s="226"/>
      <c r="AA51" s="233">
        <f t="shared" si="1"/>
        <v>10.332000000000001</v>
      </c>
      <c r="AB51" s="233">
        <f t="shared" si="2"/>
        <v>12.739174193481931</v>
      </c>
      <c r="AC51" s="233">
        <f t="shared" si="3"/>
        <v>7.9248258065180703</v>
      </c>
      <c r="AD51">
        <v>2.95</v>
      </c>
      <c r="AE51" s="233">
        <f t="shared" si="4"/>
        <v>7.9374301675977676</v>
      </c>
      <c r="AF51" s="233">
        <f t="shared" si="5"/>
        <v>8.0830597168027865</v>
      </c>
      <c r="AG51" s="233">
        <f t="shared" si="6"/>
        <v>7.7918006183927488</v>
      </c>
      <c r="AH51">
        <v>6.5</v>
      </c>
      <c r="AI51" s="233">
        <f t="shared" si="7"/>
        <v>3.3601117318435763</v>
      </c>
      <c r="AJ51" s="233">
        <f t="shared" si="8"/>
        <v>6.3851512410714601</v>
      </c>
      <c r="AK51" s="233">
        <f t="shared" si="9"/>
        <v>0.33507222261569281</v>
      </c>
      <c r="AL51">
        <v>7</v>
      </c>
      <c r="AM51" s="233">
        <f t="shared" si="10"/>
        <v>48.104347826086951</v>
      </c>
      <c r="AN51" s="233">
        <f t="shared" si="11"/>
        <v>52.277593646348265</v>
      </c>
      <c r="AO51" s="233">
        <f t="shared" si="12"/>
        <v>43.931102005825636</v>
      </c>
      <c r="AP51" s="233">
        <f t="shared" si="13"/>
        <v>2.0655865921787711</v>
      </c>
      <c r="AQ51" s="233">
        <f t="shared" si="14"/>
        <v>3.1665882132978602</v>
      </c>
      <c r="AR51" s="233">
        <f t="shared" si="15"/>
        <v>0.96458497105968211</v>
      </c>
      <c r="AS51" s="235">
        <f t="shared" si="16"/>
        <v>33.105027932960894</v>
      </c>
      <c r="AT51" s="235">
        <f t="shared" si="17"/>
        <v>50.535961542150602</v>
      </c>
      <c r="AU51" s="235">
        <f t="shared" si="18"/>
        <v>15.67409432377119</v>
      </c>
      <c r="AV51">
        <v>100</v>
      </c>
      <c r="AW51" s="235">
        <f t="shared" si="19"/>
        <v>62.766666666666666</v>
      </c>
      <c r="AX51" s="235">
        <f t="shared" si="20"/>
        <v>80.98511149172171</v>
      </c>
      <c r="AY51" s="235">
        <f t="shared" si="21"/>
        <v>44.548221841611614</v>
      </c>
      <c r="AZ51" s="235">
        <f t="shared" si="22"/>
        <v>2941.6666666666665</v>
      </c>
      <c r="BA51" s="235">
        <f t="shared" si="23"/>
        <v>4966.9775952753826</v>
      </c>
      <c r="BB51" s="235">
        <f t="shared" si="24"/>
        <v>916.35573805795048</v>
      </c>
      <c r="BC51" s="235">
        <f t="shared" si="25"/>
        <v>53.18888888888889</v>
      </c>
      <c r="BD51" s="235">
        <f t="shared" si="26"/>
        <v>112.67052202318322</v>
      </c>
      <c r="BE51" s="235">
        <f t="shared" si="27"/>
        <v>-6.2927442454054372</v>
      </c>
      <c r="BF51" s="235">
        <f t="shared" si="28"/>
        <v>3577.2222222222222</v>
      </c>
      <c r="BG51" s="235">
        <f t="shared" si="29"/>
        <v>5636.1265941907786</v>
      </c>
      <c r="BH51" s="235">
        <f t="shared" si="30"/>
        <v>1518.3178502536657</v>
      </c>
      <c r="BI51">
        <v>5000</v>
      </c>
      <c r="BJ51" s="235">
        <f t="shared" si="31"/>
        <v>0</v>
      </c>
      <c r="BK51" s="235">
        <f t="shared" si="32"/>
        <v>0</v>
      </c>
      <c r="BL51" s="235">
        <f t="shared" si="33"/>
        <v>0</v>
      </c>
      <c r="BO51" s="235">
        <f t="shared" si="34"/>
        <v>41443</v>
      </c>
      <c r="CD51" s="533">
        <f t="shared" si="35"/>
        <v>18.5</v>
      </c>
      <c r="CE51" s="102">
        <f t="shared" si="36"/>
        <v>7.3</v>
      </c>
      <c r="CF51" s="102">
        <f t="shared" si="37"/>
        <v>78</v>
      </c>
      <c r="CG51" s="102">
        <f t="shared" si="38"/>
        <v>7.9</v>
      </c>
      <c r="CH51" s="102">
        <f t="shared" si="39"/>
        <v>2.8</v>
      </c>
      <c r="CI51" s="102" t="str">
        <f t="shared" si="40"/>
        <v/>
      </c>
      <c r="CJ51" s="102">
        <f t="shared" si="41"/>
        <v>1.4</v>
      </c>
      <c r="CK51" s="102">
        <f t="shared" si="42"/>
        <v>41</v>
      </c>
      <c r="CL51" s="102">
        <f t="shared" si="43"/>
        <v>73</v>
      </c>
      <c r="CM51" s="102">
        <f t="shared" si="44"/>
        <v>870</v>
      </c>
      <c r="CN51" s="102">
        <f t="shared" si="45"/>
        <v>43</v>
      </c>
      <c r="CO51" s="102">
        <f t="shared" si="46"/>
        <v>1800</v>
      </c>
      <c r="CP51" s="102" t="str">
        <f t="shared" si="47"/>
        <v/>
      </c>
    </row>
    <row r="52" spans="2:94">
      <c r="B52" t="s">
        <v>252</v>
      </c>
      <c r="C52" s="231">
        <v>41465</v>
      </c>
      <c r="D52" s="233">
        <v>20.100000000000001</v>
      </c>
      <c r="E52" s="233">
        <v>7.8</v>
      </c>
      <c r="F52" s="235">
        <v>87</v>
      </c>
      <c r="G52" s="233">
        <v>7.9</v>
      </c>
      <c r="H52" s="233">
        <v>0.78</v>
      </c>
      <c r="J52" s="233">
        <v>0.88</v>
      </c>
      <c r="K52" s="235">
        <v>39</v>
      </c>
      <c r="L52" s="235">
        <v>64</v>
      </c>
      <c r="M52" s="235">
        <v>800</v>
      </c>
      <c r="N52" s="235">
        <v>33</v>
      </c>
      <c r="O52" s="235">
        <v>1400</v>
      </c>
      <c r="Q52">
        <v>2013</v>
      </c>
      <c r="R52">
        <v>7</v>
      </c>
      <c r="T52" s="226"/>
      <c r="U52" s="226"/>
      <c r="V52" s="226"/>
      <c r="W52" s="226"/>
      <c r="X52" s="226"/>
      <c r="Y52" s="226"/>
      <c r="Z52" s="226"/>
      <c r="AA52" s="233">
        <f t="shared" si="1"/>
        <v>10.332000000000001</v>
      </c>
      <c r="AB52" s="233">
        <f t="shared" si="2"/>
        <v>12.739174193481931</v>
      </c>
      <c r="AC52" s="233">
        <f t="shared" si="3"/>
        <v>7.9248258065180703</v>
      </c>
      <c r="AD52">
        <v>2.95</v>
      </c>
      <c r="AE52" s="233">
        <f t="shared" si="4"/>
        <v>7.9374301675977676</v>
      </c>
      <c r="AF52" s="233">
        <f t="shared" si="5"/>
        <v>8.0830597168027865</v>
      </c>
      <c r="AG52" s="233">
        <f t="shared" si="6"/>
        <v>7.7918006183927488</v>
      </c>
      <c r="AH52">
        <v>6.5</v>
      </c>
      <c r="AI52" s="233">
        <f t="shared" si="7"/>
        <v>3.3601117318435763</v>
      </c>
      <c r="AJ52" s="233">
        <f t="shared" si="8"/>
        <v>6.3851512410714601</v>
      </c>
      <c r="AK52" s="233">
        <f t="shared" si="9"/>
        <v>0.33507222261569281</v>
      </c>
      <c r="AL52">
        <v>7</v>
      </c>
      <c r="AM52" s="233">
        <f t="shared" si="10"/>
        <v>48.104347826086951</v>
      </c>
      <c r="AN52" s="233">
        <f t="shared" si="11"/>
        <v>52.277593646348265</v>
      </c>
      <c r="AO52" s="233">
        <f t="shared" si="12"/>
        <v>43.931102005825636</v>
      </c>
      <c r="AP52" s="233">
        <f t="shared" si="13"/>
        <v>2.0655865921787711</v>
      </c>
      <c r="AQ52" s="233">
        <f t="shared" si="14"/>
        <v>3.1665882132978602</v>
      </c>
      <c r="AR52" s="233">
        <f t="shared" si="15"/>
        <v>0.96458497105968211</v>
      </c>
      <c r="AS52" s="235">
        <f t="shared" si="16"/>
        <v>33.105027932960894</v>
      </c>
      <c r="AT52" s="235">
        <f t="shared" si="17"/>
        <v>50.535961542150602</v>
      </c>
      <c r="AU52" s="235">
        <f t="shared" si="18"/>
        <v>15.67409432377119</v>
      </c>
      <c r="AV52">
        <v>100</v>
      </c>
      <c r="AW52" s="235">
        <f t="shared" si="19"/>
        <v>62.766666666666666</v>
      </c>
      <c r="AX52" s="235">
        <f t="shared" si="20"/>
        <v>80.98511149172171</v>
      </c>
      <c r="AY52" s="235">
        <f t="shared" si="21"/>
        <v>44.548221841611614</v>
      </c>
      <c r="AZ52" s="235">
        <f t="shared" si="22"/>
        <v>2941.6666666666665</v>
      </c>
      <c r="BA52" s="235">
        <f t="shared" si="23"/>
        <v>4966.9775952753826</v>
      </c>
      <c r="BB52" s="235">
        <f t="shared" si="24"/>
        <v>916.35573805795048</v>
      </c>
      <c r="BC52" s="235">
        <f t="shared" si="25"/>
        <v>53.18888888888889</v>
      </c>
      <c r="BD52" s="235">
        <f t="shared" si="26"/>
        <v>112.67052202318322</v>
      </c>
      <c r="BE52" s="235">
        <f t="shared" si="27"/>
        <v>-6.2927442454054372</v>
      </c>
      <c r="BF52" s="235">
        <f t="shared" si="28"/>
        <v>3577.2222222222222</v>
      </c>
      <c r="BG52" s="235">
        <f t="shared" si="29"/>
        <v>5636.1265941907786</v>
      </c>
      <c r="BH52" s="235">
        <f t="shared" si="30"/>
        <v>1518.3178502536657</v>
      </c>
      <c r="BI52">
        <v>5000</v>
      </c>
      <c r="BJ52" s="235">
        <f t="shared" si="31"/>
        <v>0</v>
      </c>
      <c r="BK52" s="235">
        <f t="shared" si="32"/>
        <v>0</v>
      </c>
      <c r="BL52" s="235">
        <f t="shared" si="33"/>
        <v>0</v>
      </c>
      <c r="BO52" s="235">
        <f t="shared" si="34"/>
        <v>41465</v>
      </c>
      <c r="CD52" s="533">
        <f t="shared" si="35"/>
        <v>20.100000000000001</v>
      </c>
      <c r="CE52" s="102">
        <f t="shared" si="36"/>
        <v>7.8</v>
      </c>
      <c r="CF52" s="102">
        <f t="shared" si="37"/>
        <v>87</v>
      </c>
      <c r="CG52" s="102">
        <f t="shared" si="38"/>
        <v>7.9</v>
      </c>
      <c r="CH52" s="102">
        <f t="shared" si="39"/>
        <v>0.78</v>
      </c>
      <c r="CI52" s="102" t="str">
        <f t="shared" si="40"/>
        <v/>
      </c>
      <c r="CJ52" s="102">
        <f t="shared" si="41"/>
        <v>0.88</v>
      </c>
      <c r="CK52" s="102">
        <f t="shared" si="42"/>
        <v>39</v>
      </c>
      <c r="CL52" s="102">
        <f t="shared" si="43"/>
        <v>64</v>
      </c>
      <c r="CM52" s="102">
        <f t="shared" si="44"/>
        <v>800</v>
      </c>
      <c r="CN52" s="102">
        <f t="shared" si="45"/>
        <v>33</v>
      </c>
      <c r="CO52" s="102">
        <f t="shared" si="46"/>
        <v>1400</v>
      </c>
      <c r="CP52" s="102" t="str">
        <f t="shared" si="47"/>
        <v/>
      </c>
    </row>
    <row r="53" spans="2:94">
      <c r="B53" t="s">
        <v>252</v>
      </c>
      <c r="C53" s="231">
        <v>41500</v>
      </c>
      <c r="D53" s="233">
        <v>18.399999999999999</v>
      </c>
      <c r="E53" s="233">
        <v>7.5</v>
      </c>
      <c r="F53" s="235">
        <v>79</v>
      </c>
      <c r="G53" s="233">
        <v>7.9</v>
      </c>
      <c r="H53" s="233">
        <v>1</v>
      </c>
      <c r="J53" s="233">
        <v>0.8</v>
      </c>
      <c r="K53" s="235">
        <v>53</v>
      </c>
      <c r="L53" s="235">
        <v>84</v>
      </c>
      <c r="M53" s="235">
        <v>1700</v>
      </c>
      <c r="N53" s="235">
        <v>23</v>
      </c>
      <c r="O53" s="235">
        <v>1600</v>
      </c>
      <c r="Q53">
        <v>2013</v>
      </c>
      <c r="R53">
        <v>8</v>
      </c>
      <c r="T53" s="226"/>
      <c r="U53" s="226"/>
      <c r="V53" s="226"/>
      <c r="W53" s="226"/>
      <c r="X53" s="226"/>
      <c r="Y53" s="226"/>
      <c r="Z53" s="226"/>
      <c r="AA53" s="233">
        <f t="shared" si="1"/>
        <v>10.332000000000001</v>
      </c>
      <c r="AB53" s="233">
        <f t="shared" si="2"/>
        <v>12.739174193481931</v>
      </c>
      <c r="AC53" s="233">
        <f t="shared" si="3"/>
        <v>7.9248258065180703</v>
      </c>
      <c r="AD53">
        <v>2.95</v>
      </c>
      <c r="AE53" s="233">
        <f t="shared" si="4"/>
        <v>7.9374301675977676</v>
      </c>
      <c r="AF53" s="233">
        <f t="shared" si="5"/>
        <v>8.0830597168027865</v>
      </c>
      <c r="AG53" s="233">
        <f t="shared" si="6"/>
        <v>7.7918006183927488</v>
      </c>
      <c r="AH53">
        <v>6.5</v>
      </c>
      <c r="AI53" s="233">
        <f t="shared" si="7"/>
        <v>3.3601117318435763</v>
      </c>
      <c r="AJ53" s="233">
        <f t="shared" si="8"/>
        <v>6.3851512410714601</v>
      </c>
      <c r="AK53" s="233">
        <f t="shared" si="9"/>
        <v>0.33507222261569281</v>
      </c>
      <c r="AL53">
        <v>7</v>
      </c>
      <c r="AM53" s="233">
        <f t="shared" si="10"/>
        <v>48.104347826086951</v>
      </c>
      <c r="AN53" s="233">
        <f t="shared" si="11"/>
        <v>52.277593646348265</v>
      </c>
      <c r="AO53" s="233">
        <f t="shared" si="12"/>
        <v>43.931102005825636</v>
      </c>
      <c r="AP53" s="233">
        <f t="shared" si="13"/>
        <v>2.0655865921787711</v>
      </c>
      <c r="AQ53" s="233">
        <f t="shared" si="14"/>
        <v>3.1665882132978602</v>
      </c>
      <c r="AR53" s="233">
        <f t="shared" si="15"/>
        <v>0.96458497105968211</v>
      </c>
      <c r="AS53" s="235">
        <f t="shared" si="16"/>
        <v>33.105027932960894</v>
      </c>
      <c r="AT53" s="235">
        <f t="shared" si="17"/>
        <v>50.535961542150602</v>
      </c>
      <c r="AU53" s="235">
        <f t="shared" si="18"/>
        <v>15.67409432377119</v>
      </c>
      <c r="AV53">
        <v>100</v>
      </c>
      <c r="AW53" s="235">
        <f t="shared" si="19"/>
        <v>62.766666666666666</v>
      </c>
      <c r="AX53" s="235">
        <f t="shared" si="20"/>
        <v>80.98511149172171</v>
      </c>
      <c r="AY53" s="235">
        <f t="shared" si="21"/>
        <v>44.548221841611614</v>
      </c>
      <c r="AZ53" s="235">
        <f t="shared" si="22"/>
        <v>2941.6666666666665</v>
      </c>
      <c r="BA53" s="235">
        <f t="shared" si="23"/>
        <v>4966.9775952753826</v>
      </c>
      <c r="BB53" s="235">
        <f t="shared" si="24"/>
        <v>916.35573805795048</v>
      </c>
      <c r="BC53" s="235">
        <f t="shared" si="25"/>
        <v>53.18888888888889</v>
      </c>
      <c r="BD53" s="235">
        <f t="shared" si="26"/>
        <v>112.67052202318322</v>
      </c>
      <c r="BE53" s="235">
        <f t="shared" si="27"/>
        <v>-6.2927442454054372</v>
      </c>
      <c r="BF53" s="235">
        <f t="shared" si="28"/>
        <v>3577.2222222222222</v>
      </c>
      <c r="BG53" s="235">
        <f t="shared" si="29"/>
        <v>5636.1265941907786</v>
      </c>
      <c r="BH53" s="235">
        <f t="shared" si="30"/>
        <v>1518.3178502536657</v>
      </c>
      <c r="BI53">
        <v>5000</v>
      </c>
      <c r="BJ53" s="235">
        <f t="shared" si="31"/>
        <v>0</v>
      </c>
      <c r="BK53" s="235">
        <f t="shared" si="32"/>
        <v>0</v>
      </c>
      <c r="BL53" s="235">
        <f t="shared" si="33"/>
        <v>0</v>
      </c>
      <c r="BO53" s="235">
        <f t="shared" si="34"/>
        <v>41500</v>
      </c>
      <c r="CD53" s="533">
        <f t="shared" si="35"/>
        <v>18.399999999999999</v>
      </c>
      <c r="CE53" s="102">
        <f t="shared" si="36"/>
        <v>7.5</v>
      </c>
      <c r="CF53" s="102">
        <f t="shared" si="37"/>
        <v>79</v>
      </c>
      <c r="CG53" s="102">
        <f t="shared" si="38"/>
        <v>7.9</v>
      </c>
      <c r="CH53" s="102">
        <f t="shared" si="39"/>
        <v>1</v>
      </c>
      <c r="CI53" s="102" t="str">
        <f t="shared" si="40"/>
        <v/>
      </c>
      <c r="CJ53" s="102">
        <f t="shared" si="41"/>
        <v>0.8</v>
      </c>
      <c r="CK53" s="102">
        <f t="shared" si="42"/>
        <v>53</v>
      </c>
      <c r="CL53" s="102">
        <f t="shared" si="43"/>
        <v>84</v>
      </c>
      <c r="CM53" s="102">
        <f t="shared" si="44"/>
        <v>1700</v>
      </c>
      <c r="CN53" s="102">
        <f t="shared" si="45"/>
        <v>23</v>
      </c>
      <c r="CO53" s="102">
        <f t="shared" si="46"/>
        <v>1600</v>
      </c>
      <c r="CP53" s="102" t="str">
        <f t="shared" si="47"/>
        <v/>
      </c>
    </row>
    <row r="54" spans="2:94">
      <c r="B54" t="s">
        <v>252</v>
      </c>
      <c r="C54" s="231">
        <v>41529</v>
      </c>
      <c r="D54" s="233">
        <v>16.3</v>
      </c>
      <c r="E54" s="233">
        <v>7.3</v>
      </c>
      <c r="F54" s="235">
        <v>75</v>
      </c>
      <c r="G54" s="233">
        <v>7.8</v>
      </c>
      <c r="H54" s="233">
        <v>1.5</v>
      </c>
      <c r="J54" s="233">
        <v>1</v>
      </c>
      <c r="K54" s="235">
        <v>16</v>
      </c>
      <c r="L54" s="235">
        <v>68</v>
      </c>
      <c r="M54" s="235">
        <v>1000</v>
      </c>
      <c r="N54" s="235">
        <v>45</v>
      </c>
      <c r="O54" s="235">
        <v>1600</v>
      </c>
      <c r="Q54">
        <v>2013</v>
      </c>
      <c r="R54">
        <v>9</v>
      </c>
      <c r="T54" s="226"/>
      <c r="U54" s="226"/>
      <c r="V54" s="226"/>
      <c r="W54" s="226"/>
      <c r="X54" s="226"/>
      <c r="Y54" s="226"/>
      <c r="Z54" s="226"/>
      <c r="AA54" s="233">
        <f t="shared" si="1"/>
        <v>10.332000000000001</v>
      </c>
      <c r="AB54" s="233">
        <f t="shared" si="2"/>
        <v>12.739174193481931</v>
      </c>
      <c r="AC54" s="233">
        <f t="shared" si="3"/>
        <v>7.9248258065180703</v>
      </c>
      <c r="AD54">
        <v>2.95</v>
      </c>
      <c r="AE54" s="233">
        <f t="shared" si="4"/>
        <v>7.9374301675977676</v>
      </c>
      <c r="AF54" s="233">
        <f t="shared" si="5"/>
        <v>8.0830597168027865</v>
      </c>
      <c r="AG54" s="233">
        <f t="shared" si="6"/>
        <v>7.7918006183927488</v>
      </c>
      <c r="AH54">
        <v>6.5</v>
      </c>
      <c r="AI54" s="233">
        <f t="shared" si="7"/>
        <v>3.3601117318435763</v>
      </c>
      <c r="AJ54" s="233">
        <f t="shared" si="8"/>
        <v>6.3851512410714601</v>
      </c>
      <c r="AK54" s="233">
        <f t="shared" si="9"/>
        <v>0.33507222261569281</v>
      </c>
      <c r="AL54">
        <v>7</v>
      </c>
      <c r="AM54" s="233">
        <f t="shared" si="10"/>
        <v>48.104347826086951</v>
      </c>
      <c r="AN54" s="233">
        <f t="shared" si="11"/>
        <v>52.277593646348265</v>
      </c>
      <c r="AO54" s="233">
        <f t="shared" si="12"/>
        <v>43.931102005825636</v>
      </c>
      <c r="AP54" s="233">
        <f t="shared" si="13"/>
        <v>2.0655865921787711</v>
      </c>
      <c r="AQ54" s="233">
        <f t="shared" si="14"/>
        <v>3.1665882132978602</v>
      </c>
      <c r="AR54" s="233">
        <f t="shared" si="15"/>
        <v>0.96458497105968211</v>
      </c>
      <c r="AS54" s="235">
        <f t="shared" si="16"/>
        <v>33.105027932960894</v>
      </c>
      <c r="AT54" s="235">
        <f t="shared" si="17"/>
        <v>50.535961542150602</v>
      </c>
      <c r="AU54" s="235">
        <f t="shared" si="18"/>
        <v>15.67409432377119</v>
      </c>
      <c r="AV54">
        <v>100</v>
      </c>
      <c r="AW54" s="235">
        <f t="shared" si="19"/>
        <v>62.766666666666666</v>
      </c>
      <c r="AX54" s="235">
        <f t="shared" si="20"/>
        <v>80.98511149172171</v>
      </c>
      <c r="AY54" s="235">
        <f t="shared" si="21"/>
        <v>44.548221841611614</v>
      </c>
      <c r="AZ54" s="235">
        <f t="shared" si="22"/>
        <v>2941.6666666666665</v>
      </c>
      <c r="BA54" s="235">
        <f t="shared" si="23"/>
        <v>4966.9775952753826</v>
      </c>
      <c r="BB54" s="235">
        <f t="shared" si="24"/>
        <v>916.35573805795048</v>
      </c>
      <c r="BC54" s="235">
        <f t="shared" si="25"/>
        <v>53.18888888888889</v>
      </c>
      <c r="BD54" s="235">
        <f t="shared" si="26"/>
        <v>112.67052202318322</v>
      </c>
      <c r="BE54" s="235">
        <f t="shared" si="27"/>
        <v>-6.2927442454054372</v>
      </c>
      <c r="BF54" s="235">
        <f t="shared" si="28"/>
        <v>3577.2222222222222</v>
      </c>
      <c r="BG54" s="235">
        <f t="shared" si="29"/>
        <v>5636.1265941907786</v>
      </c>
      <c r="BH54" s="235">
        <f t="shared" si="30"/>
        <v>1518.3178502536657</v>
      </c>
      <c r="BI54">
        <v>5000</v>
      </c>
      <c r="BJ54" s="235">
        <f t="shared" si="31"/>
        <v>0</v>
      </c>
      <c r="BK54" s="235">
        <f t="shared" si="32"/>
        <v>0</v>
      </c>
      <c r="BL54" s="235">
        <f t="shared" si="33"/>
        <v>0</v>
      </c>
      <c r="BO54" s="235">
        <f t="shared" si="34"/>
        <v>41529</v>
      </c>
      <c r="CD54" s="533">
        <f t="shared" si="35"/>
        <v>16.3</v>
      </c>
      <c r="CE54" s="102">
        <f t="shared" si="36"/>
        <v>7.3</v>
      </c>
      <c r="CF54" s="102">
        <f t="shared" si="37"/>
        <v>75</v>
      </c>
      <c r="CG54" s="102">
        <f t="shared" si="38"/>
        <v>7.8</v>
      </c>
      <c r="CH54" s="102">
        <f t="shared" si="39"/>
        <v>1.5</v>
      </c>
      <c r="CI54" s="102" t="str">
        <f t="shared" si="40"/>
        <v/>
      </c>
      <c r="CJ54" s="102">
        <f t="shared" si="41"/>
        <v>1</v>
      </c>
      <c r="CK54" s="102">
        <f t="shared" si="42"/>
        <v>16</v>
      </c>
      <c r="CL54" s="102">
        <f t="shared" si="43"/>
        <v>68</v>
      </c>
      <c r="CM54" s="102">
        <f t="shared" si="44"/>
        <v>1000</v>
      </c>
      <c r="CN54" s="102">
        <f t="shared" si="45"/>
        <v>45</v>
      </c>
      <c r="CO54" s="102">
        <f t="shared" si="46"/>
        <v>1600</v>
      </c>
      <c r="CP54" s="102" t="str">
        <f t="shared" si="47"/>
        <v/>
      </c>
    </row>
    <row r="55" spans="2:94">
      <c r="B55" t="s">
        <v>252</v>
      </c>
      <c r="C55" s="231">
        <v>41572</v>
      </c>
      <c r="D55" s="233">
        <v>11</v>
      </c>
      <c r="E55" s="233">
        <v>10.5</v>
      </c>
      <c r="F55" s="235">
        <v>95</v>
      </c>
      <c r="G55" s="233">
        <v>7.9</v>
      </c>
      <c r="H55" s="233">
        <v>3.5</v>
      </c>
      <c r="J55" s="233" t="s">
        <v>287</v>
      </c>
      <c r="K55" s="235">
        <v>50</v>
      </c>
      <c r="L55" s="235">
        <v>73</v>
      </c>
      <c r="M55" s="235">
        <v>5600</v>
      </c>
      <c r="N55" s="235">
        <v>46</v>
      </c>
      <c r="O55" s="235">
        <v>6700</v>
      </c>
      <c r="Q55">
        <v>2013</v>
      </c>
      <c r="R55">
        <v>10</v>
      </c>
      <c r="T55" s="226"/>
      <c r="U55" s="226"/>
      <c r="V55" s="226"/>
      <c r="W55" s="226"/>
      <c r="X55" s="226"/>
      <c r="Y55" s="226"/>
      <c r="Z55" s="226"/>
      <c r="AA55" s="233">
        <f t="shared" si="1"/>
        <v>10.332000000000001</v>
      </c>
      <c r="AB55" s="233">
        <f t="shared" si="2"/>
        <v>12.739174193481931</v>
      </c>
      <c r="AC55" s="233">
        <f t="shared" si="3"/>
        <v>7.9248258065180703</v>
      </c>
      <c r="AD55">
        <v>2.95</v>
      </c>
      <c r="AE55" s="233">
        <f t="shared" si="4"/>
        <v>7.9374301675977676</v>
      </c>
      <c r="AF55" s="233">
        <f t="shared" si="5"/>
        <v>8.0830597168027865</v>
      </c>
      <c r="AG55" s="233">
        <f t="shared" si="6"/>
        <v>7.7918006183927488</v>
      </c>
      <c r="AH55">
        <v>6.5</v>
      </c>
      <c r="AI55" s="233">
        <f t="shared" si="7"/>
        <v>3.3601117318435763</v>
      </c>
      <c r="AJ55" s="233">
        <f t="shared" si="8"/>
        <v>6.3851512410714601</v>
      </c>
      <c r="AK55" s="233">
        <f t="shared" si="9"/>
        <v>0.33507222261569281</v>
      </c>
      <c r="AL55">
        <v>7</v>
      </c>
      <c r="AM55" s="233">
        <f t="shared" si="10"/>
        <v>48.104347826086951</v>
      </c>
      <c r="AN55" s="233">
        <f t="shared" si="11"/>
        <v>52.277593646348265</v>
      </c>
      <c r="AO55" s="233">
        <f t="shared" si="12"/>
        <v>43.931102005825636</v>
      </c>
      <c r="AP55" s="233">
        <f t="shared" si="13"/>
        <v>2.0655865921787711</v>
      </c>
      <c r="AQ55" s="233">
        <f t="shared" si="14"/>
        <v>3.1665882132978602</v>
      </c>
      <c r="AR55" s="233">
        <f t="shared" si="15"/>
        <v>0.96458497105968211</v>
      </c>
      <c r="AS55" s="235">
        <f t="shared" si="16"/>
        <v>33.105027932960894</v>
      </c>
      <c r="AT55" s="235">
        <f t="shared" si="17"/>
        <v>50.535961542150602</v>
      </c>
      <c r="AU55" s="235">
        <f t="shared" si="18"/>
        <v>15.67409432377119</v>
      </c>
      <c r="AV55">
        <v>100</v>
      </c>
      <c r="AW55" s="235">
        <f t="shared" si="19"/>
        <v>62.766666666666666</v>
      </c>
      <c r="AX55" s="235">
        <f t="shared" si="20"/>
        <v>80.98511149172171</v>
      </c>
      <c r="AY55" s="235">
        <f t="shared" si="21"/>
        <v>44.548221841611614</v>
      </c>
      <c r="AZ55" s="235">
        <f t="shared" si="22"/>
        <v>2941.6666666666665</v>
      </c>
      <c r="BA55" s="235">
        <f t="shared" si="23"/>
        <v>4966.9775952753826</v>
      </c>
      <c r="BB55" s="235">
        <f t="shared" si="24"/>
        <v>916.35573805795048</v>
      </c>
      <c r="BC55" s="235">
        <f t="shared" si="25"/>
        <v>53.18888888888889</v>
      </c>
      <c r="BD55" s="235">
        <f t="shared" si="26"/>
        <v>112.67052202318322</v>
      </c>
      <c r="BE55" s="235">
        <f t="shared" si="27"/>
        <v>-6.2927442454054372</v>
      </c>
      <c r="BF55" s="235">
        <f t="shared" si="28"/>
        <v>3577.2222222222222</v>
      </c>
      <c r="BG55" s="235">
        <f t="shared" si="29"/>
        <v>5636.1265941907786</v>
      </c>
      <c r="BH55" s="235">
        <f t="shared" si="30"/>
        <v>1518.3178502536657</v>
      </c>
      <c r="BI55">
        <v>5000</v>
      </c>
      <c r="BJ55" s="235">
        <f t="shared" si="31"/>
        <v>0</v>
      </c>
      <c r="BK55" s="235">
        <f t="shared" si="32"/>
        <v>0</v>
      </c>
      <c r="BL55" s="235">
        <f t="shared" si="33"/>
        <v>0</v>
      </c>
      <c r="BO55" s="235">
        <f t="shared" si="34"/>
        <v>41572</v>
      </c>
      <c r="CD55" s="533">
        <f t="shared" si="35"/>
        <v>11</v>
      </c>
      <c r="CE55" s="102">
        <f t="shared" si="36"/>
        <v>10.5</v>
      </c>
      <c r="CF55" s="102">
        <f t="shared" si="37"/>
        <v>95</v>
      </c>
      <c r="CG55" s="102">
        <f t="shared" si="38"/>
        <v>7.9</v>
      </c>
      <c r="CH55" s="102">
        <f t="shared" si="39"/>
        <v>3.5</v>
      </c>
      <c r="CI55" s="102" t="str">
        <f t="shared" si="40"/>
        <v/>
      </c>
      <c r="CJ55" s="102">
        <f t="shared" si="41"/>
        <v>0.5</v>
      </c>
      <c r="CK55" s="102">
        <f t="shared" si="42"/>
        <v>50</v>
      </c>
      <c r="CL55" s="102">
        <f t="shared" si="43"/>
        <v>73</v>
      </c>
      <c r="CM55" s="102">
        <f t="shared" si="44"/>
        <v>5600</v>
      </c>
      <c r="CN55" s="102">
        <f t="shared" si="45"/>
        <v>46</v>
      </c>
      <c r="CO55" s="102">
        <f t="shared" si="46"/>
        <v>6700</v>
      </c>
      <c r="CP55" s="102" t="str">
        <f t="shared" si="47"/>
        <v/>
      </c>
    </row>
    <row r="56" spans="2:94">
      <c r="B56" t="s">
        <v>252</v>
      </c>
      <c r="C56" s="231">
        <v>41591</v>
      </c>
      <c r="D56" s="233">
        <v>7.6</v>
      </c>
      <c r="E56" s="233">
        <v>11.4</v>
      </c>
      <c r="F56" s="235">
        <v>96</v>
      </c>
      <c r="G56" s="233">
        <v>8</v>
      </c>
      <c r="H56" s="233">
        <v>7.2</v>
      </c>
      <c r="J56" s="233">
        <v>1.6</v>
      </c>
      <c r="K56" s="235">
        <v>46</v>
      </c>
      <c r="L56" s="235">
        <v>73</v>
      </c>
      <c r="M56" s="235">
        <v>8100</v>
      </c>
      <c r="N56" s="235">
        <v>36</v>
      </c>
      <c r="O56" s="235">
        <v>9200</v>
      </c>
      <c r="Q56">
        <v>2013</v>
      </c>
      <c r="R56">
        <v>11</v>
      </c>
      <c r="T56" s="226"/>
      <c r="U56" s="226"/>
      <c r="V56" s="226"/>
      <c r="W56" s="226"/>
      <c r="X56" s="226"/>
      <c r="Y56" s="226"/>
      <c r="Z56" s="226"/>
      <c r="AA56" s="233">
        <f t="shared" si="1"/>
        <v>10.332000000000001</v>
      </c>
      <c r="AB56" s="233">
        <f t="shared" si="2"/>
        <v>12.739174193481931</v>
      </c>
      <c r="AC56" s="233">
        <f t="shared" si="3"/>
        <v>7.9248258065180703</v>
      </c>
      <c r="AD56">
        <v>2.95</v>
      </c>
      <c r="AE56" s="233">
        <f t="shared" si="4"/>
        <v>7.9374301675977676</v>
      </c>
      <c r="AF56" s="233">
        <f t="shared" si="5"/>
        <v>8.0830597168027865</v>
      </c>
      <c r="AG56" s="233">
        <f t="shared" si="6"/>
        <v>7.7918006183927488</v>
      </c>
      <c r="AH56">
        <v>6.5</v>
      </c>
      <c r="AI56" s="233">
        <f t="shared" si="7"/>
        <v>3.3601117318435763</v>
      </c>
      <c r="AJ56" s="233">
        <f t="shared" si="8"/>
        <v>6.3851512410714601</v>
      </c>
      <c r="AK56" s="233">
        <f t="shared" si="9"/>
        <v>0.33507222261569281</v>
      </c>
      <c r="AL56">
        <v>7</v>
      </c>
      <c r="AM56" s="233">
        <f t="shared" si="10"/>
        <v>48.104347826086951</v>
      </c>
      <c r="AN56" s="233">
        <f t="shared" si="11"/>
        <v>52.277593646348265</v>
      </c>
      <c r="AO56" s="233">
        <f t="shared" si="12"/>
        <v>43.931102005825636</v>
      </c>
      <c r="AP56" s="233">
        <f t="shared" si="13"/>
        <v>2.0655865921787711</v>
      </c>
      <c r="AQ56" s="233">
        <f t="shared" si="14"/>
        <v>3.1665882132978602</v>
      </c>
      <c r="AR56" s="233">
        <f t="shared" si="15"/>
        <v>0.96458497105968211</v>
      </c>
      <c r="AS56" s="235">
        <f t="shared" si="16"/>
        <v>33.105027932960894</v>
      </c>
      <c r="AT56" s="235">
        <f t="shared" si="17"/>
        <v>50.535961542150602</v>
      </c>
      <c r="AU56" s="235">
        <f t="shared" si="18"/>
        <v>15.67409432377119</v>
      </c>
      <c r="AV56">
        <v>100</v>
      </c>
      <c r="AW56" s="235">
        <f t="shared" si="19"/>
        <v>62.766666666666666</v>
      </c>
      <c r="AX56" s="235">
        <f t="shared" si="20"/>
        <v>80.98511149172171</v>
      </c>
      <c r="AY56" s="235">
        <f t="shared" si="21"/>
        <v>44.548221841611614</v>
      </c>
      <c r="AZ56" s="235">
        <f t="shared" si="22"/>
        <v>2941.6666666666665</v>
      </c>
      <c r="BA56" s="235">
        <f t="shared" si="23"/>
        <v>4966.9775952753826</v>
      </c>
      <c r="BB56" s="235">
        <f t="shared" si="24"/>
        <v>916.35573805795048</v>
      </c>
      <c r="BC56" s="235">
        <f t="shared" si="25"/>
        <v>53.18888888888889</v>
      </c>
      <c r="BD56" s="235">
        <f t="shared" si="26"/>
        <v>112.67052202318322</v>
      </c>
      <c r="BE56" s="235">
        <f t="shared" si="27"/>
        <v>-6.2927442454054372</v>
      </c>
      <c r="BF56" s="235">
        <f t="shared" si="28"/>
        <v>3577.2222222222222</v>
      </c>
      <c r="BG56" s="235">
        <f t="shared" si="29"/>
        <v>5636.1265941907786</v>
      </c>
      <c r="BH56" s="235">
        <f t="shared" si="30"/>
        <v>1518.3178502536657</v>
      </c>
      <c r="BI56">
        <v>5000</v>
      </c>
      <c r="BJ56" s="235">
        <f t="shared" si="31"/>
        <v>0</v>
      </c>
      <c r="BK56" s="235">
        <f t="shared" si="32"/>
        <v>0</v>
      </c>
      <c r="BL56" s="235">
        <f t="shared" si="33"/>
        <v>0</v>
      </c>
      <c r="BO56" s="235">
        <f t="shared" si="34"/>
        <v>41591</v>
      </c>
      <c r="CD56" s="533">
        <f t="shared" si="35"/>
        <v>7.6</v>
      </c>
      <c r="CE56" s="102">
        <f t="shared" si="36"/>
        <v>11.4</v>
      </c>
      <c r="CF56" s="102">
        <f t="shared" si="37"/>
        <v>96</v>
      </c>
      <c r="CG56" s="102">
        <f t="shared" si="38"/>
        <v>8</v>
      </c>
      <c r="CH56" s="102">
        <f t="shared" si="39"/>
        <v>7.2</v>
      </c>
      <c r="CI56" s="102" t="str">
        <f t="shared" si="40"/>
        <v/>
      </c>
      <c r="CJ56" s="102">
        <f t="shared" si="41"/>
        <v>1.6</v>
      </c>
      <c r="CK56" s="102">
        <f t="shared" si="42"/>
        <v>46</v>
      </c>
      <c r="CL56" s="102">
        <f t="shared" si="43"/>
        <v>73</v>
      </c>
      <c r="CM56" s="102">
        <f t="shared" si="44"/>
        <v>8100</v>
      </c>
      <c r="CN56" s="102">
        <f t="shared" si="45"/>
        <v>36</v>
      </c>
      <c r="CO56" s="102">
        <f t="shared" si="46"/>
        <v>9200</v>
      </c>
      <c r="CP56" s="102" t="str">
        <f t="shared" si="47"/>
        <v/>
      </c>
    </row>
    <row r="57" spans="2:94">
      <c r="B57" t="s">
        <v>252</v>
      </c>
      <c r="C57" s="231">
        <v>41619</v>
      </c>
      <c r="D57" s="233">
        <v>5.3</v>
      </c>
      <c r="E57" s="233">
        <v>12.1</v>
      </c>
      <c r="F57" s="235">
        <v>95</v>
      </c>
      <c r="G57" s="233">
        <v>8</v>
      </c>
      <c r="H57" s="233">
        <v>5.4</v>
      </c>
      <c r="J57" s="233">
        <v>1.8</v>
      </c>
      <c r="K57" s="235">
        <v>37</v>
      </c>
      <c r="L57" s="235">
        <v>70</v>
      </c>
      <c r="M57" s="235">
        <v>7100</v>
      </c>
      <c r="N57" s="235">
        <v>97</v>
      </c>
      <c r="O57" s="235">
        <v>8500</v>
      </c>
      <c r="Q57">
        <v>2013</v>
      </c>
      <c r="R57">
        <v>12</v>
      </c>
      <c r="T57" s="226"/>
      <c r="U57" s="226"/>
      <c r="V57" s="226"/>
      <c r="W57" s="226"/>
      <c r="X57" s="226"/>
      <c r="Y57" s="226"/>
      <c r="Z57" s="226"/>
      <c r="AA57" s="233">
        <f t="shared" si="1"/>
        <v>10.332000000000001</v>
      </c>
      <c r="AB57" s="233">
        <f t="shared" si="2"/>
        <v>12.739174193481931</v>
      </c>
      <c r="AC57" s="233">
        <f t="shared" si="3"/>
        <v>7.9248258065180703</v>
      </c>
      <c r="AD57">
        <v>2.95</v>
      </c>
      <c r="AE57" s="233">
        <f t="shared" si="4"/>
        <v>7.9374301675977676</v>
      </c>
      <c r="AF57" s="233">
        <f t="shared" si="5"/>
        <v>8.0830597168027865</v>
      </c>
      <c r="AG57" s="233">
        <f t="shared" si="6"/>
        <v>7.7918006183927488</v>
      </c>
      <c r="AH57">
        <v>6.5</v>
      </c>
      <c r="AI57" s="233">
        <f t="shared" si="7"/>
        <v>3.3601117318435763</v>
      </c>
      <c r="AJ57" s="233">
        <f t="shared" si="8"/>
        <v>6.3851512410714601</v>
      </c>
      <c r="AK57" s="233">
        <f t="shared" si="9"/>
        <v>0.33507222261569281</v>
      </c>
      <c r="AL57">
        <v>7</v>
      </c>
      <c r="AM57" s="233">
        <f t="shared" si="10"/>
        <v>48.104347826086951</v>
      </c>
      <c r="AN57" s="233">
        <f t="shared" si="11"/>
        <v>52.277593646348265</v>
      </c>
      <c r="AO57" s="233">
        <f t="shared" si="12"/>
        <v>43.931102005825636</v>
      </c>
      <c r="AP57" s="233">
        <f t="shared" si="13"/>
        <v>2.0655865921787711</v>
      </c>
      <c r="AQ57" s="233">
        <f t="shared" si="14"/>
        <v>3.1665882132978602</v>
      </c>
      <c r="AR57" s="233">
        <f t="shared" si="15"/>
        <v>0.96458497105968211</v>
      </c>
      <c r="AS57" s="235">
        <f t="shared" si="16"/>
        <v>33.105027932960894</v>
      </c>
      <c r="AT57" s="235">
        <f t="shared" si="17"/>
        <v>50.535961542150602</v>
      </c>
      <c r="AU57" s="235">
        <f t="shared" si="18"/>
        <v>15.67409432377119</v>
      </c>
      <c r="AV57">
        <v>100</v>
      </c>
      <c r="AW57" s="235">
        <f t="shared" si="19"/>
        <v>62.766666666666666</v>
      </c>
      <c r="AX57" s="235">
        <f t="shared" si="20"/>
        <v>80.98511149172171</v>
      </c>
      <c r="AY57" s="235">
        <f t="shared" si="21"/>
        <v>44.548221841611614</v>
      </c>
      <c r="AZ57" s="235">
        <f t="shared" si="22"/>
        <v>2941.6666666666665</v>
      </c>
      <c r="BA57" s="235">
        <f t="shared" si="23"/>
        <v>4966.9775952753826</v>
      </c>
      <c r="BB57" s="235">
        <f t="shared" si="24"/>
        <v>916.35573805795048</v>
      </c>
      <c r="BC57" s="235">
        <f t="shared" si="25"/>
        <v>53.18888888888889</v>
      </c>
      <c r="BD57" s="235">
        <f t="shared" si="26"/>
        <v>112.67052202318322</v>
      </c>
      <c r="BE57" s="235">
        <f t="shared" si="27"/>
        <v>-6.2927442454054372</v>
      </c>
      <c r="BF57" s="235">
        <f t="shared" si="28"/>
        <v>3577.2222222222222</v>
      </c>
      <c r="BG57" s="235">
        <f t="shared" si="29"/>
        <v>5636.1265941907786</v>
      </c>
      <c r="BH57" s="235">
        <f t="shared" si="30"/>
        <v>1518.3178502536657</v>
      </c>
      <c r="BI57">
        <v>5000</v>
      </c>
      <c r="BJ57" s="235">
        <f t="shared" si="31"/>
        <v>0</v>
      </c>
      <c r="BK57" s="235">
        <f t="shared" si="32"/>
        <v>0</v>
      </c>
      <c r="BL57" s="235">
        <f t="shared" si="33"/>
        <v>0</v>
      </c>
      <c r="BO57" s="235">
        <f t="shared" si="34"/>
        <v>41619</v>
      </c>
      <c r="CD57" s="533">
        <f t="shared" si="35"/>
        <v>5.3</v>
      </c>
      <c r="CE57" s="102">
        <f t="shared" si="36"/>
        <v>12.1</v>
      </c>
      <c r="CF57" s="102">
        <f t="shared" si="37"/>
        <v>95</v>
      </c>
      <c r="CG57" s="102">
        <f t="shared" si="38"/>
        <v>8</v>
      </c>
      <c r="CH57" s="102">
        <f t="shared" si="39"/>
        <v>5.4</v>
      </c>
      <c r="CI57" s="102" t="str">
        <f t="shared" si="40"/>
        <v/>
      </c>
      <c r="CJ57" s="102">
        <f t="shared" si="41"/>
        <v>1.8</v>
      </c>
      <c r="CK57" s="102">
        <f t="shared" si="42"/>
        <v>37</v>
      </c>
      <c r="CL57" s="102">
        <f t="shared" si="43"/>
        <v>70</v>
      </c>
      <c r="CM57" s="102">
        <f t="shared" si="44"/>
        <v>7100</v>
      </c>
      <c r="CN57" s="102">
        <f t="shared" si="45"/>
        <v>97</v>
      </c>
      <c r="CO57" s="102">
        <f t="shared" si="46"/>
        <v>8500</v>
      </c>
      <c r="CP57" s="102" t="str">
        <f t="shared" si="47"/>
        <v/>
      </c>
    </row>
    <row r="58" spans="2:94">
      <c r="B58" t="s">
        <v>252</v>
      </c>
      <c r="C58" s="231">
        <v>41654</v>
      </c>
      <c r="D58" s="233">
        <v>2.8</v>
      </c>
      <c r="E58" s="233">
        <v>13.5</v>
      </c>
      <c r="F58" s="235">
        <v>100</v>
      </c>
      <c r="G58" s="233">
        <v>8</v>
      </c>
      <c r="H58" s="233">
        <v>7.2</v>
      </c>
      <c r="J58" s="233">
        <v>2.4</v>
      </c>
      <c r="K58" s="235">
        <v>34</v>
      </c>
      <c r="L58" s="235">
        <v>67</v>
      </c>
      <c r="M58" s="235">
        <v>4100</v>
      </c>
      <c r="N58" s="235">
        <v>90</v>
      </c>
      <c r="O58" s="235">
        <v>5300</v>
      </c>
      <c r="Q58">
        <v>2014</v>
      </c>
      <c r="R58">
        <v>1</v>
      </c>
      <c r="T58" s="226"/>
      <c r="U58" s="226"/>
      <c r="V58" s="226"/>
      <c r="W58" s="226"/>
      <c r="X58" s="226"/>
      <c r="Y58" s="226"/>
      <c r="Z58" s="226"/>
      <c r="AA58" s="233">
        <f t="shared" si="1"/>
        <v>10.332000000000001</v>
      </c>
      <c r="AB58" s="233">
        <f t="shared" si="2"/>
        <v>12.739174193481931</v>
      </c>
      <c r="AC58" s="233">
        <f t="shared" si="3"/>
        <v>7.9248258065180703</v>
      </c>
      <c r="AD58">
        <v>2.95</v>
      </c>
      <c r="AE58" s="233">
        <f t="shared" si="4"/>
        <v>7.9374301675977676</v>
      </c>
      <c r="AF58" s="233">
        <f t="shared" si="5"/>
        <v>8.0830597168027865</v>
      </c>
      <c r="AG58" s="233">
        <f t="shared" si="6"/>
        <v>7.7918006183927488</v>
      </c>
      <c r="AH58">
        <v>6.5</v>
      </c>
      <c r="AI58" s="233">
        <f t="shared" si="7"/>
        <v>3.3601117318435763</v>
      </c>
      <c r="AJ58" s="233">
        <f t="shared" si="8"/>
        <v>6.3851512410714601</v>
      </c>
      <c r="AK58" s="233">
        <f t="shared" si="9"/>
        <v>0.33507222261569281</v>
      </c>
      <c r="AL58">
        <v>7</v>
      </c>
      <c r="AM58" s="233">
        <f t="shared" si="10"/>
        <v>48.104347826086951</v>
      </c>
      <c r="AN58" s="233">
        <f t="shared" si="11"/>
        <v>52.277593646348265</v>
      </c>
      <c r="AO58" s="233">
        <f t="shared" si="12"/>
        <v>43.931102005825636</v>
      </c>
      <c r="AP58" s="233">
        <f t="shared" si="13"/>
        <v>2.0655865921787711</v>
      </c>
      <c r="AQ58" s="233">
        <f t="shared" si="14"/>
        <v>3.1665882132978602</v>
      </c>
      <c r="AR58" s="233">
        <f t="shared" si="15"/>
        <v>0.96458497105968211</v>
      </c>
      <c r="AS58" s="235">
        <f t="shared" si="16"/>
        <v>33.105027932960894</v>
      </c>
      <c r="AT58" s="235">
        <f t="shared" si="17"/>
        <v>50.535961542150602</v>
      </c>
      <c r="AU58" s="235">
        <f t="shared" si="18"/>
        <v>15.67409432377119</v>
      </c>
      <c r="AV58">
        <v>100</v>
      </c>
      <c r="AW58" s="235">
        <f t="shared" si="19"/>
        <v>62.766666666666666</v>
      </c>
      <c r="AX58" s="235">
        <f t="shared" si="20"/>
        <v>80.98511149172171</v>
      </c>
      <c r="AY58" s="235">
        <f t="shared" si="21"/>
        <v>44.548221841611614</v>
      </c>
      <c r="AZ58" s="235">
        <f t="shared" si="22"/>
        <v>2941.6666666666665</v>
      </c>
      <c r="BA58" s="235">
        <f t="shared" si="23"/>
        <v>4966.9775952753826</v>
      </c>
      <c r="BB58" s="235">
        <f t="shared" si="24"/>
        <v>916.35573805795048</v>
      </c>
      <c r="BC58" s="235">
        <f t="shared" si="25"/>
        <v>53.18888888888889</v>
      </c>
      <c r="BD58" s="235">
        <f t="shared" si="26"/>
        <v>112.67052202318322</v>
      </c>
      <c r="BE58" s="235">
        <f t="shared" si="27"/>
        <v>-6.2927442454054372</v>
      </c>
      <c r="BF58" s="235">
        <f t="shared" si="28"/>
        <v>3577.2222222222222</v>
      </c>
      <c r="BG58" s="235">
        <f t="shared" si="29"/>
        <v>5636.1265941907786</v>
      </c>
      <c r="BH58" s="235">
        <f t="shared" si="30"/>
        <v>1518.3178502536657</v>
      </c>
      <c r="BI58">
        <v>5000</v>
      </c>
      <c r="BJ58" s="235">
        <f t="shared" si="31"/>
        <v>0</v>
      </c>
      <c r="BK58" s="235">
        <f t="shared" si="32"/>
        <v>0</v>
      </c>
      <c r="BL58" s="235">
        <f t="shared" si="33"/>
        <v>0</v>
      </c>
      <c r="BO58" s="235">
        <f t="shared" si="34"/>
        <v>41654</v>
      </c>
      <c r="CD58" s="533">
        <f t="shared" si="35"/>
        <v>2.8</v>
      </c>
      <c r="CE58" s="102">
        <f t="shared" si="36"/>
        <v>13.5</v>
      </c>
      <c r="CF58" s="102">
        <f t="shared" si="37"/>
        <v>100</v>
      </c>
      <c r="CG58" s="102">
        <f t="shared" si="38"/>
        <v>8</v>
      </c>
      <c r="CH58" s="102">
        <f t="shared" si="39"/>
        <v>7.2</v>
      </c>
      <c r="CI58" s="102" t="str">
        <f t="shared" si="40"/>
        <v/>
      </c>
      <c r="CJ58" s="102">
        <f t="shared" si="41"/>
        <v>2.4</v>
      </c>
      <c r="CK58" s="102">
        <f t="shared" si="42"/>
        <v>34</v>
      </c>
      <c r="CL58" s="102">
        <f t="shared" si="43"/>
        <v>67</v>
      </c>
      <c r="CM58" s="102">
        <f t="shared" si="44"/>
        <v>4100</v>
      </c>
      <c r="CN58" s="102">
        <f t="shared" si="45"/>
        <v>90</v>
      </c>
      <c r="CO58" s="102">
        <f t="shared" si="46"/>
        <v>5300</v>
      </c>
      <c r="CP58" s="102" t="str">
        <f t="shared" si="47"/>
        <v/>
      </c>
    </row>
    <row r="59" spans="2:94">
      <c r="B59" t="s">
        <v>252</v>
      </c>
      <c r="C59" s="231">
        <v>41681</v>
      </c>
      <c r="D59" s="233">
        <v>2.4</v>
      </c>
      <c r="E59" s="233">
        <v>13</v>
      </c>
      <c r="F59" s="235">
        <v>98</v>
      </c>
      <c r="G59" s="233">
        <v>7.9</v>
      </c>
      <c r="H59" s="233">
        <v>6.6</v>
      </c>
      <c r="J59" s="233">
        <v>2.4</v>
      </c>
      <c r="K59" s="235">
        <v>29</v>
      </c>
      <c r="L59" s="235">
        <v>72</v>
      </c>
      <c r="M59" s="235">
        <v>5100</v>
      </c>
      <c r="N59" s="235">
        <v>45</v>
      </c>
      <c r="O59" s="235">
        <v>6000</v>
      </c>
      <c r="Q59">
        <v>2014</v>
      </c>
      <c r="R59">
        <v>2</v>
      </c>
      <c r="T59" s="226"/>
      <c r="U59" s="226"/>
      <c r="V59" s="226"/>
      <c r="W59" s="226"/>
      <c r="X59" s="226"/>
      <c r="Y59" s="226"/>
      <c r="Z59" s="226"/>
      <c r="AA59" s="233">
        <f t="shared" si="1"/>
        <v>10.332000000000001</v>
      </c>
      <c r="AB59" s="233">
        <f t="shared" si="2"/>
        <v>12.739174193481931</v>
      </c>
      <c r="AC59" s="233">
        <f t="shared" si="3"/>
        <v>7.9248258065180703</v>
      </c>
      <c r="AD59">
        <v>2.95</v>
      </c>
      <c r="AE59" s="233">
        <f t="shared" si="4"/>
        <v>7.9374301675977676</v>
      </c>
      <c r="AF59" s="233">
        <f t="shared" si="5"/>
        <v>8.0830597168027865</v>
      </c>
      <c r="AG59" s="233">
        <f t="shared" si="6"/>
        <v>7.7918006183927488</v>
      </c>
      <c r="AH59">
        <v>6.5</v>
      </c>
      <c r="AI59" s="233">
        <f t="shared" si="7"/>
        <v>3.3601117318435763</v>
      </c>
      <c r="AJ59" s="233">
        <f t="shared" si="8"/>
        <v>6.3851512410714601</v>
      </c>
      <c r="AK59" s="233">
        <f t="shared" si="9"/>
        <v>0.33507222261569281</v>
      </c>
      <c r="AL59">
        <v>7</v>
      </c>
      <c r="AM59" s="233">
        <f t="shared" si="10"/>
        <v>48.104347826086951</v>
      </c>
      <c r="AN59" s="233">
        <f t="shared" si="11"/>
        <v>52.277593646348265</v>
      </c>
      <c r="AO59" s="233">
        <f t="shared" si="12"/>
        <v>43.931102005825636</v>
      </c>
      <c r="AP59" s="233">
        <f t="shared" si="13"/>
        <v>2.0655865921787711</v>
      </c>
      <c r="AQ59" s="233">
        <f t="shared" si="14"/>
        <v>3.1665882132978602</v>
      </c>
      <c r="AR59" s="233">
        <f t="shared" si="15"/>
        <v>0.96458497105968211</v>
      </c>
      <c r="AS59" s="235">
        <f t="shared" si="16"/>
        <v>33.105027932960894</v>
      </c>
      <c r="AT59" s="235">
        <f t="shared" si="17"/>
        <v>50.535961542150602</v>
      </c>
      <c r="AU59" s="235">
        <f t="shared" si="18"/>
        <v>15.67409432377119</v>
      </c>
      <c r="AV59">
        <v>100</v>
      </c>
      <c r="AW59" s="235">
        <f t="shared" si="19"/>
        <v>62.766666666666666</v>
      </c>
      <c r="AX59" s="235">
        <f t="shared" si="20"/>
        <v>80.98511149172171</v>
      </c>
      <c r="AY59" s="235">
        <f t="shared" si="21"/>
        <v>44.548221841611614</v>
      </c>
      <c r="AZ59" s="235">
        <f t="shared" si="22"/>
        <v>2941.6666666666665</v>
      </c>
      <c r="BA59" s="235">
        <f t="shared" si="23"/>
        <v>4966.9775952753826</v>
      </c>
      <c r="BB59" s="235">
        <f t="shared" si="24"/>
        <v>916.35573805795048</v>
      </c>
      <c r="BC59" s="235">
        <f t="shared" si="25"/>
        <v>53.18888888888889</v>
      </c>
      <c r="BD59" s="235">
        <f t="shared" si="26"/>
        <v>112.67052202318322</v>
      </c>
      <c r="BE59" s="235">
        <f t="shared" si="27"/>
        <v>-6.2927442454054372</v>
      </c>
      <c r="BF59" s="235">
        <f t="shared" si="28"/>
        <v>3577.2222222222222</v>
      </c>
      <c r="BG59" s="235">
        <f t="shared" si="29"/>
        <v>5636.1265941907786</v>
      </c>
      <c r="BH59" s="235">
        <f t="shared" si="30"/>
        <v>1518.3178502536657</v>
      </c>
      <c r="BI59">
        <v>5000</v>
      </c>
      <c r="BJ59" s="235">
        <f t="shared" si="31"/>
        <v>0</v>
      </c>
      <c r="BK59" s="235">
        <f t="shared" si="32"/>
        <v>0</v>
      </c>
      <c r="BL59" s="235">
        <f t="shared" si="33"/>
        <v>0</v>
      </c>
      <c r="BO59" s="235">
        <f t="shared" si="34"/>
        <v>41681</v>
      </c>
      <c r="CD59" s="533">
        <f t="shared" si="35"/>
        <v>2.4</v>
      </c>
      <c r="CE59" s="102">
        <f t="shared" si="36"/>
        <v>13</v>
      </c>
      <c r="CF59" s="102">
        <f t="shared" si="37"/>
        <v>98</v>
      </c>
      <c r="CG59" s="102">
        <f t="shared" si="38"/>
        <v>7.9</v>
      </c>
      <c r="CH59" s="102">
        <f t="shared" si="39"/>
        <v>6.6</v>
      </c>
      <c r="CI59" s="102" t="str">
        <f t="shared" si="40"/>
        <v/>
      </c>
      <c r="CJ59" s="102">
        <f t="shared" si="41"/>
        <v>2.4</v>
      </c>
      <c r="CK59" s="102">
        <f t="shared" si="42"/>
        <v>29</v>
      </c>
      <c r="CL59" s="102">
        <f t="shared" si="43"/>
        <v>72</v>
      </c>
      <c r="CM59" s="102">
        <f t="shared" si="44"/>
        <v>5100</v>
      </c>
      <c r="CN59" s="102">
        <f t="shared" si="45"/>
        <v>45</v>
      </c>
      <c r="CO59" s="102">
        <f t="shared" si="46"/>
        <v>6000</v>
      </c>
      <c r="CP59" s="102" t="str">
        <f t="shared" si="47"/>
        <v/>
      </c>
    </row>
    <row r="60" spans="2:94">
      <c r="B60" t="s">
        <v>252</v>
      </c>
      <c r="C60" s="231">
        <v>41709</v>
      </c>
      <c r="D60" s="233">
        <v>6.2</v>
      </c>
      <c r="E60" s="233">
        <v>12.6</v>
      </c>
      <c r="F60" s="235">
        <v>100</v>
      </c>
      <c r="G60" s="233">
        <v>8.1</v>
      </c>
      <c r="H60" s="233">
        <v>3.2</v>
      </c>
      <c r="J60" s="233">
        <v>2.2999999999999998</v>
      </c>
      <c r="K60" s="235">
        <v>6</v>
      </c>
      <c r="L60" s="235">
        <v>34</v>
      </c>
      <c r="M60" s="235">
        <v>3100</v>
      </c>
      <c r="N60" s="235">
        <v>12</v>
      </c>
      <c r="O60" s="235">
        <v>4000</v>
      </c>
      <c r="Q60">
        <v>2014</v>
      </c>
      <c r="R60">
        <v>3</v>
      </c>
      <c r="T60" s="226"/>
      <c r="U60" s="226"/>
      <c r="V60" s="226"/>
      <c r="W60" s="226"/>
      <c r="X60" s="226"/>
      <c r="Y60" s="226"/>
      <c r="Z60" s="226"/>
      <c r="AA60" s="233">
        <f t="shared" si="1"/>
        <v>10.332000000000001</v>
      </c>
      <c r="AB60" s="233">
        <f t="shared" si="2"/>
        <v>12.739174193481931</v>
      </c>
      <c r="AC60" s="233">
        <f t="shared" si="3"/>
        <v>7.9248258065180703</v>
      </c>
      <c r="AD60">
        <v>2.95</v>
      </c>
      <c r="AE60" s="233">
        <f t="shared" si="4"/>
        <v>7.9374301675977676</v>
      </c>
      <c r="AF60" s="233">
        <f t="shared" si="5"/>
        <v>8.0830597168027865</v>
      </c>
      <c r="AG60" s="233">
        <f t="shared" si="6"/>
        <v>7.7918006183927488</v>
      </c>
      <c r="AH60">
        <v>6.5</v>
      </c>
      <c r="AI60" s="233">
        <f t="shared" si="7"/>
        <v>3.3601117318435763</v>
      </c>
      <c r="AJ60" s="233">
        <f t="shared" si="8"/>
        <v>6.3851512410714601</v>
      </c>
      <c r="AK60" s="233">
        <f t="shared" si="9"/>
        <v>0.33507222261569281</v>
      </c>
      <c r="AL60">
        <v>7</v>
      </c>
      <c r="AM60" s="233">
        <f t="shared" si="10"/>
        <v>48.104347826086951</v>
      </c>
      <c r="AN60" s="233">
        <f t="shared" si="11"/>
        <v>52.277593646348265</v>
      </c>
      <c r="AO60" s="233">
        <f t="shared" si="12"/>
        <v>43.931102005825636</v>
      </c>
      <c r="AP60" s="233">
        <f t="shared" si="13"/>
        <v>2.0655865921787711</v>
      </c>
      <c r="AQ60" s="233">
        <f t="shared" si="14"/>
        <v>3.1665882132978602</v>
      </c>
      <c r="AR60" s="233">
        <f t="shared" si="15"/>
        <v>0.96458497105968211</v>
      </c>
      <c r="AS60" s="235">
        <f t="shared" si="16"/>
        <v>33.105027932960894</v>
      </c>
      <c r="AT60" s="235">
        <f t="shared" si="17"/>
        <v>50.535961542150602</v>
      </c>
      <c r="AU60" s="235">
        <f t="shared" si="18"/>
        <v>15.67409432377119</v>
      </c>
      <c r="AV60">
        <v>100</v>
      </c>
      <c r="AW60" s="235">
        <f t="shared" si="19"/>
        <v>62.766666666666666</v>
      </c>
      <c r="AX60" s="235">
        <f t="shared" si="20"/>
        <v>80.98511149172171</v>
      </c>
      <c r="AY60" s="235">
        <f t="shared" si="21"/>
        <v>44.548221841611614</v>
      </c>
      <c r="AZ60" s="235">
        <f t="shared" si="22"/>
        <v>2941.6666666666665</v>
      </c>
      <c r="BA60" s="235">
        <f t="shared" si="23"/>
        <v>4966.9775952753826</v>
      </c>
      <c r="BB60" s="235">
        <f t="shared" si="24"/>
        <v>916.35573805795048</v>
      </c>
      <c r="BC60" s="235">
        <f t="shared" si="25"/>
        <v>53.18888888888889</v>
      </c>
      <c r="BD60" s="235">
        <f t="shared" si="26"/>
        <v>112.67052202318322</v>
      </c>
      <c r="BE60" s="235">
        <f t="shared" si="27"/>
        <v>-6.2927442454054372</v>
      </c>
      <c r="BF60" s="235">
        <f t="shared" si="28"/>
        <v>3577.2222222222222</v>
      </c>
      <c r="BG60" s="235">
        <f t="shared" si="29"/>
        <v>5636.1265941907786</v>
      </c>
      <c r="BH60" s="235">
        <f t="shared" si="30"/>
        <v>1518.3178502536657</v>
      </c>
      <c r="BI60">
        <v>5000</v>
      </c>
      <c r="BJ60" s="235">
        <f t="shared" si="31"/>
        <v>0</v>
      </c>
      <c r="BK60" s="235">
        <f t="shared" si="32"/>
        <v>0</v>
      </c>
      <c r="BL60" s="235">
        <f t="shared" si="33"/>
        <v>0</v>
      </c>
      <c r="BO60" s="235">
        <f t="shared" si="34"/>
        <v>41709</v>
      </c>
      <c r="CD60" s="533">
        <f t="shared" si="35"/>
        <v>6.2</v>
      </c>
      <c r="CE60" s="102">
        <f t="shared" si="36"/>
        <v>12.6</v>
      </c>
      <c r="CF60" s="102">
        <f t="shared" si="37"/>
        <v>100</v>
      </c>
      <c r="CG60" s="102">
        <f t="shared" si="38"/>
        <v>8.1</v>
      </c>
      <c r="CH60" s="102">
        <f t="shared" si="39"/>
        <v>3.2</v>
      </c>
      <c r="CI60" s="102" t="str">
        <f t="shared" si="40"/>
        <v/>
      </c>
      <c r="CJ60" s="102">
        <f t="shared" si="41"/>
        <v>2.2999999999999998</v>
      </c>
      <c r="CK60" s="102">
        <f t="shared" si="42"/>
        <v>6</v>
      </c>
      <c r="CL60" s="102">
        <f t="shared" si="43"/>
        <v>34</v>
      </c>
      <c r="CM60" s="102">
        <f t="shared" si="44"/>
        <v>3100</v>
      </c>
      <c r="CN60" s="102">
        <f t="shared" si="45"/>
        <v>12</v>
      </c>
      <c r="CO60" s="102">
        <f t="shared" si="46"/>
        <v>4000</v>
      </c>
      <c r="CP60" s="102" t="str">
        <f t="shared" si="47"/>
        <v/>
      </c>
    </row>
    <row r="61" spans="2:94">
      <c r="B61" t="s">
        <v>252</v>
      </c>
      <c r="C61" s="231">
        <v>41743</v>
      </c>
      <c r="D61" s="233">
        <v>9.4</v>
      </c>
      <c r="E61" s="233">
        <v>11.4</v>
      </c>
      <c r="F61" s="235">
        <v>101</v>
      </c>
      <c r="G61" s="233">
        <v>8.1</v>
      </c>
      <c r="H61" s="233">
        <v>4.4000000000000004</v>
      </c>
      <c r="J61" s="233">
        <v>3.3</v>
      </c>
      <c r="K61" s="235">
        <v>3</v>
      </c>
      <c r="L61" s="235">
        <v>42</v>
      </c>
      <c r="M61" s="235">
        <v>2100</v>
      </c>
      <c r="N61" s="235" t="s">
        <v>148</v>
      </c>
      <c r="O61" s="235">
        <v>3400</v>
      </c>
      <c r="Q61">
        <v>2014</v>
      </c>
      <c r="R61">
        <v>4</v>
      </c>
      <c r="T61" s="226"/>
      <c r="U61" s="226"/>
      <c r="V61" s="226"/>
      <c r="W61" s="226"/>
      <c r="X61" s="226"/>
      <c r="Y61" s="226"/>
      <c r="Z61" s="226"/>
      <c r="AA61" s="233">
        <f t="shared" si="1"/>
        <v>10.332000000000001</v>
      </c>
      <c r="AB61" s="233">
        <f t="shared" si="2"/>
        <v>12.739174193481931</v>
      </c>
      <c r="AC61" s="233">
        <f t="shared" si="3"/>
        <v>7.9248258065180703</v>
      </c>
      <c r="AD61">
        <v>2.95</v>
      </c>
      <c r="AE61" s="233">
        <f t="shared" si="4"/>
        <v>7.9374301675977676</v>
      </c>
      <c r="AF61" s="233">
        <f t="shared" si="5"/>
        <v>8.0830597168027865</v>
      </c>
      <c r="AG61" s="233">
        <f t="shared" si="6"/>
        <v>7.7918006183927488</v>
      </c>
      <c r="AH61">
        <v>6.5</v>
      </c>
      <c r="AI61" s="233">
        <f t="shared" si="7"/>
        <v>3.3601117318435763</v>
      </c>
      <c r="AJ61" s="233">
        <f t="shared" si="8"/>
        <v>6.3851512410714601</v>
      </c>
      <c r="AK61" s="233">
        <f t="shared" si="9"/>
        <v>0.33507222261569281</v>
      </c>
      <c r="AL61">
        <v>7</v>
      </c>
      <c r="AM61" s="233">
        <f t="shared" si="10"/>
        <v>48.104347826086951</v>
      </c>
      <c r="AN61" s="233">
        <f t="shared" si="11"/>
        <v>52.277593646348265</v>
      </c>
      <c r="AO61" s="233">
        <f t="shared" si="12"/>
        <v>43.931102005825636</v>
      </c>
      <c r="AP61" s="233">
        <f t="shared" si="13"/>
        <v>2.0655865921787711</v>
      </c>
      <c r="AQ61" s="233">
        <f t="shared" si="14"/>
        <v>3.1665882132978602</v>
      </c>
      <c r="AR61" s="233">
        <f t="shared" si="15"/>
        <v>0.96458497105968211</v>
      </c>
      <c r="AS61" s="235">
        <f t="shared" si="16"/>
        <v>33.105027932960894</v>
      </c>
      <c r="AT61" s="235">
        <f t="shared" si="17"/>
        <v>50.535961542150602</v>
      </c>
      <c r="AU61" s="235">
        <f t="shared" si="18"/>
        <v>15.67409432377119</v>
      </c>
      <c r="AV61">
        <v>100</v>
      </c>
      <c r="AW61" s="235">
        <f t="shared" si="19"/>
        <v>62.766666666666666</v>
      </c>
      <c r="AX61" s="235">
        <f t="shared" si="20"/>
        <v>80.98511149172171</v>
      </c>
      <c r="AY61" s="235">
        <f t="shared" si="21"/>
        <v>44.548221841611614</v>
      </c>
      <c r="AZ61" s="235">
        <f t="shared" si="22"/>
        <v>2941.6666666666665</v>
      </c>
      <c r="BA61" s="235">
        <f t="shared" si="23"/>
        <v>4966.9775952753826</v>
      </c>
      <c r="BB61" s="235">
        <f t="shared" si="24"/>
        <v>916.35573805795048</v>
      </c>
      <c r="BC61" s="235">
        <f t="shared" si="25"/>
        <v>53.18888888888889</v>
      </c>
      <c r="BD61" s="235">
        <f t="shared" si="26"/>
        <v>112.67052202318322</v>
      </c>
      <c r="BE61" s="235">
        <f t="shared" si="27"/>
        <v>-6.2927442454054372</v>
      </c>
      <c r="BF61" s="235">
        <f t="shared" si="28"/>
        <v>3577.2222222222222</v>
      </c>
      <c r="BG61" s="235">
        <f t="shared" si="29"/>
        <v>5636.1265941907786</v>
      </c>
      <c r="BH61" s="235">
        <f t="shared" si="30"/>
        <v>1518.3178502536657</v>
      </c>
      <c r="BI61">
        <v>5000</v>
      </c>
      <c r="BJ61" s="235">
        <f t="shared" si="31"/>
        <v>0</v>
      </c>
      <c r="BK61" s="235">
        <f t="shared" si="32"/>
        <v>0</v>
      </c>
      <c r="BL61" s="235">
        <f t="shared" si="33"/>
        <v>0</v>
      </c>
      <c r="BO61" s="235">
        <f t="shared" si="34"/>
        <v>41743</v>
      </c>
      <c r="CD61" s="533">
        <f t="shared" si="35"/>
        <v>9.4</v>
      </c>
      <c r="CE61" s="102">
        <f t="shared" si="36"/>
        <v>11.4</v>
      </c>
      <c r="CF61" s="102">
        <f t="shared" si="37"/>
        <v>101</v>
      </c>
      <c r="CG61" s="102">
        <f t="shared" si="38"/>
        <v>8.1</v>
      </c>
      <c r="CH61" s="102">
        <f t="shared" si="39"/>
        <v>4.4000000000000004</v>
      </c>
      <c r="CI61" s="102" t="str">
        <f t="shared" si="40"/>
        <v/>
      </c>
      <c r="CJ61" s="102">
        <f t="shared" si="41"/>
        <v>3.3</v>
      </c>
      <c r="CK61" s="102">
        <f t="shared" si="42"/>
        <v>3</v>
      </c>
      <c r="CL61" s="102">
        <f t="shared" si="43"/>
        <v>42</v>
      </c>
      <c r="CM61" s="102">
        <f t="shared" si="44"/>
        <v>2100</v>
      </c>
      <c r="CN61" s="102">
        <f t="shared" si="45"/>
        <v>10</v>
      </c>
      <c r="CO61" s="102">
        <f t="shared" si="46"/>
        <v>3400</v>
      </c>
      <c r="CP61" s="102" t="str">
        <f t="shared" si="47"/>
        <v/>
      </c>
    </row>
    <row r="62" spans="2:94">
      <c r="B62" t="s">
        <v>252</v>
      </c>
      <c r="C62" s="231">
        <v>41771</v>
      </c>
      <c r="D62" s="233">
        <v>13.3</v>
      </c>
      <c r="E62" s="233">
        <v>9.4</v>
      </c>
      <c r="F62" s="235">
        <v>95</v>
      </c>
      <c r="G62" s="233">
        <v>8.1</v>
      </c>
      <c r="H62" s="233">
        <v>4</v>
      </c>
      <c r="J62" s="233">
        <v>3</v>
      </c>
      <c r="K62" s="235">
        <v>14</v>
      </c>
      <c r="L62" s="235">
        <v>40</v>
      </c>
      <c r="M62" s="235">
        <v>1600</v>
      </c>
      <c r="N62" s="235">
        <v>57</v>
      </c>
      <c r="O62" s="235">
        <v>2500</v>
      </c>
      <c r="Q62">
        <v>2014</v>
      </c>
      <c r="R62">
        <v>5</v>
      </c>
      <c r="T62" s="226"/>
      <c r="U62" s="226"/>
      <c r="V62" s="226"/>
      <c r="W62" s="226"/>
      <c r="X62" s="226"/>
      <c r="Y62" s="226"/>
      <c r="Z62" s="226"/>
      <c r="AA62" s="233">
        <f t="shared" si="1"/>
        <v>10.332000000000001</v>
      </c>
      <c r="AB62" s="233">
        <f t="shared" si="2"/>
        <v>12.739174193481931</v>
      </c>
      <c r="AC62" s="233">
        <f t="shared" si="3"/>
        <v>7.9248258065180703</v>
      </c>
      <c r="AD62">
        <v>2.95</v>
      </c>
      <c r="AE62" s="233">
        <f t="shared" si="4"/>
        <v>7.9374301675977676</v>
      </c>
      <c r="AF62" s="233">
        <f t="shared" si="5"/>
        <v>8.0830597168027865</v>
      </c>
      <c r="AG62" s="233">
        <f t="shared" si="6"/>
        <v>7.7918006183927488</v>
      </c>
      <c r="AH62">
        <v>6.5</v>
      </c>
      <c r="AI62" s="233">
        <f t="shared" si="7"/>
        <v>3.3601117318435763</v>
      </c>
      <c r="AJ62" s="233">
        <f t="shared" si="8"/>
        <v>6.3851512410714601</v>
      </c>
      <c r="AK62" s="233">
        <f t="shared" si="9"/>
        <v>0.33507222261569281</v>
      </c>
      <c r="AL62">
        <v>7</v>
      </c>
      <c r="AM62" s="233">
        <f t="shared" si="10"/>
        <v>48.104347826086951</v>
      </c>
      <c r="AN62" s="233">
        <f t="shared" si="11"/>
        <v>52.277593646348265</v>
      </c>
      <c r="AO62" s="233">
        <f t="shared" si="12"/>
        <v>43.931102005825636</v>
      </c>
      <c r="AP62" s="233">
        <f t="shared" si="13"/>
        <v>2.0655865921787711</v>
      </c>
      <c r="AQ62" s="233">
        <f t="shared" si="14"/>
        <v>3.1665882132978602</v>
      </c>
      <c r="AR62" s="233">
        <f t="shared" si="15"/>
        <v>0.96458497105968211</v>
      </c>
      <c r="AS62" s="235">
        <f t="shared" si="16"/>
        <v>33.105027932960894</v>
      </c>
      <c r="AT62" s="235">
        <f t="shared" si="17"/>
        <v>50.535961542150602</v>
      </c>
      <c r="AU62" s="235">
        <f t="shared" si="18"/>
        <v>15.67409432377119</v>
      </c>
      <c r="AV62">
        <v>100</v>
      </c>
      <c r="AW62" s="235">
        <f t="shared" si="19"/>
        <v>62.766666666666666</v>
      </c>
      <c r="AX62" s="235">
        <f t="shared" si="20"/>
        <v>80.98511149172171</v>
      </c>
      <c r="AY62" s="235">
        <f t="shared" si="21"/>
        <v>44.548221841611614</v>
      </c>
      <c r="AZ62" s="235">
        <f t="shared" si="22"/>
        <v>2941.6666666666665</v>
      </c>
      <c r="BA62" s="235">
        <f t="shared" si="23"/>
        <v>4966.9775952753826</v>
      </c>
      <c r="BB62" s="235">
        <f t="shared" si="24"/>
        <v>916.35573805795048</v>
      </c>
      <c r="BC62" s="235">
        <f t="shared" si="25"/>
        <v>53.18888888888889</v>
      </c>
      <c r="BD62" s="235">
        <f t="shared" si="26"/>
        <v>112.67052202318322</v>
      </c>
      <c r="BE62" s="235">
        <f t="shared" si="27"/>
        <v>-6.2927442454054372</v>
      </c>
      <c r="BF62" s="235">
        <f t="shared" si="28"/>
        <v>3577.2222222222222</v>
      </c>
      <c r="BG62" s="235">
        <f t="shared" si="29"/>
        <v>5636.1265941907786</v>
      </c>
      <c r="BH62" s="235">
        <f t="shared" si="30"/>
        <v>1518.3178502536657</v>
      </c>
      <c r="BI62">
        <v>5000</v>
      </c>
      <c r="BJ62" s="235">
        <f t="shared" si="31"/>
        <v>0</v>
      </c>
      <c r="BK62" s="235">
        <f t="shared" si="32"/>
        <v>0</v>
      </c>
      <c r="BL62" s="235">
        <f t="shared" si="33"/>
        <v>0</v>
      </c>
      <c r="BO62" s="235">
        <f t="shared" si="34"/>
        <v>41771</v>
      </c>
      <c r="CD62" s="533">
        <f t="shared" si="35"/>
        <v>13.3</v>
      </c>
      <c r="CE62" s="102">
        <f t="shared" si="36"/>
        <v>9.4</v>
      </c>
      <c r="CF62" s="102">
        <f t="shared" si="37"/>
        <v>95</v>
      </c>
      <c r="CG62" s="102">
        <f t="shared" si="38"/>
        <v>8.1</v>
      </c>
      <c r="CH62" s="102">
        <f t="shared" si="39"/>
        <v>4</v>
      </c>
      <c r="CI62" s="102" t="str">
        <f t="shared" si="40"/>
        <v/>
      </c>
      <c r="CJ62" s="102">
        <f t="shared" si="41"/>
        <v>3</v>
      </c>
      <c r="CK62" s="102">
        <f t="shared" si="42"/>
        <v>14</v>
      </c>
      <c r="CL62" s="102">
        <f t="shared" si="43"/>
        <v>40</v>
      </c>
      <c r="CM62" s="102">
        <f t="shared" si="44"/>
        <v>1600</v>
      </c>
      <c r="CN62" s="102">
        <f t="shared" si="45"/>
        <v>57</v>
      </c>
      <c r="CO62" s="102">
        <f t="shared" si="46"/>
        <v>2500</v>
      </c>
      <c r="CP62" s="102" t="str">
        <f t="shared" si="47"/>
        <v/>
      </c>
    </row>
    <row r="63" spans="2:94">
      <c r="B63" t="s">
        <v>252</v>
      </c>
      <c r="C63" s="231">
        <v>41807</v>
      </c>
      <c r="D63" s="233">
        <v>19.7</v>
      </c>
      <c r="E63" s="233">
        <v>7.2</v>
      </c>
      <c r="F63" s="235">
        <v>77</v>
      </c>
      <c r="G63" s="233">
        <v>8</v>
      </c>
      <c r="H63" s="233">
        <v>1.3</v>
      </c>
      <c r="J63" s="233">
        <v>0.82</v>
      </c>
      <c r="K63" s="235">
        <v>29</v>
      </c>
      <c r="L63" s="235">
        <v>58</v>
      </c>
      <c r="M63" s="235">
        <v>1100</v>
      </c>
      <c r="N63" s="235">
        <v>33</v>
      </c>
      <c r="O63" s="235">
        <v>2000</v>
      </c>
      <c r="Q63">
        <v>2014</v>
      </c>
      <c r="R63">
        <v>6</v>
      </c>
      <c r="T63" s="226"/>
      <c r="U63" s="226"/>
      <c r="V63" s="226"/>
      <c r="W63" s="226"/>
      <c r="X63" s="226"/>
      <c r="Y63" s="226"/>
      <c r="Z63" s="226"/>
      <c r="AA63" s="233">
        <f t="shared" si="1"/>
        <v>10.332000000000001</v>
      </c>
      <c r="AB63" s="233">
        <f t="shared" si="2"/>
        <v>12.739174193481931</v>
      </c>
      <c r="AC63" s="233">
        <f t="shared" si="3"/>
        <v>7.9248258065180703</v>
      </c>
      <c r="AD63">
        <v>2.95</v>
      </c>
      <c r="AE63" s="233">
        <f t="shared" si="4"/>
        <v>7.9374301675977676</v>
      </c>
      <c r="AF63" s="233">
        <f t="shared" si="5"/>
        <v>8.0830597168027865</v>
      </c>
      <c r="AG63" s="233">
        <f t="shared" si="6"/>
        <v>7.7918006183927488</v>
      </c>
      <c r="AH63">
        <v>6.5</v>
      </c>
      <c r="AI63" s="233">
        <f t="shared" si="7"/>
        <v>3.3601117318435763</v>
      </c>
      <c r="AJ63" s="233">
        <f t="shared" si="8"/>
        <v>6.3851512410714601</v>
      </c>
      <c r="AK63" s="233">
        <f t="shared" si="9"/>
        <v>0.33507222261569281</v>
      </c>
      <c r="AL63">
        <v>7</v>
      </c>
      <c r="AM63" s="233">
        <f t="shared" si="10"/>
        <v>48.104347826086951</v>
      </c>
      <c r="AN63" s="233">
        <f t="shared" si="11"/>
        <v>52.277593646348265</v>
      </c>
      <c r="AO63" s="233">
        <f t="shared" si="12"/>
        <v>43.931102005825636</v>
      </c>
      <c r="AP63" s="233">
        <f t="shared" si="13"/>
        <v>2.0655865921787711</v>
      </c>
      <c r="AQ63" s="233">
        <f t="shared" si="14"/>
        <v>3.1665882132978602</v>
      </c>
      <c r="AR63" s="233">
        <f t="shared" si="15"/>
        <v>0.96458497105968211</v>
      </c>
      <c r="AS63" s="235">
        <f t="shared" si="16"/>
        <v>33.105027932960894</v>
      </c>
      <c r="AT63" s="235">
        <f t="shared" si="17"/>
        <v>50.535961542150602</v>
      </c>
      <c r="AU63" s="235">
        <f t="shared" si="18"/>
        <v>15.67409432377119</v>
      </c>
      <c r="AV63">
        <v>100</v>
      </c>
      <c r="AW63" s="235">
        <f t="shared" si="19"/>
        <v>62.766666666666666</v>
      </c>
      <c r="AX63" s="235">
        <f t="shared" si="20"/>
        <v>80.98511149172171</v>
      </c>
      <c r="AY63" s="235">
        <f t="shared" si="21"/>
        <v>44.548221841611614</v>
      </c>
      <c r="AZ63" s="235">
        <f t="shared" si="22"/>
        <v>2941.6666666666665</v>
      </c>
      <c r="BA63" s="235">
        <f t="shared" si="23"/>
        <v>4966.9775952753826</v>
      </c>
      <c r="BB63" s="235">
        <f t="shared" si="24"/>
        <v>916.35573805795048</v>
      </c>
      <c r="BC63" s="235">
        <f t="shared" si="25"/>
        <v>53.18888888888889</v>
      </c>
      <c r="BD63" s="235">
        <f t="shared" si="26"/>
        <v>112.67052202318322</v>
      </c>
      <c r="BE63" s="235">
        <f t="shared" si="27"/>
        <v>-6.2927442454054372</v>
      </c>
      <c r="BF63" s="235">
        <f t="shared" si="28"/>
        <v>3577.2222222222222</v>
      </c>
      <c r="BG63" s="235">
        <f t="shared" si="29"/>
        <v>5636.1265941907786</v>
      </c>
      <c r="BH63" s="235">
        <f t="shared" si="30"/>
        <v>1518.3178502536657</v>
      </c>
      <c r="BI63">
        <v>5000</v>
      </c>
      <c r="BJ63" s="235">
        <f t="shared" si="31"/>
        <v>0</v>
      </c>
      <c r="BK63" s="235">
        <f t="shared" si="32"/>
        <v>0</v>
      </c>
      <c r="BL63" s="235">
        <f t="shared" si="33"/>
        <v>0</v>
      </c>
      <c r="BO63" s="235">
        <f t="shared" si="34"/>
        <v>41807</v>
      </c>
      <c r="CD63" s="533">
        <f t="shared" si="35"/>
        <v>19.7</v>
      </c>
      <c r="CE63" s="102">
        <f t="shared" si="36"/>
        <v>7.2</v>
      </c>
      <c r="CF63" s="102">
        <f t="shared" si="37"/>
        <v>77</v>
      </c>
      <c r="CG63" s="102">
        <f t="shared" si="38"/>
        <v>8</v>
      </c>
      <c r="CH63" s="102">
        <f t="shared" si="39"/>
        <v>1.3</v>
      </c>
      <c r="CI63" s="102" t="str">
        <f t="shared" si="40"/>
        <v/>
      </c>
      <c r="CJ63" s="102">
        <f t="shared" si="41"/>
        <v>0.82</v>
      </c>
      <c r="CK63" s="102">
        <f t="shared" si="42"/>
        <v>29</v>
      </c>
      <c r="CL63" s="102">
        <f t="shared" si="43"/>
        <v>58</v>
      </c>
      <c r="CM63" s="102">
        <f t="shared" si="44"/>
        <v>1100</v>
      </c>
      <c r="CN63" s="102">
        <f t="shared" si="45"/>
        <v>33</v>
      </c>
      <c r="CO63" s="102">
        <f t="shared" si="46"/>
        <v>2000</v>
      </c>
      <c r="CP63" s="102" t="str">
        <f t="shared" si="47"/>
        <v/>
      </c>
    </row>
    <row r="64" spans="2:94">
      <c r="B64" t="s">
        <v>252</v>
      </c>
      <c r="C64" s="231">
        <v>41835</v>
      </c>
      <c r="D64" s="233">
        <v>20.5</v>
      </c>
      <c r="E64" s="233">
        <v>6</v>
      </c>
      <c r="F64" s="235">
        <v>66</v>
      </c>
      <c r="K64" s="235">
        <v>52</v>
      </c>
      <c r="L64" s="235">
        <v>73</v>
      </c>
      <c r="M64" s="235">
        <v>710</v>
      </c>
      <c r="N64" s="235">
        <v>35</v>
      </c>
      <c r="O64" s="235">
        <v>1500</v>
      </c>
      <c r="Q64">
        <v>2014</v>
      </c>
      <c r="R64">
        <v>7</v>
      </c>
      <c r="T64" s="226"/>
      <c r="U64" s="226"/>
      <c r="V64" s="226"/>
      <c r="W64" s="226"/>
      <c r="X64" s="226"/>
      <c r="Y64" s="226"/>
      <c r="Z64" s="226"/>
      <c r="AA64" s="233">
        <f t="shared" si="1"/>
        <v>10.332000000000001</v>
      </c>
      <c r="AB64" s="233">
        <f t="shared" si="2"/>
        <v>12.739174193481931</v>
      </c>
      <c r="AC64" s="233">
        <f t="shared" si="3"/>
        <v>7.9248258065180703</v>
      </c>
      <c r="AD64">
        <v>2.95</v>
      </c>
      <c r="AE64" s="233">
        <f t="shared" si="4"/>
        <v>7.9374301675977676</v>
      </c>
      <c r="AF64" s="233">
        <f t="shared" si="5"/>
        <v>8.0830597168027865</v>
      </c>
      <c r="AG64" s="233">
        <f t="shared" si="6"/>
        <v>7.7918006183927488</v>
      </c>
      <c r="AH64">
        <v>6.5</v>
      </c>
      <c r="AI64" s="233">
        <f t="shared" si="7"/>
        <v>3.3601117318435763</v>
      </c>
      <c r="AJ64" s="233">
        <f t="shared" si="8"/>
        <v>6.3851512410714601</v>
      </c>
      <c r="AK64" s="233">
        <f t="shared" si="9"/>
        <v>0.33507222261569281</v>
      </c>
      <c r="AL64">
        <v>7</v>
      </c>
      <c r="AM64" s="233">
        <f t="shared" si="10"/>
        <v>48.104347826086951</v>
      </c>
      <c r="AN64" s="233">
        <f t="shared" si="11"/>
        <v>52.277593646348265</v>
      </c>
      <c r="AO64" s="233">
        <f t="shared" si="12"/>
        <v>43.931102005825636</v>
      </c>
      <c r="AP64" s="233">
        <f t="shared" si="13"/>
        <v>2.0655865921787711</v>
      </c>
      <c r="AQ64" s="233">
        <f t="shared" si="14"/>
        <v>3.1665882132978602</v>
      </c>
      <c r="AR64" s="233">
        <f t="shared" si="15"/>
        <v>0.96458497105968211</v>
      </c>
      <c r="AS64" s="235">
        <f t="shared" si="16"/>
        <v>33.105027932960894</v>
      </c>
      <c r="AT64" s="235">
        <f t="shared" si="17"/>
        <v>50.535961542150602</v>
      </c>
      <c r="AU64" s="235">
        <f t="shared" si="18"/>
        <v>15.67409432377119</v>
      </c>
      <c r="AV64">
        <v>100</v>
      </c>
      <c r="AW64" s="235">
        <f t="shared" si="19"/>
        <v>62.766666666666666</v>
      </c>
      <c r="AX64" s="235">
        <f t="shared" si="20"/>
        <v>80.98511149172171</v>
      </c>
      <c r="AY64" s="235">
        <f t="shared" si="21"/>
        <v>44.548221841611614</v>
      </c>
      <c r="AZ64" s="235">
        <f t="shared" si="22"/>
        <v>2941.6666666666665</v>
      </c>
      <c r="BA64" s="235">
        <f t="shared" si="23"/>
        <v>4966.9775952753826</v>
      </c>
      <c r="BB64" s="235">
        <f t="shared" si="24"/>
        <v>916.35573805795048</v>
      </c>
      <c r="BC64" s="235">
        <f t="shared" si="25"/>
        <v>53.18888888888889</v>
      </c>
      <c r="BD64" s="235">
        <f t="shared" si="26"/>
        <v>112.67052202318322</v>
      </c>
      <c r="BE64" s="235">
        <f t="shared" si="27"/>
        <v>-6.2927442454054372</v>
      </c>
      <c r="BF64" s="235">
        <f t="shared" si="28"/>
        <v>3577.2222222222222</v>
      </c>
      <c r="BG64" s="235">
        <f t="shared" si="29"/>
        <v>5636.1265941907786</v>
      </c>
      <c r="BH64" s="235">
        <f t="shared" si="30"/>
        <v>1518.3178502536657</v>
      </c>
      <c r="BI64">
        <v>5000</v>
      </c>
      <c r="BJ64" s="235">
        <f t="shared" si="31"/>
        <v>0</v>
      </c>
      <c r="BK64" s="235">
        <f t="shared" si="32"/>
        <v>0</v>
      </c>
      <c r="BL64" s="235">
        <f t="shared" si="33"/>
        <v>0</v>
      </c>
      <c r="BO64" s="235">
        <f t="shared" si="34"/>
        <v>41835</v>
      </c>
      <c r="CD64" s="533">
        <f t="shared" si="35"/>
        <v>20.5</v>
      </c>
      <c r="CE64" s="102">
        <f t="shared" si="36"/>
        <v>6</v>
      </c>
      <c r="CF64" s="102">
        <f t="shared" si="37"/>
        <v>66</v>
      </c>
      <c r="CG64" s="102" t="str">
        <f t="shared" si="38"/>
        <v/>
      </c>
      <c r="CH64" s="102" t="str">
        <f t="shared" si="39"/>
        <v/>
      </c>
      <c r="CI64" s="102" t="str">
        <f t="shared" si="40"/>
        <v/>
      </c>
      <c r="CJ64" s="102" t="str">
        <f t="shared" si="41"/>
        <v/>
      </c>
      <c r="CK64" s="102">
        <f t="shared" si="42"/>
        <v>52</v>
      </c>
      <c r="CL64" s="102">
        <f t="shared" si="43"/>
        <v>73</v>
      </c>
      <c r="CM64" s="102">
        <f t="shared" si="44"/>
        <v>710</v>
      </c>
      <c r="CN64" s="102">
        <f t="shared" si="45"/>
        <v>35</v>
      </c>
      <c r="CO64" s="102">
        <f t="shared" si="46"/>
        <v>1500</v>
      </c>
      <c r="CP64" s="102" t="str">
        <f t="shared" si="47"/>
        <v/>
      </c>
    </row>
    <row r="65" spans="2:94">
      <c r="B65" t="s">
        <v>252</v>
      </c>
      <c r="C65" s="231">
        <v>41863</v>
      </c>
      <c r="D65" s="233">
        <v>19.8</v>
      </c>
      <c r="E65" s="233">
        <v>6.4</v>
      </c>
      <c r="F65" s="235">
        <v>80</v>
      </c>
      <c r="G65" s="233">
        <v>7.8</v>
      </c>
      <c r="H65" s="233">
        <v>0.64</v>
      </c>
      <c r="J65" s="233">
        <v>0.56999999999999995</v>
      </c>
      <c r="K65" s="235">
        <v>62</v>
      </c>
      <c r="L65" s="235">
        <v>75</v>
      </c>
      <c r="M65" s="235">
        <v>770</v>
      </c>
      <c r="N65" s="235">
        <v>25</v>
      </c>
      <c r="O65" s="235">
        <v>1400</v>
      </c>
      <c r="Q65">
        <v>2014</v>
      </c>
      <c r="R65">
        <v>8</v>
      </c>
      <c r="T65" s="226"/>
      <c r="U65" s="226"/>
      <c r="V65" s="226"/>
      <c r="W65" s="226"/>
      <c r="X65" s="226"/>
      <c r="Y65" s="226"/>
      <c r="Z65" s="226"/>
      <c r="AA65" s="233">
        <f t="shared" si="1"/>
        <v>10.332000000000001</v>
      </c>
      <c r="AB65" s="233">
        <f t="shared" si="2"/>
        <v>12.739174193481931</v>
      </c>
      <c r="AC65" s="233">
        <f t="shared" si="3"/>
        <v>7.9248258065180703</v>
      </c>
      <c r="AD65">
        <v>2.95</v>
      </c>
      <c r="AE65" s="233">
        <f t="shared" si="4"/>
        <v>7.9374301675977676</v>
      </c>
      <c r="AF65" s="233">
        <f t="shared" si="5"/>
        <v>8.0830597168027865</v>
      </c>
      <c r="AG65" s="233">
        <f t="shared" si="6"/>
        <v>7.7918006183927488</v>
      </c>
      <c r="AH65">
        <v>6.5</v>
      </c>
      <c r="AI65" s="233">
        <f t="shared" si="7"/>
        <v>3.3601117318435763</v>
      </c>
      <c r="AJ65" s="233">
        <f t="shared" si="8"/>
        <v>6.3851512410714601</v>
      </c>
      <c r="AK65" s="233">
        <f t="shared" si="9"/>
        <v>0.33507222261569281</v>
      </c>
      <c r="AL65">
        <v>7</v>
      </c>
      <c r="AM65" s="233">
        <f t="shared" si="10"/>
        <v>48.104347826086951</v>
      </c>
      <c r="AN65" s="233">
        <f t="shared" si="11"/>
        <v>52.277593646348265</v>
      </c>
      <c r="AO65" s="233">
        <f t="shared" si="12"/>
        <v>43.931102005825636</v>
      </c>
      <c r="AP65" s="233">
        <f t="shared" si="13"/>
        <v>2.0655865921787711</v>
      </c>
      <c r="AQ65" s="233">
        <f t="shared" si="14"/>
        <v>3.1665882132978602</v>
      </c>
      <c r="AR65" s="233">
        <f t="shared" si="15"/>
        <v>0.96458497105968211</v>
      </c>
      <c r="AS65" s="235">
        <f t="shared" si="16"/>
        <v>33.105027932960894</v>
      </c>
      <c r="AT65" s="235">
        <f t="shared" si="17"/>
        <v>50.535961542150602</v>
      </c>
      <c r="AU65" s="235">
        <f t="shared" si="18"/>
        <v>15.67409432377119</v>
      </c>
      <c r="AV65">
        <v>100</v>
      </c>
      <c r="AW65" s="235">
        <f t="shared" si="19"/>
        <v>62.766666666666666</v>
      </c>
      <c r="AX65" s="235">
        <f t="shared" si="20"/>
        <v>80.98511149172171</v>
      </c>
      <c r="AY65" s="235">
        <f t="shared" si="21"/>
        <v>44.548221841611614</v>
      </c>
      <c r="AZ65" s="235">
        <f t="shared" si="22"/>
        <v>2941.6666666666665</v>
      </c>
      <c r="BA65" s="235">
        <f t="shared" si="23"/>
        <v>4966.9775952753826</v>
      </c>
      <c r="BB65" s="235">
        <f t="shared" si="24"/>
        <v>916.35573805795048</v>
      </c>
      <c r="BC65" s="235">
        <f t="shared" si="25"/>
        <v>53.18888888888889</v>
      </c>
      <c r="BD65" s="235">
        <f t="shared" si="26"/>
        <v>112.67052202318322</v>
      </c>
      <c r="BE65" s="235">
        <f t="shared" si="27"/>
        <v>-6.2927442454054372</v>
      </c>
      <c r="BF65" s="235">
        <f t="shared" si="28"/>
        <v>3577.2222222222222</v>
      </c>
      <c r="BG65" s="235">
        <f t="shared" si="29"/>
        <v>5636.1265941907786</v>
      </c>
      <c r="BH65" s="235">
        <f t="shared" si="30"/>
        <v>1518.3178502536657</v>
      </c>
      <c r="BI65">
        <v>5000</v>
      </c>
      <c r="BJ65" s="235">
        <f t="shared" si="31"/>
        <v>0</v>
      </c>
      <c r="BK65" s="235">
        <f t="shared" si="32"/>
        <v>0</v>
      </c>
      <c r="BL65" s="235">
        <f t="shared" si="33"/>
        <v>0</v>
      </c>
      <c r="BO65" s="235">
        <f t="shared" si="34"/>
        <v>41863</v>
      </c>
      <c r="CD65" s="533">
        <f t="shared" si="35"/>
        <v>19.8</v>
      </c>
      <c r="CE65" s="102">
        <f t="shared" si="36"/>
        <v>6.4</v>
      </c>
      <c r="CF65" s="102">
        <f t="shared" si="37"/>
        <v>80</v>
      </c>
      <c r="CG65" s="102">
        <f t="shared" si="38"/>
        <v>7.8</v>
      </c>
      <c r="CH65" s="102">
        <f t="shared" si="39"/>
        <v>0.64</v>
      </c>
      <c r="CI65" s="102" t="str">
        <f t="shared" si="40"/>
        <v/>
      </c>
      <c r="CJ65" s="102">
        <f t="shared" si="41"/>
        <v>0.56999999999999995</v>
      </c>
      <c r="CK65" s="102">
        <f t="shared" si="42"/>
        <v>62</v>
      </c>
      <c r="CL65" s="102">
        <f t="shared" si="43"/>
        <v>75</v>
      </c>
      <c r="CM65" s="102">
        <f t="shared" si="44"/>
        <v>770</v>
      </c>
      <c r="CN65" s="102">
        <f t="shared" si="45"/>
        <v>25</v>
      </c>
      <c r="CO65" s="102">
        <f t="shared" si="46"/>
        <v>1400</v>
      </c>
      <c r="CP65" s="102" t="str">
        <f t="shared" si="47"/>
        <v/>
      </c>
    </row>
    <row r="66" spans="2:94">
      <c r="B66" t="s">
        <v>252</v>
      </c>
      <c r="C66" s="231">
        <v>41893</v>
      </c>
      <c r="D66" s="233">
        <v>16.7</v>
      </c>
      <c r="E66" s="233">
        <v>7.4</v>
      </c>
      <c r="F66" s="235">
        <v>75</v>
      </c>
      <c r="G66" s="233">
        <v>7.9</v>
      </c>
      <c r="H66" s="233">
        <v>1.2</v>
      </c>
      <c r="J66" s="233">
        <v>1.1000000000000001</v>
      </c>
      <c r="K66" s="235">
        <v>34</v>
      </c>
      <c r="L66" s="235">
        <v>59</v>
      </c>
      <c r="M66" s="235">
        <v>920</v>
      </c>
      <c r="N66" s="235">
        <v>24</v>
      </c>
      <c r="O66" s="235">
        <v>1400</v>
      </c>
      <c r="Q66">
        <v>2014</v>
      </c>
      <c r="R66">
        <v>9</v>
      </c>
      <c r="T66" s="226"/>
      <c r="U66" s="226"/>
      <c r="V66" s="226"/>
      <c r="W66" s="226"/>
      <c r="X66" s="226"/>
      <c r="Y66" s="226"/>
      <c r="Z66" s="226"/>
      <c r="AA66" s="233">
        <f t="shared" si="1"/>
        <v>10.332000000000001</v>
      </c>
      <c r="AB66" s="233">
        <f t="shared" si="2"/>
        <v>12.739174193481931</v>
      </c>
      <c r="AC66" s="233">
        <f t="shared" si="3"/>
        <v>7.9248258065180703</v>
      </c>
      <c r="AD66">
        <v>2.95</v>
      </c>
      <c r="AE66" s="233">
        <f t="shared" si="4"/>
        <v>7.9374301675977676</v>
      </c>
      <c r="AF66" s="233">
        <f t="shared" si="5"/>
        <v>8.0830597168027865</v>
      </c>
      <c r="AG66" s="233">
        <f t="shared" si="6"/>
        <v>7.7918006183927488</v>
      </c>
      <c r="AH66">
        <v>6.5</v>
      </c>
      <c r="AI66" s="233">
        <f t="shared" si="7"/>
        <v>3.3601117318435763</v>
      </c>
      <c r="AJ66" s="233">
        <f t="shared" si="8"/>
        <v>6.3851512410714601</v>
      </c>
      <c r="AK66" s="233">
        <f t="shared" si="9"/>
        <v>0.33507222261569281</v>
      </c>
      <c r="AL66">
        <v>7</v>
      </c>
      <c r="AM66" s="233">
        <f t="shared" si="10"/>
        <v>48.104347826086951</v>
      </c>
      <c r="AN66" s="233">
        <f t="shared" si="11"/>
        <v>52.277593646348265</v>
      </c>
      <c r="AO66" s="233">
        <f t="shared" si="12"/>
        <v>43.931102005825636</v>
      </c>
      <c r="AP66" s="233">
        <f t="shared" si="13"/>
        <v>2.0655865921787711</v>
      </c>
      <c r="AQ66" s="233">
        <f t="shared" si="14"/>
        <v>3.1665882132978602</v>
      </c>
      <c r="AR66" s="233">
        <f t="shared" si="15"/>
        <v>0.96458497105968211</v>
      </c>
      <c r="AS66" s="235">
        <f t="shared" si="16"/>
        <v>33.105027932960894</v>
      </c>
      <c r="AT66" s="235">
        <f t="shared" si="17"/>
        <v>50.535961542150602</v>
      </c>
      <c r="AU66" s="235">
        <f t="shared" si="18"/>
        <v>15.67409432377119</v>
      </c>
      <c r="AV66">
        <v>100</v>
      </c>
      <c r="AW66" s="235">
        <f t="shared" si="19"/>
        <v>62.766666666666666</v>
      </c>
      <c r="AX66" s="235">
        <f t="shared" si="20"/>
        <v>80.98511149172171</v>
      </c>
      <c r="AY66" s="235">
        <f t="shared" si="21"/>
        <v>44.548221841611614</v>
      </c>
      <c r="AZ66" s="235">
        <f t="shared" si="22"/>
        <v>2941.6666666666665</v>
      </c>
      <c r="BA66" s="235">
        <f t="shared" si="23"/>
        <v>4966.9775952753826</v>
      </c>
      <c r="BB66" s="235">
        <f t="shared" si="24"/>
        <v>916.35573805795048</v>
      </c>
      <c r="BC66" s="235">
        <f t="shared" si="25"/>
        <v>53.18888888888889</v>
      </c>
      <c r="BD66" s="235">
        <f t="shared" si="26"/>
        <v>112.67052202318322</v>
      </c>
      <c r="BE66" s="235">
        <f t="shared" si="27"/>
        <v>-6.2927442454054372</v>
      </c>
      <c r="BF66" s="235">
        <f t="shared" si="28"/>
        <v>3577.2222222222222</v>
      </c>
      <c r="BG66" s="235">
        <f t="shared" si="29"/>
        <v>5636.1265941907786</v>
      </c>
      <c r="BH66" s="235">
        <f t="shared" si="30"/>
        <v>1518.3178502536657</v>
      </c>
      <c r="BI66">
        <v>5000</v>
      </c>
      <c r="BJ66" s="235">
        <f t="shared" si="31"/>
        <v>0</v>
      </c>
      <c r="BK66" s="235">
        <f t="shared" si="32"/>
        <v>0</v>
      </c>
      <c r="BL66" s="235">
        <f t="shared" si="33"/>
        <v>0</v>
      </c>
      <c r="BO66" s="235">
        <f t="shared" si="34"/>
        <v>41893</v>
      </c>
      <c r="CD66" s="533">
        <f t="shared" si="35"/>
        <v>16.7</v>
      </c>
      <c r="CE66" s="102">
        <f t="shared" si="36"/>
        <v>7.4</v>
      </c>
      <c r="CF66" s="102">
        <f t="shared" si="37"/>
        <v>75</v>
      </c>
      <c r="CG66" s="102">
        <f t="shared" si="38"/>
        <v>7.9</v>
      </c>
      <c r="CH66" s="102">
        <f t="shared" si="39"/>
        <v>1.2</v>
      </c>
      <c r="CI66" s="102" t="str">
        <f t="shared" si="40"/>
        <v/>
      </c>
      <c r="CJ66" s="102">
        <f t="shared" si="41"/>
        <v>1.1000000000000001</v>
      </c>
      <c r="CK66" s="102">
        <f t="shared" si="42"/>
        <v>34</v>
      </c>
      <c r="CL66" s="102">
        <f t="shared" si="43"/>
        <v>59</v>
      </c>
      <c r="CM66" s="102">
        <f t="shared" si="44"/>
        <v>920</v>
      </c>
      <c r="CN66" s="102">
        <f t="shared" si="45"/>
        <v>24</v>
      </c>
      <c r="CO66" s="102">
        <f t="shared" si="46"/>
        <v>1400</v>
      </c>
      <c r="CP66" s="102" t="str">
        <f t="shared" si="47"/>
        <v/>
      </c>
    </row>
    <row r="67" spans="2:94">
      <c r="B67" t="s">
        <v>252</v>
      </c>
      <c r="C67" s="231">
        <v>41929</v>
      </c>
      <c r="D67" s="233">
        <v>12.3</v>
      </c>
      <c r="E67" s="233">
        <v>8.6</v>
      </c>
      <c r="F67" s="235">
        <v>82</v>
      </c>
      <c r="G67" s="233">
        <v>7.9</v>
      </c>
      <c r="H67" s="233">
        <v>4.9000000000000004</v>
      </c>
      <c r="J67" s="233" t="s">
        <v>287</v>
      </c>
      <c r="K67" s="235">
        <v>59</v>
      </c>
      <c r="L67" s="235">
        <v>90</v>
      </c>
      <c r="M67" s="235">
        <v>4700</v>
      </c>
      <c r="N67" s="235">
        <v>75</v>
      </c>
      <c r="O67" s="235">
        <v>4700</v>
      </c>
      <c r="Q67">
        <v>2014</v>
      </c>
      <c r="R67">
        <v>10</v>
      </c>
      <c r="T67" s="226"/>
      <c r="U67" s="226"/>
      <c r="V67" s="226"/>
      <c r="W67" s="226"/>
      <c r="X67" s="226"/>
      <c r="Y67" s="226"/>
      <c r="Z67" s="226"/>
      <c r="AA67" s="233">
        <f t="shared" si="1"/>
        <v>10.332000000000001</v>
      </c>
      <c r="AB67" s="233">
        <f t="shared" si="2"/>
        <v>12.739174193481931</v>
      </c>
      <c r="AC67" s="233">
        <f t="shared" si="3"/>
        <v>7.9248258065180703</v>
      </c>
      <c r="AD67">
        <v>2.95</v>
      </c>
      <c r="AE67" s="233">
        <f t="shared" si="4"/>
        <v>7.9374301675977676</v>
      </c>
      <c r="AF67" s="233">
        <f t="shared" si="5"/>
        <v>8.0830597168027865</v>
      </c>
      <c r="AG67" s="233">
        <f t="shared" si="6"/>
        <v>7.7918006183927488</v>
      </c>
      <c r="AH67">
        <v>6.5</v>
      </c>
      <c r="AI67" s="233">
        <f t="shared" si="7"/>
        <v>3.3601117318435763</v>
      </c>
      <c r="AJ67" s="233">
        <f t="shared" si="8"/>
        <v>6.3851512410714601</v>
      </c>
      <c r="AK67" s="233">
        <f t="shared" si="9"/>
        <v>0.33507222261569281</v>
      </c>
      <c r="AL67">
        <v>7</v>
      </c>
      <c r="AM67" s="233">
        <f t="shared" si="10"/>
        <v>48.104347826086951</v>
      </c>
      <c r="AN67" s="233">
        <f t="shared" si="11"/>
        <v>52.277593646348265</v>
      </c>
      <c r="AO67" s="233">
        <f t="shared" si="12"/>
        <v>43.931102005825636</v>
      </c>
      <c r="AP67" s="233">
        <f t="shared" si="13"/>
        <v>2.0655865921787711</v>
      </c>
      <c r="AQ67" s="233">
        <f t="shared" si="14"/>
        <v>3.1665882132978602</v>
      </c>
      <c r="AR67" s="233">
        <f t="shared" si="15"/>
        <v>0.96458497105968211</v>
      </c>
      <c r="AS67" s="235">
        <f t="shared" si="16"/>
        <v>33.105027932960894</v>
      </c>
      <c r="AT67" s="235">
        <f t="shared" si="17"/>
        <v>50.535961542150602</v>
      </c>
      <c r="AU67" s="235">
        <f t="shared" si="18"/>
        <v>15.67409432377119</v>
      </c>
      <c r="AV67">
        <v>100</v>
      </c>
      <c r="AW67" s="235">
        <f t="shared" si="19"/>
        <v>62.766666666666666</v>
      </c>
      <c r="AX67" s="235">
        <f t="shared" si="20"/>
        <v>80.98511149172171</v>
      </c>
      <c r="AY67" s="235">
        <f t="shared" si="21"/>
        <v>44.548221841611614</v>
      </c>
      <c r="AZ67" s="235">
        <f t="shared" si="22"/>
        <v>2941.6666666666665</v>
      </c>
      <c r="BA67" s="235">
        <f t="shared" si="23"/>
        <v>4966.9775952753826</v>
      </c>
      <c r="BB67" s="235">
        <f t="shared" si="24"/>
        <v>916.35573805795048</v>
      </c>
      <c r="BC67" s="235">
        <f t="shared" si="25"/>
        <v>53.18888888888889</v>
      </c>
      <c r="BD67" s="235">
        <f t="shared" si="26"/>
        <v>112.67052202318322</v>
      </c>
      <c r="BE67" s="235">
        <f t="shared" si="27"/>
        <v>-6.2927442454054372</v>
      </c>
      <c r="BF67" s="235">
        <f t="shared" si="28"/>
        <v>3577.2222222222222</v>
      </c>
      <c r="BG67" s="235">
        <f t="shared" si="29"/>
        <v>5636.1265941907786</v>
      </c>
      <c r="BH67" s="235">
        <f t="shared" si="30"/>
        <v>1518.3178502536657</v>
      </c>
      <c r="BI67">
        <v>5000</v>
      </c>
      <c r="BJ67" s="235">
        <f t="shared" si="31"/>
        <v>0</v>
      </c>
      <c r="BK67" s="235">
        <f t="shared" si="32"/>
        <v>0</v>
      </c>
      <c r="BL67" s="235">
        <f t="shared" si="33"/>
        <v>0</v>
      </c>
      <c r="BO67" s="235">
        <f t="shared" si="34"/>
        <v>41929</v>
      </c>
      <c r="CD67" s="533">
        <f t="shared" si="35"/>
        <v>12.3</v>
      </c>
      <c r="CE67" s="102">
        <f t="shared" si="36"/>
        <v>8.6</v>
      </c>
      <c r="CF67" s="102">
        <f t="shared" si="37"/>
        <v>82</v>
      </c>
      <c r="CG67" s="102">
        <f t="shared" si="38"/>
        <v>7.9</v>
      </c>
      <c r="CH67" s="102">
        <f t="shared" si="39"/>
        <v>4.9000000000000004</v>
      </c>
      <c r="CI67" s="102" t="str">
        <f t="shared" si="40"/>
        <v/>
      </c>
      <c r="CJ67" s="102">
        <f t="shared" si="41"/>
        <v>0.5</v>
      </c>
      <c r="CK67" s="102">
        <f t="shared" si="42"/>
        <v>59</v>
      </c>
      <c r="CL67" s="102">
        <f t="shared" si="43"/>
        <v>90</v>
      </c>
      <c r="CM67" s="102">
        <f t="shared" si="44"/>
        <v>4700</v>
      </c>
      <c r="CN67" s="102">
        <f t="shared" si="45"/>
        <v>75</v>
      </c>
      <c r="CO67" s="102">
        <f t="shared" si="46"/>
        <v>4700</v>
      </c>
      <c r="CP67" s="102" t="str">
        <f t="shared" si="47"/>
        <v/>
      </c>
    </row>
    <row r="68" spans="2:94">
      <c r="B68" t="s">
        <v>252</v>
      </c>
      <c r="C68" s="231">
        <v>41954</v>
      </c>
      <c r="D68" s="233">
        <v>9.8000000000000007</v>
      </c>
      <c r="E68" s="233">
        <v>9.9</v>
      </c>
      <c r="F68" s="235">
        <v>87</v>
      </c>
      <c r="G68" s="233">
        <v>8.1</v>
      </c>
      <c r="H68" s="233">
        <v>2.2999999999999998</v>
      </c>
      <c r="J68" s="233">
        <v>1.6</v>
      </c>
      <c r="K68" s="235">
        <v>50</v>
      </c>
      <c r="L68" s="235">
        <v>73</v>
      </c>
      <c r="M68" s="235">
        <v>3100</v>
      </c>
      <c r="N68" s="235">
        <v>45</v>
      </c>
      <c r="O68" s="235">
        <v>3700</v>
      </c>
      <c r="Q68">
        <v>2014</v>
      </c>
      <c r="R68">
        <v>11</v>
      </c>
      <c r="T68" s="226"/>
      <c r="U68" s="226"/>
      <c r="V68" s="226"/>
      <c r="W68" s="226"/>
      <c r="X68" s="226"/>
      <c r="Y68" s="226"/>
      <c r="Z68" s="226"/>
      <c r="AA68" s="233">
        <f t="shared" si="1"/>
        <v>10.332000000000001</v>
      </c>
      <c r="AB68" s="233">
        <f t="shared" si="2"/>
        <v>12.739174193481931</v>
      </c>
      <c r="AC68" s="233">
        <f t="shared" si="3"/>
        <v>7.9248258065180703</v>
      </c>
      <c r="AD68">
        <v>2.95</v>
      </c>
      <c r="AE68" s="233">
        <f t="shared" si="4"/>
        <v>7.9374301675977676</v>
      </c>
      <c r="AF68" s="233">
        <f t="shared" si="5"/>
        <v>8.0830597168027865</v>
      </c>
      <c r="AG68" s="233">
        <f t="shared" si="6"/>
        <v>7.7918006183927488</v>
      </c>
      <c r="AH68">
        <v>6.5</v>
      </c>
      <c r="AI68" s="233">
        <f t="shared" si="7"/>
        <v>3.3601117318435763</v>
      </c>
      <c r="AJ68" s="233">
        <f t="shared" si="8"/>
        <v>6.3851512410714601</v>
      </c>
      <c r="AK68" s="233">
        <f t="shared" si="9"/>
        <v>0.33507222261569281</v>
      </c>
      <c r="AL68">
        <v>7</v>
      </c>
      <c r="AM68" s="233">
        <f t="shared" si="10"/>
        <v>48.104347826086951</v>
      </c>
      <c r="AN68" s="233">
        <f t="shared" si="11"/>
        <v>52.277593646348265</v>
      </c>
      <c r="AO68" s="233">
        <f t="shared" si="12"/>
        <v>43.931102005825636</v>
      </c>
      <c r="AP68" s="233">
        <f t="shared" si="13"/>
        <v>2.0655865921787711</v>
      </c>
      <c r="AQ68" s="233">
        <f t="shared" si="14"/>
        <v>3.1665882132978602</v>
      </c>
      <c r="AR68" s="233">
        <f t="shared" si="15"/>
        <v>0.96458497105968211</v>
      </c>
      <c r="AS68" s="235">
        <f t="shared" si="16"/>
        <v>33.105027932960894</v>
      </c>
      <c r="AT68" s="235">
        <f t="shared" si="17"/>
        <v>50.535961542150602</v>
      </c>
      <c r="AU68" s="235">
        <f t="shared" si="18"/>
        <v>15.67409432377119</v>
      </c>
      <c r="AV68">
        <v>100</v>
      </c>
      <c r="AW68" s="235">
        <f t="shared" si="19"/>
        <v>62.766666666666666</v>
      </c>
      <c r="AX68" s="235">
        <f t="shared" si="20"/>
        <v>80.98511149172171</v>
      </c>
      <c r="AY68" s="235">
        <f t="shared" si="21"/>
        <v>44.548221841611614</v>
      </c>
      <c r="AZ68" s="235">
        <f t="shared" si="22"/>
        <v>2941.6666666666665</v>
      </c>
      <c r="BA68" s="235">
        <f t="shared" si="23"/>
        <v>4966.9775952753826</v>
      </c>
      <c r="BB68" s="235">
        <f t="shared" si="24"/>
        <v>916.35573805795048</v>
      </c>
      <c r="BC68" s="235">
        <f t="shared" si="25"/>
        <v>53.18888888888889</v>
      </c>
      <c r="BD68" s="235">
        <f t="shared" si="26"/>
        <v>112.67052202318322</v>
      </c>
      <c r="BE68" s="235">
        <f t="shared" si="27"/>
        <v>-6.2927442454054372</v>
      </c>
      <c r="BF68" s="235">
        <f t="shared" si="28"/>
        <v>3577.2222222222222</v>
      </c>
      <c r="BG68" s="235">
        <f t="shared" si="29"/>
        <v>5636.1265941907786</v>
      </c>
      <c r="BH68" s="235">
        <f t="shared" si="30"/>
        <v>1518.3178502536657</v>
      </c>
      <c r="BI68">
        <v>5000</v>
      </c>
      <c r="BJ68" s="235">
        <f t="shared" si="31"/>
        <v>0</v>
      </c>
      <c r="BK68" s="235">
        <f t="shared" si="32"/>
        <v>0</v>
      </c>
      <c r="BL68" s="235">
        <f t="shared" si="33"/>
        <v>0</v>
      </c>
      <c r="BO68" s="235">
        <f t="shared" si="34"/>
        <v>41954</v>
      </c>
      <c r="CD68" s="533">
        <f t="shared" si="35"/>
        <v>9.8000000000000007</v>
      </c>
      <c r="CE68" s="102">
        <f t="shared" si="36"/>
        <v>9.9</v>
      </c>
      <c r="CF68" s="102">
        <f t="shared" si="37"/>
        <v>87</v>
      </c>
      <c r="CG68" s="102">
        <f t="shared" si="38"/>
        <v>8.1</v>
      </c>
      <c r="CH68" s="102">
        <f t="shared" si="39"/>
        <v>2.2999999999999998</v>
      </c>
      <c r="CI68" s="102" t="str">
        <f t="shared" si="40"/>
        <v/>
      </c>
      <c r="CJ68" s="102">
        <f t="shared" si="41"/>
        <v>1.6</v>
      </c>
      <c r="CK68" s="102">
        <f t="shared" si="42"/>
        <v>50</v>
      </c>
      <c r="CL68" s="102">
        <f t="shared" si="43"/>
        <v>73</v>
      </c>
      <c r="CM68" s="102">
        <f t="shared" si="44"/>
        <v>3100</v>
      </c>
      <c r="CN68" s="102">
        <f t="shared" si="45"/>
        <v>45</v>
      </c>
      <c r="CO68" s="102">
        <f t="shared" si="46"/>
        <v>3700</v>
      </c>
      <c r="CP68" s="102" t="str">
        <f t="shared" si="47"/>
        <v/>
      </c>
    </row>
    <row r="69" spans="2:94">
      <c r="B69" t="s">
        <v>252</v>
      </c>
      <c r="C69" s="231">
        <v>41985</v>
      </c>
      <c r="D69" s="233">
        <v>4.2</v>
      </c>
      <c r="E69" s="233">
        <v>12.1</v>
      </c>
      <c r="F69" s="235">
        <v>97</v>
      </c>
      <c r="G69" s="233">
        <v>8.1</v>
      </c>
      <c r="H69" s="233">
        <v>8.1</v>
      </c>
      <c r="J69" s="233">
        <v>5.8</v>
      </c>
      <c r="K69" s="235">
        <v>53</v>
      </c>
      <c r="L69" s="235">
        <v>69</v>
      </c>
      <c r="M69" s="235">
        <v>6100</v>
      </c>
      <c r="N69" s="235">
        <v>51</v>
      </c>
      <c r="O69" s="235">
        <v>6700</v>
      </c>
      <c r="Q69">
        <v>2014</v>
      </c>
      <c r="R69">
        <v>12</v>
      </c>
      <c r="T69" s="226"/>
      <c r="U69" s="226"/>
      <c r="V69" s="226"/>
      <c r="W69" s="226"/>
      <c r="X69" s="226"/>
      <c r="Y69" s="226"/>
      <c r="Z69" s="226"/>
      <c r="AA69" s="233">
        <f t="shared" si="1"/>
        <v>10.332000000000001</v>
      </c>
      <c r="AB69" s="233">
        <f t="shared" si="2"/>
        <v>12.739174193481931</v>
      </c>
      <c r="AC69" s="233">
        <f t="shared" si="3"/>
        <v>7.9248258065180703</v>
      </c>
      <c r="AD69">
        <v>2.95</v>
      </c>
      <c r="AE69" s="233">
        <f t="shared" si="4"/>
        <v>7.9374301675977676</v>
      </c>
      <c r="AF69" s="233">
        <f t="shared" si="5"/>
        <v>8.0830597168027865</v>
      </c>
      <c r="AG69" s="233">
        <f t="shared" si="6"/>
        <v>7.7918006183927488</v>
      </c>
      <c r="AH69">
        <v>6.5</v>
      </c>
      <c r="AI69" s="233">
        <f t="shared" si="7"/>
        <v>3.3601117318435763</v>
      </c>
      <c r="AJ69" s="233">
        <f t="shared" si="8"/>
        <v>6.3851512410714601</v>
      </c>
      <c r="AK69" s="233">
        <f t="shared" si="9"/>
        <v>0.33507222261569281</v>
      </c>
      <c r="AL69">
        <v>7</v>
      </c>
      <c r="AM69" s="233">
        <f t="shared" si="10"/>
        <v>48.104347826086951</v>
      </c>
      <c r="AN69" s="233">
        <f t="shared" si="11"/>
        <v>52.277593646348265</v>
      </c>
      <c r="AO69" s="233">
        <f t="shared" si="12"/>
        <v>43.931102005825636</v>
      </c>
      <c r="AP69" s="233">
        <f t="shared" si="13"/>
        <v>2.0655865921787711</v>
      </c>
      <c r="AQ69" s="233">
        <f t="shared" si="14"/>
        <v>3.1665882132978602</v>
      </c>
      <c r="AR69" s="233">
        <f t="shared" si="15"/>
        <v>0.96458497105968211</v>
      </c>
      <c r="AS69" s="235">
        <f t="shared" si="16"/>
        <v>33.105027932960894</v>
      </c>
      <c r="AT69" s="235">
        <f t="shared" si="17"/>
        <v>50.535961542150602</v>
      </c>
      <c r="AU69" s="235">
        <f t="shared" si="18"/>
        <v>15.67409432377119</v>
      </c>
      <c r="AV69">
        <v>100</v>
      </c>
      <c r="AW69" s="235">
        <f t="shared" si="19"/>
        <v>62.766666666666666</v>
      </c>
      <c r="AX69" s="235">
        <f t="shared" si="20"/>
        <v>80.98511149172171</v>
      </c>
      <c r="AY69" s="235">
        <f t="shared" si="21"/>
        <v>44.548221841611614</v>
      </c>
      <c r="AZ69" s="235">
        <f t="shared" si="22"/>
        <v>2941.6666666666665</v>
      </c>
      <c r="BA69" s="235">
        <f t="shared" si="23"/>
        <v>4966.9775952753826</v>
      </c>
      <c r="BB69" s="235">
        <f t="shared" si="24"/>
        <v>916.35573805795048</v>
      </c>
      <c r="BC69" s="235">
        <f t="shared" si="25"/>
        <v>53.18888888888889</v>
      </c>
      <c r="BD69" s="235">
        <f t="shared" si="26"/>
        <v>112.67052202318322</v>
      </c>
      <c r="BE69" s="235">
        <f t="shared" si="27"/>
        <v>-6.2927442454054372</v>
      </c>
      <c r="BF69" s="235">
        <f t="shared" si="28"/>
        <v>3577.2222222222222</v>
      </c>
      <c r="BG69" s="235">
        <f t="shared" si="29"/>
        <v>5636.1265941907786</v>
      </c>
      <c r="BH69" s="235">
        <f t="shared" si="30"/>
        <v>1518.3178502536657</v>
      </c>
      <c r="BI69">
        <v>5000</v>
      </c>
      <c r="BJ69" s="235">
        <f t="shared" si="31"/>
        <v>0</v>
      </c>
      <c r="BK69" s="235">
        <f t="shared" si="32"/>
        <v>0</v>
      </c>
      <c r="BL69" s="235">
        <f t="shared" si="33"/>
        <v>0</v>
      </c>
      <c r="BO69" s="235">
        <f t="shared" si="34"/>
        <v>41985</v>
      </c>
      <c r="CD69" s="533">
        <f t="shared" si="35"/>
        <v>4.2</v>
      </c>
      <c r="CE69" s="102">
        <f t="shared" si="36"/>
        <v>12.1</v>
      </c>
      <c r="CF69" s="102">
        <f t="shared" si="37"/>
        <v>97</v>
      </c>
      <c r="CG69" s="102">
        <f t="shared" si="38"/>
        <v>8.1</v>
      </c>
      <c r="CH69" s="102">
        <f t="shared" si="39"/>
        <v>8.1</v>
      </c>
      <c r="CI69" s="102" t="str">
        <f t="shared" si="40"/>
        <v/>
      </c>
      <c r="CJ69" s="102">
        <f t="shared" si="41"/>
        <v>5.8</v>
      </c>
      <c r="CK69" s="102">
        <f t="shared" si="42"/>
        <v>53</v>
      </c>
      <c r="CL69" s="102">
        <f t="shared" si="43"/>
        <v>69</v>
      </c>
      <c r="CM69" s="102">
        <f t="shared" si="44"/>
        <v>6100</v>
      </c>
      <c r="CN69" s="102">
        <f t="shared" si="45"/>
        <v>51</v>
      </c>
      <c r="CO69" s="102">
        <f t="shared" si="46"/>
        <v>6700</v>
      </c>
      <c r="CP69" s="102" t="str">
        <f t="shared" si="47"/>
        <v/>
      </c>
    </row>
    <row r="70" spans="2:94">
      <c r="B70" t="s">
        <v>252</v>
      </c>
      <c r="C70" s="231">
        <v>42019</v>
      </c>
      <c r="D70" s="233">
        <v>3.2</v>
      </c>
      <c r="E70" s="233">
        <v>14.1</v>
      </c>
      <c r="F70" s="235">
        <v>106</v>
      </c>
      <c r="G70" s="233">
        <v>8</v>
      </c>
      <c r="H70" s="233">
        <v>9.3000000000000007</v>
      </c>
      <c r="J70" s="233">
        <v>1.7</v>
      </c>
      <c r="K70" s="235">
        <v>49</v>
      </c>
      <c r="L70" s="235">
        <v>79</v>
      </c>
      <c r="M70" s="235">
        <v>4600</v>
      </c>
      <c r="N70" s="235">
        <v>57</v>
      </c>
      <c r="O70" s="235">
        <v>5000</v>
      </c>
      <c r="Q70">
        <v>2015</v>
      </c>
      <c r="R70">
        <v>1</v>
      </c>
      <c r="T70" s="226"/>
      <c r="U70" s="226"/>
      <c r="V70" s="226"/>
      <c r="W70" s="226"/>
      <c r="X70" s="226"/>
      <c r="Y70" s="226"/>
      <c r="Z70" s="226"/>
      <c r="AA70" s="233">
        <f t="shared" si="1"/>
        <v>10.332000000000001</v>
      </c>
      <c r="AB70" s="233">
        <f t="shared" si="2"/>
        <v>12.739174193481931</v>
      </c>
      <c r="AC70" s="233">
        <f t="shared" si="3"/>
        <v>7.9248258065180703</v>
      </c>
      <c r="AD70">
        <v>2.95</v>
      </c>
      <c r="AE70" s="233">
        <f t="shared" si="4"/>
        <v>7.9374301675977676</v>
      </c>
      <c r="AF70" s="233">
        <f t="shared" si="5"/>
        <v>8.0830597168027865</v>
      </c>
      <c r="AG70" s="233">
        <f t="shared" si="6"/>
        <v>7.7918006183927488</v>
      </c>
      <c r="AH70">
        <v>6.5</v>
      </c>
      <c r="AI70" s="233">
        <f t="shared" si="7"/>
        <v>3.3601117318435763</v>
      </c>
      <c r="AJ70" s="233">
        <f t="shared" si="8"/>
        <v>6.3851512410714601</v>
      </c>
      <c r="AK70" s="233">
        <f t="shared" si="9"/>
        <v>0.33507222261569281</v>
      </c>
      <c r="AL70">
        <v>7</v>
      </c>
      <c r="AM70" s="233">
        <f t="shared" si="10"/>
        <v>48.104347826086951</v>
      </c>
      <c r="AN70" s="233">
        <f t="shared" si="11"/>
        <v>52.277593646348265</v>
      </c>
      <c r="AO70" s="233">
        <f t="shared" si="12"/>
        <v>43.931102005825636</v>
      </c>
      <c r="AP70" s="233">
        <f t="shared" si="13"/>
        <v>2.0655865921787711</v>
      </c>
      <c r="AQ70" s="233">
        <f t="shared" si="14"/>
        <v>3.1665882132978602</v>
      </c>
      <c r="AR70" s="233">
        <f t="shared" si="15"/>
        <v>0.96458497105968211</v>
      </c>
      <c r="AS70" s="235">
        <f t="shared" si="16"/>
        <v>33.105027932960894</v>
      </c>
      <c r="AT70" s="235">
        <f t="shared" si="17"/>
        <v>50.535961542150602</v>
      </c>
      <c r="AU70" s="235">
        <f t="shared" si="18"/>
        <v>15.67409432377119</v>
      </c>
      <c r="AV70">
        <v>100</v>
      </c>
      <c r="AW70" s="235">
        <f t="shared" si="19"/>
        <v>62.766666666666666</v>
      </c>
      <c r="AX70" s="235">
        <f t="shared" si="20"/>
        <v>80.98511149172171</v>
      </c>
      <c r="AY70" s="235">
        <f t="shared" si="21"/>
        <v>44.548221841611614</v>
      </c>
      <c r="AZ70" s="235">
        <f t="shared" si="22"/>
        <v>2941.6666666666665</v>
      </c>
      <c r="BA70" s="235">
        <f t="shared" si="23"/>
        <v>4966.9775952753826</v>
      </c>
      <c r="BB70" s="235">
        <f t="shared" si="24"/>
        <v>916.35573805795048</v>
      </c>
      <c r="BC70" s="235">
        <f t="shared" si="25"/>
        <v>53.18888888888889</v>
      </c>
      <c r="BD70" s="235">
        <f t="shared" si="26"/>
        <v>112.67052202318322</v>
      </c>
      <c r="BE70" s="235">
        <f t="shared" si="27"/>
        <v>-6.2927442454054372</v>
      </c>
      <c r="BF70" s="235">
        <f t="shared" si="28"/>
        <v>3577.2222222222222</v>
      </c>
      <c r="BG70" s="235">
        <f t="shared" si="29"/>
        <v>5636.1265941907786</v>
      </c>
      <c r="BH70" s="235">
        <f t="shared" si="30"/>
        <v>1518.3178502536657</v>
      </c>
      <c r="BI70">
        <v>5000</v>
      </c>
      <c r="BJ70" s="235">
        <f t="shared" si="31"/>
        <v>0</v>
      </c>
      <c r="BK70" s="235">
        <f t="shared" si="32"/>
        <v>0</v>
      </c>
      <c r="BL70" s="235">
        <f t="shared" si="33"/>
        <v>0</v>
      </c>
      <c r="BO70" s="235">
        <f t="shared" si="34"/>
        <v>42019</v>
      </c>
      <c r="CD70" s="533">
        <f t="shared" si="35"/>
        <v>3.2</v>
      </c>
      <c r="CE70" s="102">
        <f t="shared" si="36"/>
        <v>14.1</v>
      </c>
      <c r="CF70" s="102">
        <f t="shared" si="37"/>
        <v>106</v>
      </c>
      <c r="CG70" s="102">
        <f t="shared" si="38"/>
        <v>8</v>
      </c>
      <c r="CH70" s="102">
        <f t="shared" si="39"/>
        <v>9.3000000000000007</v>
      </c>
      <c r="CI70" s="102" t="str">
        <f t="shared" si="40"/>
        <v/>
      </c>
      <c r="CJ70" s="102">
        <f t="shared" si="41"/>
        <v>1.7</v>
      </c>
      <c r="CK70" s="102">
        <f t="shared" si="42"/>
        <v>49</v>
      </c>
      <c r="CL70" s="102">
        <f t="shared" si="43"/>
        <v>79</v>
      </c>
      <c r="CM70" s="102">
        <f t="shared" si="44"/>
        <v>4600</v>
      </c>
      <c r="CN70" s="102">
        <f t="shared" si="45"/>
        <v>57</v>
      </c>
      <c r="CO70" s="102">
        <f t="shared" si="46"/>
        <v>5000</v>
      </c>
      <c r="CP70" s="102" t="str">
        <f t="shared" si="47"/>
        <v/>
      </c>
    </row>
    <row r="71" spans="2:94">
      <c r="B71" t="s">
        <v>252</v>
      </c>
      <c r="C71" s="231">
        <v>42045</v>
      </c>
      <c r="D71" s="233">
        <v>1.8</v>
      </c>
      <c r="E71" s="233">
        <v>14</v>
      </c>
      <c r="F71" s="235">
        <v>99</v>
      </c>
      <c r="G71" s="233">
        <v>8.1</v>
      </c>
      <c r="H71" s="233">
        <v>4</v>
      </c>
      <c r="J71" s="233">
        <v>1.9</v>
      </c>
      <c r="K71" s="235">
        <v>14</v>
      </c>
      <c r="L71" s="235">
        <v>56</v>
      </c>
      <c r="M71" s="235">
        <v>4000</v>
      </c>
      <c r="N71" s="235">
        <v>110</v>
      </c>
      <c r="O71" s="235">
        <v>5000</v>
      </c>
      <c r="Q71">
        <v>2015</v>
      </c>
      <c r="R71">
        <v>2</v>
      </c>
      <c r="T71" s="226"/>
      <c r="U71" s="226"/>
      <c r="V71" s="226"/>
      <c r="W71" s="226"/>
      <c r="X71" s="226"/>
      <c r="Y71" s="226"/>
      <c r="Z71" s="226"/>
      <c r="AA71" s="233">
        <f t="shared" si="1"/>
        <v>10.332000000000001</v>
      </c>
      <c r="AB71" s="233">
        <f t="shared" si="2"/>
        <v>12.739174193481931</v>
      </c>
      <c r="AC71" s="233">
        <f t="shared" si="3"/>
        <v>7.9248258065180703</v>
      </c>
      <c r="AD71">
        <v>2.95</v>
      </c>
      <c r="AE71" s="233">
        <f t="shared" si="4"/>
        <v>7.9374301675977676</v>
      </c>
      <c r="AF71" s="233">
        <f t="shared" si="5"/>
        <v>8.0830597168027865</v>
      </c>
      <c r="AG71" s="233">
        <f t="shared" si="6"/>
        <v>7.7918006183927488</v>
      </c>
      <c r="AH71">
        <v>6.5</v>
      </c>
      <c r="AI71" s="233">
        <f t="shared" si="7"/>
        <v>3.3601117318435763</v>
      </c>
      <c r="AJ71" s="233">
        <f t="shared" si="8"/>
        <v>6.3851512410714601</v>
      </c>
      <c r="AK71" s="233">
        <f t="shared" si="9"/>
        <v>0.33507222261569281</v>
      </c>
      <c r="AL71">
        <v>7</v>
      </c>
      <c r="AM71" s="233">
        <f t="shared" si="10"/>
        <v>48.104347826086951</v>
      </c>
      <c r="AN71" s="233">
        <f t="shared" si="11"/>
        <v>52.277593646348265</v>
      </c>
      <c r="AO71" s="233">
        <f t="shared" si="12"/>
        <v>43.931102005825636</v>
      </c>
      <c r="AP71" s="233">
        <f t="shared" si="13"/>
        <v>2.0655865921787711</v>
      </c>
      <c r="AQ71" s="233">
        <f t="shared" si="14"/>
        <v>3.1665882132978602</v>
      </c>
      <c r="AR71" s="233">
        <f t="shared" si="15"/>
        <v>0.96458497105968211</v>
      </c>
      <c r="AS71" s="235">
        <f t="shared" si="16"/>
        <v>33.105027932960894</v>
      </c>
      <c r="AT71" s="235">
        <f t="shared" si="17"/>
        <v>50.535961542150602</v>
      </c>
      <c r="AU71" s="235">
        <f t="shared" si="18"/>
        <v>15.67409432377119</v>
      </c>
      <c r="AV71">
        <v>100</v>
      </c>
      <c r="AW71" s="235">
        <f t="shared" si="19"/>
        <v>62.766666666666666</v>
      </c>
      <c r="AX71" s="235">
        <f t="shared" si="20"/>
        <v>80.98511149172171</v>
      </c>
      <c r="AY71" s="235">
        <f t="shared" si="21"/>
        <v>44.548221841611614</v>
      </c>
      <c r="AZ71" s="235">
        <f t="shared" si="22"/>
        <v>2941.6666666666665</v>
      </c>
      <c r="BA71" s="235">
        <f t="shared" si="23"/>
        <v>4966.9775952753826</v>
      </c>
      <c r="BB71" s="235">
        <f t="shared" si="24"/>
        <v>916.35573805795048</v>
      </c>
      <c r="BC71" s="235">
        <f t="shared" si="25"/>
        <v>53.18888888888889</v>
      </c>
      <c r="BD71" s="235">
        <f t="shared" si="26"/>
        <v>112.67052202318322</v>
      </c>
      <c r="BE71" s="235">
        <f t="shared" si="27"/>
        <v>-6.2927442454054372</v>
      </c>
      <c r="BF71" s="235">
        <f t="shared" si="28"/>
        <v>3577.2222222222222</v>
      </c>
      <c r="BG71" s="235">
        <f t="shared" si="29"/>
        <v>5636.1265941907786</v>
      </c>
      <c r="BH71" s="235">
        <f t="shared" si="30"/>
        <v>1518.3178502536657</v>
      </c>
      <c r="BI71">
        <v>5000</v>
      </c>
      <c r="BJ71" s="235">
        <f t="shared" si="31"/>
        <v>0</v>
      </c>
      <c r="BK71" s="235">
        <f t="shared" si="32"/>
        <v>0</v>
      </c>
      <c r="BL71" s="235">
        <f t="shared" si="33"/>
        <v>0</v>
      </c>
      <c r="BO71" s="235">
        <f t="shared" si="34"/>
        <v>42045</v>
      </c>
      <c r="CD71" s="533">
        <f t="shared" si="35"/>
        <v>1.8</v>
      </c>
      <c r="CE71" s="102">
        <f t="shared" si="36"/>
        <v>14</v>
      </c>
      <c r="CF71" s="102">
        <f t="shared" si="37"/>
        <v>99</v>
      </c>
      <c r="CG71" s="102">
        <f t="shared" si="38"/>
        <v>8.1</v>
      </c>
      <c r="CH71" s="102">
        <f t="shared" si="39"/>
        <v>4</v>
      </c>
      <c r="CI71" s="102" t="str">
        <f t="shared" si="40"/>
        <v/>
      </c>
      <c r="CJ71" s="102">
        <f t="shared" si="41"/>
        <v>1.9</v>
      </c>
      <c r="CK71" s="102">
        <f t="shared" si="42"/>
        <v>14</v>
      </c>
      <c r="CL71" s="102">
        <f t="shared" si="43"/>
        <v>56</v>
      </c>
      <c r="CM71" s="102">
        <f t="shared" si="44"/>
        <v>4000</v>
      </c>
      <c r="CN71" s="102">
        <f t="shared" si="45"/>
        <v>110</v>
      </c>
      <c r="CO71" s="102">
        <f t="shared" si="46"/>
        <v>5000</v>
      </c>
      <c r="CP71" s="102" t="str">
        <f t="shared" si="47"/>
        <v/>
      </c>
    </row>
    <row r="72" spans="2:94">
      <c r="B72" t="s">
        <v>252</v>
      </c>
      <c r="C72" s="231">
        <v>42075</v>
      </c>
      <c r="D72" s="233">
        <v>5.8</v>
      </c>
      <c r="E72" s="233">
        <v>12.6</v>
      </c>
      <c r="F72" s="235">
        <v>97</v>
      </c>
      <c r="G72" s="233">
        <v>8.1999999999999993</v>
      </c>
      <c r="H72" s="233">
        <v>3.4</v>
      </c>
      <c r="J72" s="233">
        <v>1.8</v>
      </c>
      <c r="K72" s="235">
        <v>16</v>
      </c>
      <c r="L72" s="235">
        <v>46</v>
      </c>
      <c r="M72" s="235">
        <v>3600</v>
      </c>
      <c r="N72" s="235">
        <v>26</v>
      </c>
      <c r="O72" s="235">
        <v>4000</v>
      </c>
      <c r="Q72">
        <v>2015</v>
      </c>
      <c r="R72">
        <v>3</v>
      </c>
      <c r="T72" s="226"/>
      <c r="U72" s="226"/>
      <c r="V72" s="226"/>
      <c r="W72" s="226"/>
      <c r="X72" s="226"/>
      <c r="Y72" s="226"/>
      <c r="Z72" s="226"/>
      <c r="AA72" s="233">
        <f t="shared" si="1"/>
        <v>10.332000000000001</v>
      </c>
      <c r="AB72" s="233">
        <f t="shared" si="2"/>
        <v>12.739174193481931</v>
      </c>
      <c r="AC72" s="233">
        <f t="shared" si="3"/>
        <v>7.9248258065180703</v>
      </c>
      <c r="AD72">
        <v>2.95</v>
      </c>
      <c r="AE72" s="233">
        <f t="shared" si="4"/>
        <v>7.9374301675977676</v>
      </c>
      <c r="AF72" s="233">
        <f t="shared" si="5"/>
        <v>8.0830597168027865</v>
      </c>
      <c r="AG72" s="233">
        <f t="shared" si="6"/>
        <v>7.7918006183927488</v>
      </c>
      <c r="AH72">
        <v>6.5</v>
      </c>
      <c r="AI72" s="233">
        <f t="shared" si="7"/>
        <v>3.3601117318435763</v>
      </c>
      <c r="AJ72" s="233">
        <f t="shared" si="8"/>
        <v>6.3851512410714601</v>
      </c>
      <c r="AK72" s="233">
        <f t="shared" si="9"/>
        <v>0.33507222261569281</v>
      </c>
      <c r="AL72">
        <v>7</v>
      </c>
      <c r="AM72" s="233">
        <f t="shared" si="10"/>
        <v>48.104347826086951</v>
      </c>
      <c r="AN72" s="233">
        <f t="shared" si="11"/>
        <v>52.277593646348265</v>
      </c>
      <c r="AO72" s="233">
        <f t="shared" si="12"/>
        <v>43.931102005825636</v>
      </c>
      <c r="AP72" s="233">
        <f t="shared" si="13"/>
        <v>2.0655865921787711</v>
      </c>
      <c r="AQ72" s="233">
        <f t="shared" si="14"/>
        <v>3.1665882132978602</v>
      </c>
      <c r="AR72" s="233">
        <f t="shared" si="15"/>
        <v>0.96458497105968211</v>
      </c>
      <c r="AS72" s="235">
        <f t="shared" si="16"/>
        <v>33.105027932960894</v>
      </c>
      <c r="AT72" s="235">
        <f t="shared" si="17"/>
        <v>50.535961542150602</v>
      </c>
      <c r="AU72" s="235">
        <f t="shared" si="18"/>
        <v>15.67409432377119</v>
      </c>
      <c r="AV72">
        <v>100</v>
      </c>
      <c r="AW72" s="235">
        <f t="shared" si="19"/>
        <v>62.766666666666666</v>
      </c>
      <c r="AX72" s="235">
        <f t="shared" si="20"/>
        <v>80.98511149172171</v>
      </c>
      <c r="AY72" s="235">
        <f t="shared" si="21"/>
        <v>44.548221841611614</v>
      </c>
      <c r="AZ72" s="235">
        <f t="shared" si="22"/>
        <v>2941.6666666666665</v>
      </c>
      <c r="BA72" s="235">
        <f t="shared" si="23"/>
        <v>4966.9775952753826</v>
      </c>
      <c r="BB72" s="235">
        <f t="shared" si="24"/>
        <v>916.35573805795048</v>
      </c>
      <c r="BC72" s="235">
        <f t="shared" si="25"/>
        <v>53.18888888888889</v>
      </c>
      <c r="BD72" s="235">
        <f t="shared" si="26"/>
        <v>112.67052202318322</v>
      </c>
      <c r="BE72" s="235">
        <f t="shared" si="27"/>
        <v>-6.2927442454054372</v>
      </c>
      <c r="BF72" s="235">
        <f t="shared" si="28"/>
        <v>3577.2222222222222</v>
      </c>
      <c r="BG72" s="235">
        <f t="shared" si="29"/>
        <v>5636.1265941907786</v>
      </c>
      <c r="BH72" s="235">
        <f t="shared" si="30"/>
        <v>1518.3178502536657</v>
      </c>
      <c r="BI72">
        <v>5000</v>
      </c>
      <c r="BJ72" s="235">
        <f t="shared" si="31"/>
        <v>0</v>
      </c>
      <c r="BK72" s="235">
        <f t="shared" si="32"/>
        <v>0</v>
      </c>
      <c r="BL72" s="235">
        <f t="shared" si="33"/>
        <v>0</v>
      </c>
      <c r="BO72" s="235">
        <f t="shared" si="34"/>
        <v>42075</v>
      </c>
      <c r="CD72" s="533">
        <f t="shared" si="35"/>
        <v>5.8</v>
      </c>
      <c r="CE72" s="102">
        <f t="shared" si="36"/>
        <v>12.6</v>
      </c>
      <c r="CF72" s="102">
        <f t="shared" si="37"/>
        <v>97</v>
      </c>
      <c r="CG72" s="102">
        <f t="shared" si="38"/>
        <v>8.1999999999999993</v>
      </c>
      <c r="CH72" s="102">
        <f t="shared" si="39"/>
        <v>3.4</v>
      </c>
      <c r="CI72" s="102" t="str">
        <f t="shared" si="40"/>
        <v/>
      </c>
      <c r="CJ72" s="102">
        <f t="shared" si="41"/>
        <v>1.8</v>
      </c>
      <c r="CK72" s="102">
        <f t="shared" si="42"/>
        <v>16</v>
      </c>
      <c r="CL72" s="102">
        <f t="shared" si="43"/>
        <v>46</v>
      </c>
      <c r="CM72" s="102">
        <f t="shared" si="44"/>
        <v>3600</v>
      </c>
      <c r="CN72" s="102">
        <f t="shared" si="45"/>
        <v>26</v>
      </c>
      <c r="CO72" s="102">
        <f t="shared" si="46"/>
        <v>4000</v>
      </c>
      <c r="CP72" s="102" t="str">
        <f t="shared" si="47"/>
        <v/>
      </c>
    </row>
    <row r="73" spans="2:94">
      <c r="B73" t="s">
        <v>252</v>
      </c>
      <c r="C73" s="231">
        <v>42107</v>
      </c>
      <c r="D73" s="233">
        <v>9.3000000000000007</v>
      </c>
      <c r="E73" s="233">
        <v>11.2</v>
      </c>
      <c r="F73" s="235">
        <v>98</v>
      </c>
      <c r="G73" s="233">
        <v>8.1999999999999993</v>
      </c>
      <c r="H73" s="233">
        <v>2.8</v>
      </c>
      <c r="J73" s="233">
        <v>2.1</v>
      </c>
      <c r="K73" s="235">
        <v>5.7</v>
      </c>
      <c r="L73" s="235">
        <v>32</v>
      </c>
      <c r="M73" s="235">
        <v>2700</v>
      </c>
      <c r="N73" s="235">
        <v>18</v>
      </c>
      <c r="O73" s="235">
        <v>3400</v>
      </c>
      <c r="Q73">
        <v>2015</v>
      </c>
      <c r="R73">
        <v>4</v>
      </c>
      <c r="T73" s="226"/>
      <c r="U73" s="226"/>
      <c r="V73" s="226"/>
      <c r="W73" s="226"/>
      <c r="X73" s="226"/>
      <c r="Y73" s="226"/>
      <c r="Z73" s="226"/>
      <c r="AA73" s="233">
        <f t="shared" si="1"/>
        <v>10.332000000000001</v>
      </c>
      <c r="AB73" s="233">
        <f t="shared" si="2"/>
        <v>12.739174193481931</v>
      </c>
      <c r="AC73" s="233">
        <f t="shared" si="3"/>
        <v>7.9248258065180703</v>
      </c>
      <c r="AD73">
        <v>2.95</v>
      </c>
      <c r="AE73" s="233">
        <f t="shared" si="4"/>
        <v>7.9374301675977676</v>
      </c>
      <c r="AF73" s="233">
        <f t="shared" si="5"/>
        <v>8.0830597168027865</v>
      </c>
      <c r="AG73" s="233">
        <f t="shared" si="6"/>
        <v>7.7918006183927488</v>
      </c>
      <c r="AH73">
        <v>6.5</v>
      </c>
      <c r="AI73" s="233">
        <f t="shared" si="7"/>
        <v>3.3601117318435763</v>
      </c>
      <c r="AJ73" s="233">
        <f t="shared" si="8"/>
        <v>6.3851512410714601</v>
      </c>
      <c r="AK73" s="233">
        <f t="shared" si="9"/>
        <v>0.33507222261569281</v>
      </c>
      <c r="AL73">
        <v>7</v>
      </c>
      <c r="AM73" s="233">
        <f t="shared" si="10"/>
        <v>48.104347826086951</v>
      </c>
      <c r="AN73" s="233">
        <f t="shared" si="11"/>
        <v>52.277593646348265</v>
      </c>
      <c r="AO73" s="233">
        <f t="shared" si="12"/>
        <v>43.931102005825636</v>
      </c>
      <c r="AP73" s="233">
        <f t="shared" si="13"/>
        <v>2.0655865921787711</v>
      </c>
      <c r="AQ73" s="233">
        <f t="shared" si="14"/>
        <v>3.1665882132978602</v>
      </c>
      <c r="AR73" s="233">
        <f t="shared" si="15"/>
        <v>0.96458497105968211</v>
      </c>
      <c r="AS73" s="235">
        <f t="shared" si="16"/>
        <v>33.105027932960894</v>
      </c>
      <c r="AT73" s="235">
        <f t="shared" si="17"/>
        <v>50.535961542150602</v>
      </c>
      <c r="AU73" s="235">
        <f t="shared" si="18"/>
        <v>15.67409432377119</v>
      </c>
      <c r="AV73">
        <v>100</v>
      </c>
      <c r="AW73" s="235">
        <f t="shared" si="19"/>
        <v>62.766666666666666</v>
      </c>
      <c r="AX73" s="235">
        <f t="shared" si="20"/>
        <v>80.98511149172171</v>
      </c>
      <c r="AY73" s="235">
        <f t="shared" si="21"/>
        <v>44.548221841611614</v>
      </c>
      <c r="AZ73" s="235">
        <f t="shared" si="22"/>
        <v>2941.6666666666665</v>
      </c>
      <c r="BA73" s="235">
        <f t="shared" si="23"/>
        <v>4966.9775952753826</v>
      </c>
      <c r="BB73" s="235">
        <f t="shared" si="24"/>
        <v>916.35573805795048</v>
      </c>
      <c r="BC73" s="235">
        <f t="shared" si="25"/>
        <v>53.18888888888889</v>
      </c>
      <c r="BD73" s="235">
        <f t="shared" si="26"/>
        <v>112.67052202318322</v>
      </c>
      <c r="BE73" s="235">
        <f t="shared" si="27"/>
        <v>-6.2927442454054372</v>
      </c>
      <c r="BF73" s="235">
        <f t="shared" si="28"/>
        <v>3577.2222222222222</v>
      </c>
      <c r="BG73" s="235">
        <f t="shared" si="29"/>
        <v>5636.1265941907786</v>
      </c>
      <c r="BH73" s="235">
        <f t="shared" si="30"/>
        <v>1518.3178502536657</v>
      </c>
      <c r="BI73">
        <v>5000</v>
      </c>
      <c r="BJ73" s="235">
        <f t="shared" si="31"/>
        <v>0</v>
      </c>
      <c r="BK73" s="235">
        <f t="shared" si="32"/>
        <v>0</v>
      </c>
      <c r="BL73" s="235">
        <f t="shared" si="33"/>
        <v>0</v>
      </c>
      <c r="BO73" s="235">
        <f t="shared" si="34"/>
        <v>42107</v>
      </c>
      <c r="CD73" s="533">
        <f t="shared" si="35"/>
        <v>9.3000000000000007</v>
      </c>
      <c r="CE73" s="102">
        <f t="shared" si="36"/>
        <v>11.2</v>
      </c>
      <c r="CF73" s="102">
        <f t="shared" si="37"/>
        <v>98</v>
      </c>
      <c r="CG73" s="102">
        <f t="shared" si="38"/>
        <v>8.1999999999999993</v>
      </c>
      <c r="CH73" s="102">
        <f t="shared" si="39"/>
        <v>2.8</v>
      </c>
      <c r="CI73" s="102" t="str">
        <f t="shared" si="40"/>
        <v/>
      </c>
      <c r="CJ73" s="102">
        <f t="shared" si="41"/>
        <v>2.1</v>
      </c>
      <c r="CK73" s="102">
        <f t="shared" si="42"/>
        <v>5.7</v>
      </c>
      <c r="CL73" s="102">
        <f t="shared" si="43"/>
        <v>32</v>
      </c>
      <c r="CM73" s="102">
        <f t="shared" si="44"/>
        <v>2700</v>
      </c>
      <c r="CN73" s="102">
        <f t="shared" si="45"/>
        <v>18</v>
      </c>
      <c r="CO73" s="102">
        <f t="shared" si="46"/>
        <v>3400</v>
      </c>
      <c r="CP73" s="102" t="str">
        <f t="shared" si="47"/>
        <v/>
      </c>
    </row>
    <row r="74" spans="2:94">
      <c r="B74" t="s">
        <v>252</v>
      </c>
      <c r="C74" s="231">
        <v>42142</v>
      </c>
      <c r="D74" s="233">
        <v>13.6</v>
      </c>
      <c r="E74" s="233">
        <v>10.3</v>
      </c>
      <c r="F74" s="235">
        <v>99</v>
      </c>
      <c r="G74" s="233">
        <v>8.1</v>
      </c>
      <c r="H74" s="233">
        <v>3</v>
      </c>
      <c r="J74" s="233">
        <v>2.5</v>
      </c>
      <c r="K74" s="235">
        <v>5.2</v>
      </c>
      <c r="L74" s="235">
        <v>38</v>
      </c>
      <c r="M74" s="235">
        <v>2700</v>
      </c>
      <c r="N74" s="235">
        <v>12</v>
      </c>
      <c r="O74" s="235">
        <v>2200</v>
      </c>
      <c r="Q74">
        <v>2015</v>
      </c>
      <c r="R74">
        <v>5</v>
      </c>
      <c r="T74" s="226"/>
      <c r="U74" s="226"/>
      <c r="V74" s="226"/>
      <c r="W74" s="226"/>
      <c r="X74" s="226"/>
      <c r="Y74" s="226"/>
      <c r="Z74" s="226"/>
      <c r="AA74" s="233">
        <f t="shared" ref="AA74:AA137" si="48">$E$193</f>
        <v>10.332000000000001</v>
      </c>
      <c r="AB74" s="233">
        <f t="shared" ref="AB74:AB137" si="49">AA74+E$194</f>
        <v>12.739174193481931</v>
      </c>
      <c r="AC74" s="233">
        <f t="shared" ref="AC74:AC137" si="50">AA74-E$194</f>
        <v>7.9248258065180703</v>
      </c>
      <c r="AD74">
        <v>2.95</v>
      </c>
      <c r="AE74" s="233">
        <f t="shared" ref="AE74:AE137" si="51">$G$193</f>
        <v>7.9374301675977676</v>
      </c>
      <c r="AF74" s="233">
        <f t="shared" ref="AF74:AF137" si="52">AE74+G$194</f>
        <v>8.0830597168027865</v>
      </c>
      <c r="AG74" s="233">
        <f t="shared" ref="AG74:AG137" si="53">AE74-G$194</f>
        <v>7.7918006183927488</v>
      </c>
      <c r="AH74">
        <v>6.5</v>
      </c>
      <c r="AI74" s="233">
        <f t="shared" ref="AI74:AI137" si="54">$H$193</f>
        <v>3.3601117318435763</v>
      </c>
      <c r="AJ74" s="233">
        <f t="shared" ref="AJ74:AJ137" si="55">AI74+H$194</f>
        <v>6.3851512410714601</v>
      </c>
      <c r="AK74" s="233">
        <f t="shared" ref="AK74:AK137" si="56">AI74-H$194</f>
        <v>0.33507222261569281</v>
      </c>
      <c r="AL74">
        <v>7</v>
      </c>
      <c r="AM74" s="233">
        <f t="shared" ref="AM74:AM137" si="57">$I$193</f>
        <v>48.104347826086951</v>
      </c>
      <c r="AN74" s="233">
        <f t="shared" ref="AN74:AN137" si="58">AM74+I$194</f>
        <v>52.277593646348265</v>
      </c>
      <c r="AO74" s="233">
        <f t="shared" ref="AO74:AO137" si="59">AM74-I$194</f>
        <v>43.931102005825636</v>
      </c>
      <c r="AP74" s="233">
        <f t="shared" ref="AP74:AP137" si="60">$J$193</f>
        <v>2.0655865921787711</v>
      </c>
      <c r="AQ74" s="233">
        <f t="shared" ref="AQ74:AQ137" si="61">AP74+J$194</f>
        <v>3.1665882132978602</v>
      </c>
      <c r="AR74" s="233">
        <f t="shared" ref="AR74:AR137" si="62">AP74-J$194</f>
        <v>0.96458497105968211</v>
      </c>
      <c r="AS74" s="235">
        <f t="shared" ref="AS74:AS137" si="63">$K$193</f>
        <v>33.105027932960894</v>
      </c>
      <c r="AT74" s="235">
        <f t="shared" ref="AT74:AT137" si="64">AS74+$K$194</f>
        <v>50.535961542150602</v>
      </c>
      <c r="AU74" s="235">
        <f t="shared" ref="AU74:AU137" si="65">AS74-$K$194</f>
        <v>15.67409432377119</v>
      </c>
      <c r="AV74">
        <v>100</v>
      </c>
      <c r="AW74" s="235">
        <f t="shared" ref="AW74:AW137" si="66">$L$193</f>
        <v>62.766666666666666</v>
      </c>
      <c r="AX74" s="235">
        <f t="shared" ref="AX74:AX137" si="67">AW74+$L$194</f>
        <v>80.98511149172171</v>
      </c>
      <c r="AY74" s="235">
        <f t="shared" ref="AY74:AY137" si="68">AW74-$L$194</f>
        <v>44.548221841611614</v>
      </c>
      <c r="AZ74" s="235">
        <f t="shared" ref="AZ74:AZ137" si="69">$M$193</f>
        <v>2941.6666666666665</v>
      </c>
      <c r="BA74" s="235">
        <f t="shared" ref="BA74:BA137" si="70">AZ74+$M$194</f>
        <v>4966.9775952753826</v>
      </c>
      <c r="BB74" s="235">
        <f t="shared" ref="BB74:BB137" si="71">AZ74-$M$194</f>
        <v>916.35573805795048</v>
      </c>
      <c r="BC74" s="235">
        <f t="shared" ref="BC74:BC137" si="72">$N$193</f>
        <v>53.18888888888889</v>
      </c>
      <c r="BD74" s="235">
        <f t="shared" ref="BD74:BD137" si="73">BC74+$N$194</f>
        <v>112.67052202318322</v>
      </c>
      <c r="BE74" s="235">
        <f t="shared" ref="BE74:BE137" si="74">BC74-$N$194</f>
        <v>-6.2927442454054372</v>
      </c>
      <c r="BF74" s="235">
        <f t="shared" ref="BF74:BF137" si="75">$O$193</f>
        <v>3577.2222222222222</v>
      </c>
      <c r="BG74" s="235">
        <f t="shared" ref="BG74:BG137" si="76">BF74+$O$194</f>
        <v>5636.1265941907786</v>
      </c>
      <c r="BH74" s="235">
        <f t="shared" ref="BH74:BH137" si="77">BF74-$O$194</f>
        <v>1518.3178502536657</v>
      </c>
      <c r="BI74">
        <v>5000</v>
      </c>
      <c r="BJ74" s="235">
        <f t="shared" ref="BJ74:BJ137" si="78">$P$193</f>
        <v>0</v>
      </c>
      <c r="BK74" s="235">
        <f t="shared" ref="BK74:BK137" si="79">BJ74+$P$194</f>
        <v>0</v>
      </c>
      <c r="BL74" s="235">
        <f t="shared" ref="BL74:BL137" si="80">BJ74-$P$194</f>
        <v>0</v>
      </c>
      <c r="BO74" s="235">
        <f t="shared" ref="BO74:BO137" si="81">C74</f>
        <v>42142</v>
      </c>
      <c r="CD74" s="533">
        <f t="shared" ref="CD74:CD137" si="82">IF(D74="","",IF(OR(LEFT(D74,1)="&lt;",LEFT(D74,1)="&gt;"),VALUE(MID(D74,2,3)),D74))</f>
        <v>13.6</v>
      </c>
      <c r="CE74" s="102">
        <f t="shared" ref="CE74:CE137" si="83">IF(E74="","",IF(OR(LEFT(E74,1)="&lt;",LEFT(E74,1)="&gt;"),VALUE(MID(E74,2,3)),E74))</f>
        <v>10.3</v>
      </c>
      <c r="CF74" s="102">
        <f t="shared" ref="CF74:CF137" si="84">IF(F74="","",IF(OR(LEFT(F74,1)="&lt;",LEFT(F74,1)="&gt;"),VALUE(MID(F74,2,3)),F74))</f>
        <v>99</v>
      </c>
      <c r="CG74" s="102">
        <f t="shared" ref="CG74:CG137" si="85">IF(G74="","",IF(OR(LEFT(G74,1)="&lt;",LEFT(G74,1)="&gt;"),VALUE(MID(G74,2,3)),G74))</f>
        <v>8.1</v>
      </c>
      <c r="CH74" s="102">
        <f t="shared" ref="CH74:CH137" si="86">IF(H74="","",IF(OR(LEFT(H74,1)="&lt;",LEFT(H74,1)="&gt;"),VALUE(MID(H74,2,3)),H74))</f>
        <v>3</v>
      </c>
      <c r="CI74" s="102" t="str">
        <f t="shared" ref="CI74:CI137" si="87">IF(I74="","",IF(OR(LEFT(I74,1)="&lt;",LEFT(I74,1)="&gt;"),VALUE(MID(I74,2,3)),I74))</f>
        <v/>
      </c>
      <c r="CJ74" s="102">
        <f t="shared" ref="CJ74:CJ137" si="88">IF(J74="","",IF(OR(LEFT(J74,1)="&lt;",LEFT(J74,1)="&gt;"),VALUE(MID(J74,2,3)),J74))</f>
        <v>2.5</v>
      </c>
      <c r="CK74" s="102">
        <f t="shared" ref="CK74:CK137" si="89">IF(K74="","",IF(OR(LEFT(K74,1)="&lt;",LEFT(K74,1)="&gt;"),VALUE(MID(K74,2,3)),K74))</f>
        <v>5.2</v>
      </c>
      <c r="CL74" s="102">
        <f t="shared" ref="CL74:CL137" si="90">IF(L74="","",IF(OR(LEFT(L74,1)="&lt;",LEFT(L74,1)="&gt;"),VALUE(MID(L74,2,3)),L74))</f>
        <v>38</v>
      </c>
      <c r="CM74" s="102">
        <f t="shared" ref="CM74:CM137" si="91">IF(M74="","",IF(OR(LEFT(M74,1)="&lt;",LEFT(M74,1)="&gt;"),VALUE(MID(M74,2,3)),M74))</f>
        <v>2700</v>
      </c>
      <c r="CN74" s="102">
        <f t="shared" ref="CN74:CN137" si="92">IF(N74="","",IF(OR(LEFT(N74,1)="&lt;",LEFT(N74,1)="&gt;"),VALUE(MID(N74,2,3)),N74))</f>
        <v>12</v>
      </c>
      <c r="CO74" s="102">
        <f t="shared" ref="CO74:CO137" si="93">IF(O74="","",IF(OR(LEFT(O74,1)="&lt;",LEFT(O74,1)="&gt;"),VALUE(MID(O74,2,3)),O74))</f>
        <v>2200</v>
      </c>
      <c r="CP74" s="102" t="str">
        <f t="shared" ref="CP74:CP137" si="94">IF(P74="","",IF(OR(LEFT(P74,1)="&lt;",LEFT(P74,1)="&gt;"),VALUE(MID(P74,2,3)),P74))</f>
        <v/>
      </c>
    </row>
    <row r="75" spans="2:94">
      <c r="B75" t="s">
        <v>252</v>
      </c>
      <c r="C75" s="231">
        <v>42172</v>
      </c>
      <c r="D75" s="233">
        <v>16.399999999999999</v>
      </c>
      <c r="E75" s="233">
        <v>8.3000000000000007</v>
      </c>
      <c r="F75" s="235">
        <v>83</v>
      </c>
      <c r="G75" s="233">
        <v>7.9</v>
      </c>
      <c r="H75" s="233">
        <v>3.1</v>
      </c>
      <c r="J75" s="233">
        <v>2</v>
      </c>
      <c r="L75" s="235">
        <v>60</v>
      </c>
      <c r="M75" s="235">
        <v>1600</v>
      </c>
      <c r="N75" s="235">
        <v>46</v>
      </c>
      <c r="O75" s="235">
        <v>2400</v>
      </c>
      <c r="Q75">
        <v>2015</v>
      </c>
      <c r="R75">
        <v>6</v>
      </c>
      <c r="T75" s="226"/>
      <c r="U75" s="226"/>
      <c r="V75" s="226"/>
      <c r="W75" s="226"/>
      <c r="X75" s="226"/>
      <c r="Y75" s="226"/>
      <c r="Z75" s="226"/>
      <c r="AA75" s="233">
        <f t="shared" si="48"/>
        <v>10.332000000000001</v>
      </c>
      <c r="AB75" s="233">
        <f t="shared" si="49"/>
        <v>12.739174193481931</v>
      </c>
      <c r="AC75" s="233">
        <f t="shared" si="50"/>
        <v>7.9248258065180703</v>
      </c>
      <c r="AD75">
        <v>2.95</v>
      </c>
      <c r="AE75" s="233">
        <f t="shared" si="51"/>
        <v>7.9374301675977676</v>
      </c>
      <c r="AF75" s="233">
        <f t="shared" si="52"/>
        <v>8.0830597168027865</v>
      </c>
      <c r="AG75" s="233">
        <f t="shared" si="53"/>
        <v>7.7918006183927488</v>
      </c>
      <c r="AH75">
        <v>6.5</v>
      </c>
      <c r="AI75" s="233">
        <f t="shared" si="54"/>
        <v>3.3601117318435763</v>
      </c>
      <c r="AJ75" s="233">
        <f t="shared" si="55"/>
        <v>6.3851512410714601</v>
      </c>
      <c r="AK75" s="233">
        <f t="shared" si="56"/>
        <v>0.33507222261569281</v>
      </c>
      <c r="AL75">
        <v>7</v>
      </c>
      <c r="AM75" s="233">
        <f t="shared" si="57"/>
        <v>48.104347826086951</v>
      </c>
      <c r="AN75" s="233">
        <f t="shared" si="58"/>
        <v>52.277593646348265</v>
      </c>
      <c r="AO75" s="233">
        <f t="shared" si="59"/>
        <v>43.931102005825636</v>
      </c>
      <c r="AP75" s="233">
        <f t="shared" si="60"/>
        <v>2.0655865921787711</v>
      </c>
      <c r="AQ75" s="233">
        <f t="shared" si="61"/>
        <v>3.1665882132978602</v>
      </c>
      <c r="AR75" s="233">
        <f t="shared" si="62"/>
        <v>0.96458497105968211</v>
      </c>
      <c r="AS75" s="235">
        <f t="shared" si="63"/>
        <v>33.105027932960894</v>
      </c>
      <c r="AT75" s="235">
        <f t="shared" si="64"/>
        <v>50.535961542150602</v>
      </c>
      <c r="AU75" s="235">
        <f t="shared" si="65"/>
        <v>15.67409432377119</v>
      </c>
      <c r="AV75">
        <v>100</v>
      </c>
      <c r="AW75" s="235">
        <f t="shared" si="66"/>
        <v>62.766666666666666</v>
      </c>
      <c r="AX75" s="235">
        <f t="shared" si="67"/>
        <v>80.98511149172171</v>
      </c>
      <c r="AY75" s="235">
        <f t="shared" si="68"/>
        <v>44.548221841611614</v>
      </c>
      <c r="AZ75" s="235">
        <f t="shared" si="69"/>
        <v>2941.6666666666665</v>
      </c>
      <c r="BA75" s="235">
        <f t="shared" si="70"/>
        <v>4966.9775952753826</v>
      </c>
      <c r="BB75" s="235">
        <f t="shared" si="71"/>
        <v>916.35573805795048</v>
      </c>
      <c r="BC75" s="235">
        <f t="shared" si="72"/>
        <v>53.18888888888889</v>
      </c>
      <c r="BD75" s="235">
        <f t="shared" si="73"/>
        <v>112.67052202318322</v>
      </c>
      <c r="BE75" s="235">
        <f t="shared" si="74"/>
        <v>-6.2927442454054372</v>
      </c>
      <c r="BF75" s="235">
        <f t="shared" si="75"/>
        <v>3577.2222222222222</v>
      </c>
      <c r="BG75" s="235">
        <f t="shared" si="76"/>
        <v>5636.1265941907786</v>
      </c>
      <c r="BH75" s="235">
        <f t="shared" si="77"/>
        <v>1518.3178502536657</v>
      </c>
      <c r="BI75">
        <v>5000</v>
      </c>
      <c r="BJ75" s="235">
        <f t="shared" si="78"/>
        <v>0</v>
      </c>
      <c r="BK75" s="235">
        <f t="shared" si="79"/>
        <v>0</v>
      </c>
      <c r="BL75" s="235">
        <f t="shared" si="80"/>
        <v>0</v>
      </c>
      <c r="BO75" s="235">
        <f t="shared" si="81"/>
        <v>42172</v>
      </c>
      <c r="CD75" s="533">
        <f t="shared" si="82"/>
        <v>16.399999999999999</v>
      </c>
      <c r="CE75" s="102">
        <f t="shared" si="83"/>
        <v>8.3000000000000007</v>
      </c>
      <c r="CF75" s="102">
        <f t="shared" si="84"/>
        <v>83</v>
      </c>
      <c r="CG75" s="102">
        <f t="shared" si="85"/>
        <v>7.9</v>
      </c>
      <c r="CH75" s="102">
        <f t="shared" si="86"/>
        <v>3.1</v>
      </c>
      <c r="CI75" s="102" t="str">
        <f t="shared" si="87"/>
        <v/>
      </c>
      <c r="CJ75" s="102">
        <f t="shared" si="88"/>
        <v>2</v>
      </c>
      <c r="CK75" s="102" t="str">
        <f t="shared" si="89"/>
        <v/>
      </c>
      <c r="CL75" s="102">
        <f t="shared" si="90"/>
        <v>60</v>
      </c>
      <c r="CM75" s="102">
        <f t="shared" si="91"/>
        <v>1600</v>
      </c>
      <c r="CN75" s="102">
        <f t="shared" si="92"/>
        <v>46</v>
      </c>
      <c r="CO75" s="102">
        <f t="shared" si="93"/>
        <v>2400</v>
      </c>
      <c r="CP75" s="102" t="str">
        <f t="shared" si="94"/>
        <v/>
      </c>
    </row>
    <row r="76" spans="2:94">
      <c r="B76" t="s">
        <v>252</v>
      </c>
      <c r="C76" s="231">
        <v>42199</v>
      </c>
      <c r="D76" s="233">
        <v>18.7</v>
      </c>
      <c r="E76" s="233">
        <v>8.1</v>
      </c>
      <c r="F76" s="235">
        <v>86</v>
      </c>
      <c r="G76" s="233">
        <v>7.9</v>
      </c>
      <c r="H76" s="233">
        <v>1.4</v>
      </c>
      <c r="J76" s="233">
        <v>1.3</v>
      </c>
      <c r="K76" s="235">
        <v>38</v>
      </c>
      <c r="L76" s="235">
        <v>57</v>
      </c>
      <c r="M76" s="235">
        <v>1200</v>
      </c>
      <c r="N76" s="235">
        <v>26</v>
      </c>
      <c r="O76" s="235">
        <v>2000</v>
      </c>
      <c r="Q76">
        <v>2015</v>
      </c>
      <c r="R76">
        <v>7</v>
      </c>
      <c r="T76" s="226"/>
      <c r="U76" s="226"/>
      <c r="V76" s="226"/>
      <c r="W76" s="226"/>
      <c r="X76" s="226"/>
      <c r="Y76" s="226"/>
      <c r="Z76" s="226"/>
      <c r="AA76" s="233">
        <f t="shared" si="48"/>
        <v>10.332000000000001</v>
      </c>
      <c r="AB76" s="233">
        <f t="shared" si="49"/>
        <v>12.739174193481931</v>
      </c>
      <c r="AC76" s="233">
        <f t="shared" si="50"/>
        <v>7.9248258065180703</v>
      </c>
      <c r="AD76">
        <v>2.95</v>
      </c>
      <c r="AE76" s="233">
        <f t="shared" si="51"/>
        <v>7.9374301675977676</v>
      </c>
      <c r="AF76" s="233">
        <f t="shared" si="52"/>
        <v>8.0830597168027865</v>
      </c>
      <c r="AG76" s="233">
        <f t="shared" si="53"/>
        <v>7.7918006183927488</v>
      </c>
      <c r="AH76">
        <v>6.5</v>
      </c>
      <c r="AI76" s="233">
        <f t="shared" si="54"/>
        <v>3.3601117318435763</v>
      </c>
      <c r="AJ76" s="233">
        <f t="shared" si="55"/>
        <v>6.3851512410714601</v>
      </c>
      <c r="AK76" s="233">
        <f t="shared" si="56"/>
        <v>0.33507222261569281</v>
      </c>
      <c r="AL76">
        <v>7</v>
      </c>
      <c r="AM76" s="233">
        <f t="shared" si="57"/>
        <v>48.104347826086951</v>
      </c>
      <c r="AN76" s="233">
        <f t="shared" si="58"/>
        <v>52.277593646348265</v>
      </c>
      <c r="AO76" s="233">
        <f t="shared" si="59"/>
        <v>43.931102005825636</v>
      </c>
      <c r="AP76" s="233">
        <f t="shared" si="60"/>
        <v>2.0655865921787711</v>
      </c>
      <c r="AQ76" s="233">
        <f t="shared" si="61"/>
        <v>3.1665882132978602</v>
      </c>
      <c r="AR76" s="233">
        <f t="shared" si="62"/>
        <v>0.96458497105968211</v>
      </c>
      <c r="AS76" s="235">
        <f t="shared" si="63"/>
        <v>33.105027932960894</v>
      </c>
      <c r="AT76" s="235">
        <f t="shared" si="64"/>
        <v>50.535961542150602</v>
      </c>
      <c r="AU76" s="235">
        <f t="shared" si="65"/>
        <v>15.67409432377119</v>
      </c>
      <c r="AV76">
        <v>100</v>
      </c>
      <c r="AW76" s="235">
        <f t="shared" si="66"/>
        <v>62.766666666666666</v>
      </c>
      <c r="AX76" s="235">
        <f t="shared" si="67"/>
        <v>80.98511149172171</v>
      </c>
      <c r="AY76" s="235">
        <f t="shared" si="68"/>
        <v>44.548221841611614</v>
      </c>
      <c r="AZ76" s="235">
        <f t="shared" si="69"/>
        <v>2941.6666666666665</v>
      </c>
      <c r="BA76" s="235">
        <f t="shared" si="70"/>
        <v>4966.9775952753826</v>
      </c>
      <c r="BB76" s="235">
        <f t="shared" si="71"/>
        <v>916.35573805795048</v>
      </c>
      <c r="BC76" s="235">
        <f t="shared" si="72"/>
        <v>53.18888888888889</v>
      </c>
      <c r="BD76" s="235">
        <f t="shared" si="73"/>
        <v>112.67052202318322</v>
      </c>
      <c r="BE76" s="235">
        <f t="shared" si="74"/>
        <v>-6.2927442454054372</v>
      </c>
      <c r="BF76" s="235">
        <f t="shared" si="75"/>
        <v>3577.2222222222222</v>
      </c>
      <c r="BG76" s="235">
        <f t="shared" si="76"/>
        <v>5636.1265941907786</v>
      </c>
      <c r="BH76" s="235">
        <f t="shared" si="77"/>
        <v>1518.3178502536657</v>
      </c>
      <c r="BI76">
        <v>5000</v>
      </c>
      <c r="BJ76" s="235">
        <f t="shared" si="78"/>
        <v>0</v>
      </c>
      <c r="BK76" s="235">
        <f t="shared" si="79"/>
        <v>0</v>
      </c>
      <c r="BL76" s="235">
        <f t="shared" si="80"/>
        <v>0</v>
      </c>
      <c r="BO76" s="235">
        <f t="shared" si="81"/>
        <v>42199</v>
      </c>
      <c r="CD76" s="533">
        <f t="shared" si="82"/>
        <v>18.7</v>
      </c>
      <c r="CE76" s="102">
        <f t="shared" si="83"/>
        <v>8.1</v>
      </c>
      <c r="CF76" s="102">
        <f t="shared" si="84"/>
        <v>86</v>
      </c>
      <c r="CG76" s="102">
        <f t="shared" si="85"/>
        <v>7.9</v>
      </c>
      <c r="CH76" s="102">
        <f t="shared" si="86"/>
        <v>1.4</v>
      </c>
      <c r="CI76" s="102" t="str">
        <f t="shared" si="87"/>
        <v/>
      </c>
      <c r="CJ76" s="102">
        <f t="shared" si="88"/>
        <v>1.3</v>
      </c>
      <c r="CK76" s="102">
        <f t="shared" si="89"/>
        <v>38</v>
      </c>
      <c r="CL76" s="102">
        <f t="shared" si="90"/>
        <v>57</v>
      </c>
      <c r="CM76" s="102">
        <f t="shared" si="91"/>
        <v>1200</v>
      </c>
      <c r="CN76" s="102">
        <f t="shared" si="92"/>
        <v>26</v>
      </c>
      <c r="CO76" s="102">
        <f t="shared" si="93"/>
        <v>2000</v>
      </c>
      <c r="CP76" s="102" t="str">
        <f t="shared" si="94"/>
        <v/>
      </c>
    </row>
    <row r="77" spans="2:94">
      <c r="B77" t="s">
        <v>252</v>
      </c>
      <c r="C77" s="231">
        <v>42234</v>
      </c>
      <c r="D77" s="233">
        <v>18.7</v>
      </c>
      <c r="E77" s="233">
        <v>7.9</v>
      </c>
      <c r="F77" s="235">
        <v>83</v>
      </c>
      <c r="G77" s="233">
        <v>8</v>
      </c>
      <c r="H77" s="233">
        <v>0.79</v>
      </c>
      <c r="J77" s="233">
        <v>0.68</v>
      </c>
      <c r="K77" s="235">
        <v>39</v>
      </c>
      <c r="L77" s="235">
        <v>65</v>
      </c>
      <c r="M77" s="235">
        <v>820</v>
      </c>
      <c r="N77" s="235">
        <v>21</v>
      </c>
      <c r="O77" s="235">
        <v>1400</v>
      </c>
      <c r="Q77">
        <v>2015</v>
      </c>
      <c r="R77">
        <v>8</v>
      </c>
      <c r="T77" s="226"/>
      <c r="U77" s="226"/>
      <c r="V77" s="226"/>
      <c r="W77" s="226"/>
      <c r="X77" s="226"/>
      <c r="Y77" s="226"/>
      <c r="Z77" s="226"/>
      <c r="AA77" s="233">
        <f t="shared" si="48"/>
        <v>10.332000000000001</v>
      </c>
      <c r="AB77" s="233">
        <f t="shared" si="49"/>
        <v>12.739174193481931</v>
      </c>
      <c r="AC77" s="233">
        <f t="shared" si="50"/>
        <v>7.9248258065180703</v>
      </c>
      <c r="AD77">
        <v>2.95</v>
      </c>
      <c r="AE77" s="233">
        <f t="shared" si="51"/>
        <v>7.9374301675977676</v>
      </c>
      <c r="AF77" s="233">
        <f t="shared" si="52"/>
        <v>8.0830597168027865</v>
      </c>
      <c r="AG77" s="233">
        <f t="shared" si="53"/>
        <v>7.7918006183927488</v>
      </c>
      <c r="AH77">
        <v>6.5</v>
      </c>
      <c r="AI77" s="233">
        <f t="shared" si="54"/>
        <v>3.3601117318435763</v>
      </c>
      <c r="AJ77" s="233">
        <f t="shared" si="55"/>
        <v>6.3851512410714601</v>
      </c>
      <c r="AK77" s="233">
        <f t="shared" si="56"/>
        <v>0.33507222261569281</v>
      </c>
      <c r="AL77">
        <v>7</v>
      </c>
      <c r="AM77" s="233">
        <f t="shared" si="57"/>
        <v>48.104347826086951</v>
      </c>
      <c r="AN77" s="233">
        <f t="shared" si="58"/>
        <v>52.277593646348265</v>
      </c>
      <c r="AO77" s="233">
        <f t="shared" si="59"/>
        <v>43.931102005825636</v>
      </c>
      <c r="AP77" s="233">
        <f t="shared" si="60"/>
        <v>2.0655865921787711</v>
      </c>
      <c r="AQ77" s="233">
        <f t="shared" si="61"/>
        <v>3.1665882132978602</v>
      </c>
      <c r="AR77" s="233">
        <f t="shared" si="62"/>
        <v>0.96458497105968211</v>
      </c>
      <c r="AS77" s="235">
        <f t="shared" si="63"/>
        <v>33.105027932960894</v>
      </c>
      <c r="AT77" s="235">
        <f t="shared" si="64"/>
        <v>50.535961542150602</v>
      </c>
      <c r="AU77" s="235">
        <f t="shared" si="65"/>
        <v>15.67409432377119</v>
      </c>
      <c r="AV77">
        <v>100</v>
      </c>
      <c r="AW77" s="235">
        <f t="shared" si="66"/>
        <v>62.766666666666666</v>
      </c>
      <c r="AX77" s="235">
        <f t="shared" si="67"/>
        <v>80.98511149172171</v>
      </c>
      <c r="AY77" s="235">
        <f t="shared" si="68"/>
        <v>44.548221841611614</v>
      </c>
      <c r="AZ77" s="235">
        <f t="shared" si="69"/>
        <v>2941.6666666666665</v>
      </c>
      <c r="BA77" s="235">
        <f t="shared" si="70"/>
        <v>4966.9775952753826</v>
      </c>
      <c r="BB77" s="235">
        <f t="shared" si="71"/>
        <v>916.35573805795048</v>
      </c>
      <c r="BC77" s="235">
        <f t="shared" si="72"/>
        <v>53.18888888888889</v>
      </c>
      <c r="BD77" s="235">
        <f t="shared" si="73"/>
        <v>112.67052202318322</v>
      </c>
      <c r="BE77" s="235">
        <f t="shared" si="74"/>
        <v>-6.2927442454054372</v>
      </c>
      <c r="BF77" s="235">
        <f t="shared" si="75"/>
        <v>3577.2222222222222</v>
      </c>
      <c r="BG77" s="235">
        <f t="shared" si="76"/>
        <v>5636.1265941907786</v>
      </c>
      <c r="BH77" s="235">
        <f t="shared" si="77"/>
        <v>1518.3178502536657</v>
      </c>
      <c r="BI77">
        <v>5000</v>
      </c>
      <c r="BJ77" s="235">
        <f t="shared" si="78"/>
        <v>0</v>
      </c>
      <c r="BK77" s="235">
        <f t="shared" si="79"/>
        <v>0</v>
      </c>
      <c r="BL77" s="235">
        <f t="shared" si="80"/>
        <v>0</v>
      </c>
      <c r="BO77" s="235">
        <f t="shared" si="81"/>
        <v>42234</v>
      </c>
      <c r="CD77" s="533">
        <f t="shared" si="82"/>
        <v>18.7</v>
      </c>
      <c r="CE77" s="102">
        <f t="shared" si="83"/>
        <v>7.9</v>
      </c>
      <c r="CF77" s="102">
        <f t="shared" si="84"/>
        <v>83</v>
      </c>
      <c r="CG77" s="102">
        <f t="shared" si="85"/>
        <v>8</v>
      </c>
      <c r="CH77" s="102">
        <f t="shared" si="86"/>
        <v>0.79</v>
      </c>
      <c r="CI77" s="102" t="str">
        <f t="shared" si="87"/>
        <v/>
      </c>
      <c r="CJ77" s="102">
        <f t="shared" si="88"/>
        <v>0.68</v>
      </c>
      <c r="CK77" s="102">
        <f t="shared" si="89"/>
        <v>39</v>
      </c>
      <c r="CL77" s="102">
        <f t="shared" si="90"/>
        <v>65</v>
      </c>
      <c r="CM77" s="102">
        <f t="shared" si="91"/>
        <v>820</v>
      </c>
      <c r="CN77" s="102">
        <f t="shared" si="92"/>
        <v>21</v>
      </c>
      <c r="CO77" s="102">
        <f t="shared" si="93"/>
        <v>1400</v>
      </c>
      <c r="CP77" s="102" t="str">
        <f t="shared" si="94"/>
        <v/>
      </c>
    </row>
    <row r="78" spans="2:94">
      <c r="B78" t="s">
        <v>252</v>
      </c>
      <c r="C78" s="231">
        <v>42265</v>
      </c>
      <c r="D78" s="233">
        <v>15.3</v>
      </c>
      <c r="E78" s="233">
        <v>8.4600000000000009</v>
      </c>
      <c r="F78" s="235">
        <v>85.9</v>
      </c>
      <c r="G78" s="233">
        <v>8</v>
      </c>
      <c r="H78" s="233">
        <v>0.92</v>
      </c>
      <c r="J78" s="233" t="s">
        <v>287</v>
      </c>
      <c r="K78" s="235">
        <v>35</v>
      </c>
      <c r="L78" s="235">
        <v>59</v>
      </c>
      <c r="M78" s="235">
        <v>1000</v>
      </c>
      <c r="N78" s="235">
        <v>21</v>
      </c>
      <c r="O78" s="235">
        <v>1600</v>
      </c>
      <c r="Q78">
        <v>2015</v>
      </c>
      <c r="R78">
        <v>9</v>
      </c>
      <c r="T78" s="226"/>
      <c r="U78" s="226"/>
      <c r="V78" s="226"/>
      <c r="W78" s="226"/>
      <c r="X78" s="226"/>
      <c r="Y78" s="226"/>
      <c r="Z78" s="226"/>
      <c r="AA78" s="233">
        <f t="shared" si="48"/>
        <v>10.332000000000001</v>
      </c>
      <c r="AB78" s="233">
        <f t="shared" si="49"/>
        <v>12.739174193481931</v>
      </c>
      <c r="AC78" s="233">
        <f t="shared" si="50"/>
        <v>7.9248258065180703</v>
      </c>
      <c r="AD78">
        <v>2.95</v>
      </c>
      <c r="AE78" s="233">
        <f t="shared" si="51"/>
        <v>7.9374301675977676</v>
      </c>
      <c r="AF78" s="233">
        <f t="shared" si="52"/>
        <v>8.0830597168027865</v>
      </c>
      <c r="AG78" s="233">
        <f t="shared" si="53"/>
        <v>7.7918006183927488</v>
      </c>
      <c r="AH78">
        <v>6.5</v>
      </c>
      <c r="AI78" s="233">
        <f t="shared" si="54"/>
        <v>3.3601117318435763</v>
      </c>
      <c r="AJ78" s="233">
        <f t="shared" si="55"/>
        <v>6.3851512410714601</v>
      </c>
      <c r="AK78" s="233">
        <f t="shared" si="56"/>
        <v>0.33507222261569281</v>
      </c>
      <c r="AL78">
        <v>7</v>
      </c>
      <c r="AM78" s="233">
        <f t="shared" si="57"/>
        <v>48.104347826086951</v>
      </c>
      <c r="AN78" s="233">
        <f t="shared" si="58"/>
        <v>52.277593646348265</v>
      </c>
      <c r="AO78" s="233">
        <f t="shared" si="59"/>
        <v>43.931102005825636</v>
      </c>
      <c r="AP78" s="233">
        <f t="shared" si="60"/>
        <v>2.0655865921787711</v>
      </c>
      <c r="AQ78" s="233">
        <f t="shared" si="61"/>
        <v>3.1665882132978602</v>
      </c>
      <c r="AR78" s="233">
        <f t="shared" si="62"/>
        <v>0.96458497105968211</v>
      </c>
      <c r="AS78" s="235">
        <f t="shared" si="63"/>
        <v>33.105027932960894</v>
      </c>
      <c r="AT78" s="235">
        <f t="shared" si="64"/>
        <v>50.535961542150602</v>
      </c>
      <c r="AU78" s="235">
        <f t="shared" si="65"/>
        <v>15.67409432377119</v>
      </c>
      <c r="AV78">
        <v>100</v>
      </c>
      <c r="AW78" s="235">
        <f t="shared" si="66"/>
        <v>62.766666666666666</v>
      </c>
      <c r="AX78" s="235">
        <f t="shared" si="67"/>
        <v>80.98511149172171</v>
      </c>
      <c r="AY78" s="235">
        <f t="shared" si="68"/>
        <v>44.548221841611614</v>
      </c>
      <c r="AZ78" s="235">
        <f t="shared" si="69"/>
        <v>2941.6666666666665</v>
      </c>
      <c r="BA78" s="235">
        <f t="shared" si="70"/>
        <v>4966.9775952753826</v>
      </c>
      <c r="BB78" s="235">
        <f t="shared" si="71"/>
        <v>916.35573805795048</v>
      </c>
      <c r="BC78" s="235">
        <f t="shared" si="72"/>
        <v>53.18888888888889</v>
      </c>
      <c r="BD78" s="235">
        <f t="shared" si="73"/>
        <v>112.67052202318322</v>
      </c>
      <c r="BE78" s="235">
        <f t="shared" si="74"/>
        <v>-6.2927442454054372</v>
      </c>
      <c r="BF78" s="235">
        <f t="shared" si="75"/>
        <v>3577.2222222222222</v>
      </c>
      <c r="BG78" s="235">
        <f t="shared" si="76"/>
        <v>5636.1265941907786</v>
      </c>
      <c r="BH78" s="235">
        <f t="shared" si="77"/>
        <v>1518.3178502536657</v>
      </c>
      <c r="BI78">
        <v>5000</v>
      </c>
      <c r="BJ78" s="235">
        <f t="shared" si="78"/>
        <v>0</v>
      </c>
      <c r="BK78" s="235">
        <f t="shared" si="79"/>
        <v>0</v>
      </c>
      <c r="BL78" s="235">
        <f t="shared" si="80"/>
        <v>0</v>
      </c>
      <c r="BO78" s="235">
        <f t="shared" si="81"/>
        <v>42265</v>
      </c>
      <c r="CD78" s="533">
        <f t="shared" si="82"/>
        <v>15.3</v>
      </c>
      <c r="CE78" s="102">
        <f t="shared" si="83"/>
        <v>8.4600000000000009</v>
      </c>
      <c r="CF78" s="102">
        <f t="shared" si="84"/>
        <v>85.9</v>
      </c>
      <c r="CG78" s="102">
        <f t="shared" si="85"/>
        <v>8</v>
      </c>
      <c r="CH78" s="102">
        <f t="shared" si="86"/>
        <v>0.92</v>
      </c>
      <c r="CI78" s="102" t="str">
        <f t="shared" si="87"/>
        <v/>
      </c>
      <c r="CJ78" s="102">
        <f t="shared" si="88"/>
        <v>0.5</v>
      </c>
      <c r="CK78" s="102">
        <f t="shared" si="89"/>
        <v>35</v>
      </c>
      <c r="CL78" s="102">
        <f t="shared" si="90"/>
        <v>59</v>
      </c>
      <c r="CM78" s="102">
        <f t="shared" si="91"/>
        <v>1000</v>
      </c>
      <c r="CN78" s="102">
        <f t="shared" si="92"/>
        <v>21</v>
      </c>
      <c r="CO78" s="102">
        <f t="shared" si="93"/>
        <v>1600</v>
      </c>
      <c r="CP78" s="102" t="str">
        <f t="shared" si="94"/>
        <v/>
      </c>
    </row>
    <row r="79" spans="2:94">
      <c r="B79" t="s">
        <v>252</v>
      </c>
      <c r="C79" s="231">
        <v>42290</v>
      </c>
      <c r="D79" s="233">
        <v>9.5</v>
      </c>
      <c r="E79" s="233">
        <v>11.5</v>
      </c>
      <c r="F79" s="235">
        <v>100</v>
      </c>
      <c r="G79" s="233">
        <v>8</v>
      </c>
      <c r="H79" s="233">
        <v>1.6</v>
      </c>
      <c r="J79" s="233">
        <v>1.1000000000000001</v>
      </c>
      <c r="K79" s="235">
        <v>30</v>
      </c>
      <c r="L79" s="235">
        <v>47</v>
      </c>
      <c r="M79" s="235">
        <v>350</v>
      </c>
      <c r="N79" s="235">
        <v>15</v>
      </c>
      <c r="O79" s="235">
        <v>1500</v>
      </c>
      <c r="Q79">
        <v>2015</v>
      </c>
      <c r="R79">
        <v>10</v>
      </c>
      <c r="T79" s="226"/>
      <c r="U79" s="226"/>
      <c r="V79" s="226"/>
      <c r="W79" s="226"/>
      <c r="X79" s="226"/>
      <c r="Y79" s="226"/>
      <c r="Z79" s="226"/>
      <c r="AA79" s="233">
        <f t="shared" si="48"/>
        <v>10.332000000000001</v>
      </c>
      <c r="AB79" s="233">
        <f t="shared" si="49"/>
        <v>12.739174193481931</v>
      </c>
      <c r="AC79" s="233">
        <f t="shared" si="50"/>
        <v>7.9248258065180703</v>
      </c>
      <c r="AD79">
        <v>2.95</v>
      </c>
      <c r="AE79" s="233">
        <f t="shared" si="51"/>
        <v>7.9374301675977676</v>
      </c>
      <c r="AF79" s="233">
        <f t="shared" si="52"/>
        <v>8.0830597168027865</v>
      </c>
      <c r="AG79" s="233">
        <f t="shared" si="53"/>
        <v>7.7918006183927488</v>
      </c>
      <c r="AH79">
        <v>6.5</v>
      </c>
      <c r="AI79" s="233">
        <f t="shared" si="54"/>
        <v>3.3601117318435763</v>
      </c>
      <c r="AJ79" s="233">
        <f t="shared" si="55"/>
        <v>6.3851512410714601</v>
      </c>
      <c r="AK79" s="233">
        <f t="shared" si="56"/>
        <v>0.33507222261569281</v>
      </c>
      <c r="AL79">
        <v>7</v>
      </c>
      <c r="AM79" s="233">
        <f t="shared" si="57"/>
        <v>48.104347826086951</v>
      </c>
      <c r="AN79" s="233">
        <f t="shared" si="58"/>
        <v>52.277593646348265</v>
      </c>
      <c r="AO79" s="233">
        <f t="shared" si="59"/>
        <v>43.931102005825636</v>
      </c>
      <c r="AP79" s="233">
        <f t="shared" si="60"/>
        <v>2.0655865921787711</v>
      </c>
      <c r="AQ79" s="233">
        <f t="shared" si="61"/>
        <v>3.1665882132978602</v>
      </c>
      <c r="AR79" s="233">
        <f t="shared" si="62"/>
        <v>0.96458497105968211</v>
      </c>
      <c r="AS79" s="235">
        <f t="shared" si="63"/>
        <v>33.105027932960894</v>
      </c>
      <c r="AT79" s="235">
        <f t="shared" si="64"/>
        <v>50.535961542150602</v>
      </c>
      <c r="AU79" s="235">
        <f t="shared" si="65"/>
        <v>15.67409432377119</v>
      </c>
      <c r="AV79">
        <v>100</v>
      </c>
      <c r="AW79" s="235">
        <f t="shared" si="66"/>
        <v>62.766666666666666</v>
      </c>
      <c r="AX79" s="235">
        <f t="shared" si="67"/>
        <v>80.98511149172171</v>
      </c>
      <c r="AY79" s="235">
        <f t="shared" si="68"/>
        <v>44.548221841611614</v>
      </c>
      <c r="AZ79" s="235">
        <f t="shared" si="69"/>
        <v>2941.6666666666665</v>
      </c>
      <c r="BA79" s="235">
        <f t="shared" si="70"/>
        <v>4966.9775952753826</v>
      </c>
      <c r="BB79" s="235">
        <f t="shared" si="71"/>
        <v>916.35573805795048</v>
      </c>
      <c r="BC79" s="235">
        <f t="shared" si="72"/>
        <v>53.18888888888889</v>
      </c>
      <c r="BD79" s="235">
        <f t="shared" si="73"/>
        <v>112.67052202318322</v>
      </c>
      <c r="BE79" s="235">
        <f t="shared" si="74"/>
        <v>-6.2927442454054372</v>
      </c>
      <c r="BF79" s="235">
        <f t="shared" si="75"/>
        <v>3577.2222222222222</v>
      </c>
      <c r="BG79" s="235">
        <f t="shared" si="76"/>
        <v>5636.1265941907786</v>
      </c>
      <c r="BH79" s="235">
        <f t="shared" si="77"/>
        <v>1518.3178502536657</v>
      </c>
      <c r="BI79">
        <v>5000</v>
      </c>
      <c r="BJ79" s="235">
        <f t="shared" si="78"/>
        <v>0</v>
      </c>
      <c r="BK79" s="235">
        <f t="shared" si="79"/>
        <v>0</v>
      </c>
      <c r="BL79" s="235">
        <f t="shared" si="80"/>
        <v>0</v>
      </c>
      <c r="BO79" s="235">
        <f t="shared" si="81"/>
        <v>42290</v>
      </c>
      <c r="CD79" s="533">
        <f t="shared" si="82"/>
        <v>9.5</v>
      </c>
      <c r="CE79" s="102">
        <f t="shared" si="83"/>
        <v>11.5</v>
      </c>
      <c r="CF79" s="102">
        <f t="shared" si="84"/>
        <v>100</v>
      </c>
      <c r="CG79" s="102">
        <f t="shared" si="85"/>
        <v>8</v>
      </c>
      <c r="CH79" s="102">
        <f t="shared" si="86"/>
        <v>1.6</v>
      </c>
      <c r="CI79" s="102" t="str">
        <f t="shared" si="87"/>
        <v/>
      </c>
      <c r="CJ79" s="102">
        <f t="shared" si="88"/>
        <v>1.1000000000000001</v>
      </c>
      <c r="CK79" s="102">
        <f t="shared" si="89"/>
        <v>30</v>
      </c>
      <c r="CL79" s="102">
        <f t="shared" si="90"/>
        <v>47</v>
      </c>
      <c r="CM79" s="102">
        <f t="shared" si="91"/>
        <v>350</v>
      </c>
      <c r="CN79" s="102">
        <f t="shared" si="92"/>
        <v>15</v>
      </c>
      <c r="CO79" s="102">
        <f t="shared" si="93"/>
        <v>1500</v>
      </c>
      <c r="CP79" s="102" t="str">
        <f t="shared" si="94"/>
        <v/>
      </c>
    </row>
    <row r="80" spans="2:94">
      <c r="B80" t="s">
        <v>252</v>
      </c>
      <c r="C80" s="231">
        <v>42325</v>
      </c>
      <c r="D80" s="233">
        <v>8.8000000000000007</v>
      </c>
      <c r="E80" s="233">
        <v>10.7</v>
      </c>
      <c r="F80" s="235">
        <v>95</v>
      </c>
      <c r="G80" s="233">
        <v>8.1</v>
      </c>
      <c r="H80" s="233">
        <v>2.1</v>
      </c>
      <c r="J80" s="233">
        <v>1.5</v>
      </c>
      <c r="K80" s="235">
        <v>30</v>
      </c>
      <c r="L80" s="235">
        <v>68</v>
      </c>
      <c r="M80" s="235">
        <v>5100</v>
      </c>
      <c r="N80" s="235">
        <v>43</v>
      </c>
      <c r="O80" s="235">
        <v>5500</v>
      </c>
      <c r="Q80">
        <v>2015</v>
      </c>
      <c r="R80">
        <v>11</v>
      </c>
      <c r="T80" s="226"/>
      <c r="U80" s="226"/>
      <c r="V80" s="226"/>
      <c r="W80" s="226"/>
      <c r="X80" s="226"/>
      <c r="Y80" s="226"/>
      <c r="Z80" s="226"/>
      <c r="AA80" s="233">
        <f t="shared" si="48"/>
        <v>10.332000000000001</v>
      </c>
      <c r="AB80" s="233">
        <f t="shared" si="49"/>
        <v>12.739174193481931</v>
      </c>
      <c r="AC80" s="233">
        <f t="shared" si="50"/>
        <v>7.9248258065180703</v>
      </c>
      <c r="AD80">
        <v>2.95</v>
      </c>
      <c r="AE80" s="233">
        <f t="shared" si="51"/>
        <v>7.9374301675977676</v>
      </c>
      <c r="AF80" s="233">
        <f t="shared" si="52"/>
        <v>8.0830597168027865</v>
      </c>
      <c r="AG80" s="233">
        <f t="shared" si="53"/>
        <v>7.7918006183927488</v>
      </c>
      <c r="AH80">
        <v>6.5</v>
      </c>
      <c r="AI80" s="233">
        <f t="shared" si="54"/>
        <v>3.3601117318435763</v>
      </c>
      <c r="AJ80" s="233">
        <f t="shared" si="55"/>
        <v>6.3851512410714601</v>
      </c>
      <c r="AK80" s="233">
        <f t="shared" si="56"/>
        <v>0.33507222261569281</v>
      </c>
      <c r="AL80">
        <v>7</v>
      </c>
      <c r="AM80" s="233">
        <f t="shared" si="57"/>
        <v>48.104347826086951</v>
      </c>
      <c r="AN80" s="233">
        <f t="shared" si="58"/>
        <v>52.277593646348265</v>
      </c>
      <c r="AO80" s="233">
        <f t="shared" si="59"/>
        <v>43.931102005825636</v>
      </c>
      <c r="AP80" s="233">
        <f t="shared" si="60"/>
        <v>2.0655865921787711</v>
      </c>
      <c r="AQ80" s="233">
        <f t="shared" si="61"/>
        <v>3.1665882132978602</v>
      </c>
      <c r="AR80" s="233">
        <f t="shared" si="62"/>
        <v>0.96458497105968211</v>
      </c>
      <c r="AS80" s="235">
        <f t="shared" si="63"/>
        <v>33.105027932960894</v>
      </c>
      <c r="AT80" s="235">
        <f t="shared" si="64"/>
        <v>50.535961542150602</v>
      </c>
      <c r="AU80" s="235">
        <f t="shared" si="65"/>
        <v>15.67409432377119</v>
      </c>
      <c r="AV80">
        <v>100</v>
      </c>
      <c r="AW80" s="235">
        <f t="shared" si="66"/>
        <v>62.766666666666666</v>
      </c>
      <c r="AX80" s="235">
        <f t="shared" si="67"/>
        <v>80.98511149172171</v>
      </c>
      <c r="AY80" s="235">
        <f t="shared" si="68"/>
        <v>44.548221841611614</v>
      </c>
      <c r="AZ80" s="235">
        <f t="shared" si="69"/>
        <v>2941.6666666666665</v>
      </c>
      <c r="BA80" s="235">
        <f t="shared" si="70"/>
        <v>4966.9775952753826</v>
      </c>
      <c r="BB80" s="235">
        <f t="shared" si="71"/>
        <v>916.35573805795048</v>
      </c>
      <c r="BC80" s="235">
        <f t="shared" si="72"/>
        <v>53.18888888888889</v>
      </c>
      <c r="BD80" s="235">
        <f t="shared" si="73"/>
        <v>112.67052202318322</v>
      </c>
      <c r="BE80" s="235">
        <f t="shared" si="74"/>
        <v>-6.2927442454054372</v>
      </c>
      <c r="BF80" s="235">
        <f t="shared" si="75"/>
        <v>3577.2222222222222</v>
      </c>
      <c r="BG80" s="235">
        <f t="shared" si="76"/>
        <v>5636.1265941907786</v>
      </c>
      <c r="BH80" s="235">
        <f t="shared" si="77"/>
        <v>1518.3178502536657</v>
      </c>
      <c r="BI80">
        <v>5000</v>
      </c>
      <c r="BJ80" s="235">
        <f t="shared" si="78"/>
        <v>0</v>
      </c>
      <c r="BK80" s="235">
        <f t="shared" si="79"/>
        <v>0</v>
      </c>
      <c r="BL80" s="235">
        <f t="shared" si="80"/>
        <v>0</v>
      </c>
      <c r="BO80" s="235">
        <f t="shared" si="81"/>
        <v>42325</v>
      </c>
      <c r="CD80" s="533">
        <f t="shared" si="82"/>
        <v>8.8000000000000007</v>
      </c>
      <c r="CE80" s="102">
        <f t="shared" si="83"/>
        <v>10.7</v>
      </c>
      <c r="CF80" s="102">
        <f t="shared" si="84"/>
        <v>95</v>
      </c>
      <c r="CG80" s="102">
        <f t="shared" si="85"/>
        <v>8.1</v>
      </c>
      <c r="CH80" s="102">
        <f t="shared" si="86"/>
        <v>2.1</v>
      </c>
      <c r="CI80" s="102" t="str">
        <f t="shared" si="87"/>
        <v/>
      </c>
      <c r="CJ80" s="102">
        <f t="shared" si="88"/>
        <v>1.5</v>
      </c>
      <c r="CK80" s="102">
        <f t="shared" si="89"/>
        <v>30</v>
      </c>
      <c r="CL80" s="102">
        <f t="shared" si="90"/>
        <v>68</v>
      </c>
      <c r="CM80" s="102">
        <f t="shared" si="91"/>
        <v>5100</v>
      </c>
      <c r="CN80" s="102">
        <f t="shared" si="92"/>
        <v>43</v>
      </c>
      <c r="CO80" s="102">
        <f t="shared" si="93"/>
        <v>5500</v>
      </c>
      <c r="CP80" s="102" t="str">
        <f t="shared" si="94"/>
        <v/>
      </c>
    </row>
    <row r="81" spans="2:94">
      <c r="B81" t="s">
        <v>252</v>
      </c>
      <c r="C81" s="231">
        <v>42352</v>
      </c>
      <c r="D81" s="233">
        <v>4.4000000000000004</v>
      </c>
      <c r="E81" s="233">
        <v>12.9</v>
      </c>
      <c r="F81" s="235">
        <v>99</v>
      </c>
      <c r="G81" s="233">
        <v>8</v>
      </c>
      <c r="H81" s="233">
        <v>8.3000000000000007</v>
      </c>
      <c r="J81" s="233">
        <v>1.6</v>
      </c>
      <c r="K81" s="235">
        <v>26</v>
      </c>
      <c r="L81" s="235">
        <v>68</v>
      </c>
      <c r="M81" s="235">
        <v>4600</v>
      </c>
      <c r="N81" s="235">
        <v>61</v>
      </c>
      <c r="O81" s="235">
        <v>6500</v>
      </c>
      <c r="Q81">
        <v>2015</v>
      </c>
      <c r="R81">
        <v>12</v>
      </c>
      <c r="T81" s="226"/>
      <c r="U81" s="226"/>
      <c r="V81" s="226"/>
      <c r="W81" s="226"/>
      <c r="X81" s="226"/>
      <c r="Y81" s="226"/>
      <c r="Z81" s="226"/>
      <c r="AA81" s="233">
        <f t="shared" si="48"/>
        <v>10.332000000000001</v>
      </c>
      <c r="AB81" s="233">
        <f t="shared" si="49"/>
        <v>12.739174193481931</v>
      </c>
      <c r="AC81" s="233">
        <f t="shared" si="50"/>
        <v>7.9248258065180703</v>
      </c>
      <c r="AD81">
        <v>2.95</v>
      </c>
      <c r="AE81" s="233">
        <f t="shared" si="51"/>
        <v>7.9374301675977676</v>
      </c>
      <c r="AF81" s="233">
        <f t="shared" si="52"/>
        <v>8.0830597168027865</v>
      </c>
      <c r="AG81" s="233">
        <f t="shared" si="53"/>
        <v>7.7918006183927488</v>
      </c>
      <c r="AH81">
        <v>6.5</v>
      </c>
      <c r="AI81" s="233">
        <f t="shared" si="54"/>
        <v>3.3601117318435763</v>
      </c>
      <c r="AJ81" s="233">
        <f t="shared" si="55"/>
        <v>6.3851512410714601</v>
      </c>
      <c r="AK81" s="233">
        <f t="shared" si="56"/>
        <v>0.33507222261569281</v>
      </c>
      <c r="AL81">
        <v>7</v>
      </c>
      <c r="AM81" s="233">
        <f t="shared" si="57"/>
        <v>48.104347826086951</v>
      </c>
      <c r="AN81" s="233">
        <f t="shared" si="58"/>
        <v>52.277593646348265</v>
      </c>
      <c r="AO81" s="233">
        <f t="shared" si="59"/>
        <v>43.931102005825636</v>
      </c>
      <c r="AP81" s="233">
        <f t="shared" si="60"/>
        <v>2.0655865921787711</v>
      </c>
      <c r="AQ81" s="233">
        <f t="shared" si="61"/>
        <v>3.1665882132978602</v>
      </c>
      <c r="AR81" s="233">
        <f t="shared" si="62"/>
        <v>0.96458497105968211</v>
      </c>
      <c r="AS81" s="235">
        <f t="shared" si="63"/>
        <v>33.105027932960894</v>
      </c>
      <c r="AT81" s="235">
        <f t="shared" si="64"/>
        <v>50.535961542150602</v>
      </c>
      <c r="AU81" s="235">
        <f t="shared" si="65"/>
        <v>15.67409432377119</v>
      </c>
      <c r="AV81">
        <v>100</v>
      </c>
      <c r="AW81" s="235">
        <f t="shared" si="66"/>
        <v>62.766666666666666</v>
      </c>
      <c r="AX81" s="235">
        <f t="shared" si="67"/>
        <v>80.98511149172171</v>
      </c>
      <c r="AY81" s="235">
        <f t="shared" si="68"/>
        <v>44.548221841611614</v>
      </c>
      <c r="AZ81" s="235">
        <f t="shared" si="69"/>
        <v>2941.6666666666665</v>
      </c>
      <c r="BA81" s="235">
        <f t="shared" si="70"/>
        <v>4966.9775952753826</v>
      </c>
      <c r="BB81" s="235">
        <f t="shared" si="71"/>
        <v>916.35573805795048</v>
      </c>
      <c r="BC81" s="235">
        <f t="shared" si="72"/>
        <v>53.18888888888889</v>
      </c>
      <c r="BD81" s="235">
        <f t="shared" si="73"/>
        <v>112.67052202318322</v>
      </c>
      <c r="BE81" s="235">
        <f t="shared" si="74"/>
        <v>-6.2927442454054372</v>
      </c>
      <c r="BF81" s="235">
        <f t="shared" si="75"/>
        <v>3577.2222222222222</v>
      </c>
      <c r="BG81" s="235">
        <f t="shared" si="76"/>
        <v>5636.1265941907786</v>
      </c>
      <c r="BH81" s="235">
        <f t="shared" si="77"/>
        <v>1518.3178502536657</v>
      </c>
      <c r="BI81">
        <v>5000</v>
      </c>
      <c r="BJ81" s="235">
        <f t="shared" si="78"/>
        <v>0</v>
      </c>
      <c r="BK81" s="235">
        <f t="shared" si="79"/>
        <v>0</v>
      </c>
      <c r="BL81" s="235">
        <f t="shared" si="80"/>
        <v>0</v>
      </c>
      <c r="BO81" s="235">
        <f t="shared" si="81"/>
        <v>42352</v>
      </c>
      <c r="CD81" s="533">
        <f t="shared" si="82"/>
        <v>4.4000000000000004</v>
      </c>
      <c r="CE81" s="102">
        <f t="shared" si="83"/>
        <v>12.9</v>
      </c>
      <c r="CF81" s="102">
        <f t="shared" si="84"/>
        <v>99</v>
      </c>
      <c r="CG81" s="102">
        <f t="shared" si="85"/>
        <v>8</v>
      </c>
      <c r="CH81" s="102">
        <f t="shared" si="86"/>
        <v>8.3000000000000007</v>
      </c>
      <c r="CI81" s="102" t="str">
        <f t="shared" si="87"/>
        <v/>
      </c>
      <c r="CJ81" s="102">
        <f t="shared" si="88"/>
        <v>1.6</v>
      </c>
      <c r="CK81" s="102">
        <f t="shared" si="89"/>
        <v>26</v>
      </c>
      <c r="CL81" s="102">
        <f t="shared" si="90"/>
        <v>68</v>
      </c>
      <c r="CM81" s="102">
        <f t="shared" si="91"/>
        <v>4600</v>
      </c>
      <c r="CN81" s="102">
        <f t="shared" si="92"/>
        <v>61</v>
      </c>
      <c r="CO81" s="102">
        <f t="shared" si="93"/>
        <v>6500</v>
      </c>
      <c r="CP81" s="102" t="str">
        <f t="shared" si="94"/>
        <v/>
      </c>
    </row>
    <row r="82" spans="2:94">
      <c r="B82" t="s">
        <v>252</v>
      </c>
      <c r="C82" s="231">
        <v>42389</v>
      </c>
      <c r="D82" s="233">
        <v>0.4</v>
      </c>
      <c r="E82" s="233">
        <v>14.6</v>
      </c>
      <c r="F82" s="235">
        <v>101</v>
      </c>
      <c r="G82" s="233">
        <v>8</v>
      </c>
      <c r="H82" s="233">
        <v>4.3</v>
      </c>
      <c r="J82" s="233">
        <v>1.8</v>
      </c>
      <c r="K82" s="235">
        <v>36</v>
      </c>
      <c r="L82" s="235">
        <v>65</v>
      </c>
      <c r="M82" s="235">
        <v>3400</v>
      </c>
      <c r="N82" s="235">
        <v>170</v>
      </c>
      <c r="O82" s="235">
        <v>3800</v>
      </c>
      <c r="Q82">
        <v>2016</v>
      </c>
      <c r="R82">
        <v>1</v>
      </c>
      <c r="T82" s="226"/>
      <c r="U82" s="226"/>
      <c r="V82" s="226"/>
      <c r="W82" s="226"/>
      <c r="X82" s="226"/>
      <c r="Y82" s="226"/>
      <c r="Z82" s="226"/>
      <c r="AA82" s="233">
        <f t="shared" si="48"/>
        <v>10.332000000000001</v>
      </c>
      <c r="AB82" s="233">
        <f t="shared" si="49"/>
        <v>12.739174193481931</v>
      </c>
      <c r="AC82" s="233">
        <f t="shared" si="50"/>
        <v>7.9248258065180703</v>
      </c>
      <c r="AD82">
        <v>2.95</v>
      </c>
      <c r="AE82" s="233">
        <f t="shared" si="51"/>
        <v>7.9374301675977676</v>
      </c>
      <c r="AF82" s="233">
        <f t="shared" si="52"/>
        <v>8.0830597168027865</v>
      </c>
      <c r="AG82" s="233">
        <f t="shared" si="53"/>
        <v>7.7918006183927488</v>
      </c>
      <c r="AH82">
        <v>6.5</v>
      </c>
      <c r="AI82" s="233">
        <f t="shared" si="54"/>
        <v>3.3601117318435763</v>
      </c>
      <c r="AJ82" s="233">
        <f t="shared" si="55"/>
        <v>6.3851512410714601</v>
      </c>
      <c r="AK82" s="233">
        <f t="shared" si="56"/>
        <v>0.33507222261569281</v>
      </c>
      <c r="AL82">
        <v>7</v>
      </c>
      <c r="AM82" s="233">
        <f t="shared" si="57"/>
        <v>48.104347826086951</v>
      </c>
      <c r="AN82" s="233">
        <f t="shared" si="58"/>
        <v>52.277593646348265</v>
      </c>
      <c r="AO82" s="233">
        <f t="shared" si="59"/>
        <v>43.931102005825636</v>
      </c>
      <c r="AP82" s="233">
        <f t="shared" si="60"/>
        <v>2.0655865921787711</v>
      </c>
      <c r="AQ82" s="233">
        <f t="shared" si="61"/>
        <v>3.1665882132978602</v>
      </c>
      <c r="AR82" s="233">
        <f t="shared" si="62"/>
        <v>0.96458497105968211</v>
      </c>
      <c r="AS82" s="235">
        <f t="shared" si="63"/>
        <v>33.105027932960894</v>
      </c>
      <c r="AT82" s="235">
        <f t="shared" si="64"/>
        <v>50.535961542150602</v>
      </c>
      <c r="AU82" s="235">
        <f t="shared" si="65"/>
        <v>15.67409432377119</v>
      </c>
      <c r="AV82">
        <v>100</v>
      </c>
      <c r="AW82" s="235">
        <f t="shared" si="66"/>
        <v>62.766666666666666</v>
      </c>
      <c r="AX82" s="235">
        <f t="shared" si="67"/>
        <v>80.98511149172171</v>
      </c>
      <c r="AY82" s="235">
        <f t="shared" si="68"/>
        <v>44.548221841611614</v>
      </c>
      <c r="AZ82" s="235">
        <f t="shared" si="69"/>
        <v>2941.6666666666665</v>
      </c>
      <c r="BA82" s="235">
        <f t="shared" si="70"/>
        <v>4966.9775952753826</v>
      </c>
      <c r="BB82" s="235">
        <f t="shared" si="71"/>
        <v>916.35573805795048</v>
      </c>
      <c r="BC82" s="235">
        <f t="shared" si="72"/>
        <v>53.18888888888889</v>
      </c>
      <c r="BD82" s="235">
        <f t="shared" si="73"/>
        <v>112.67052202318322</v>
      </c>
      <c r="BE82" s="235">
        <f t="shared" si="74"/>
        <v>-6.2927442454054372</v>
      </c>
      <c r="BF82" s="235">
        <f t="shared" si="75"/>
        <v>3577.2222222222222</v>
      </c>
      <c r="BG82" s="235">
        <f t="shared" si="76"/>
        <v>5636.1265941907786</v>
      </c>
      <c r="BH82" s="235">
        <f t="shared" si="77"/>
        <v>1518.3178502536657</v>
      </c>
      <c r="BI82">
        <v>5000</v>
      </c>
      <c r="BJ82" s="235">
        <f t="shared" si="78"/>
        <v>0</v>
      </c>
      <c r="BK82" s="235">
        <f t="shared" si="79"/>
        <v>0</v>
      </c>
      <c r="BL82" s="235">
        <f t="shared" si="80"/>
        <v>0</v>
      </c>
      <c r="BO82" s="235">
        <f t="shared" si="81"/>
        <v>42389</v>
      </c>
      <c r="CD82" s="533">
        <f t="shared" si="82"/>
        <v>0.4</v>
      </c>
      <c r="CE82" s="102">
        <f t="shared" si="83"/>
        <v>14.6</v>
      </c>
      <c r="CF82" s="102">
        <f t="shared" si="84"/>
        <v>101</v>
      </c>
      <c r="CG82" s="102">
        <f t="shared" si="85"/>
        <v>8</v>
      </c>
      <c r="CH82" s="102">
        <f t="shared" si="86"/>
        <v>4.3</v>
      </c>
      <c r="CI82" s="102" t="str">
        <f t="shared" si="87"/>
        <v/>
      </c>
      <c r="CJ82" s="102">
        <f t="shared" si="88"/>
        <v>1.8</v>
      </c>
      <c r="CK82" s="102">
        <f t="shared" si="89"/>
        <v>36</v>
      </c>
      <c r="CL82" s="102">
        <f t="shared" si="90"/>
        <v>65</v>
      </c>
      <c r="CM82" s="102">
        <f t="shared" si="91"/>
        <v>3400</v>
      </c>
      <c r="CN82" s="102">
        <f t="shared" si="92"/>
        <v>170</v>
      </c>
      <c r="CO82" s="102">
        <f t="shared" si="93"/>
        <v>3800</v>
      </c>
      <c r="CP82" s="102" t="str">
        <f t="shared" si="94"/>
        <v/>
      </c>
    </row>
    <row r="83" spans="2:94">
      <c r="B83" t="s">
        <v>252</v>
      </c>
      <c r="C83" s="231">
        <v>42416</v>
      </c>
      <c r="D83" s="233">
        <v>1.8</v>
      </c>
      <c r="E83" s="233">
        <v>13.5</v>
      </c>
      <c r="F83" s="235">
        <v>95</v>
      </c>
      <c r="G83" s="233">
        <v>8</v>
      </c>
      <c r="H83" s="233">
        <v>6.4</v>
      </c>
      <c r="J83" s="233">
        <v>2.6</v>
      </c>
      <c r="K83" s="235">
        <v>40</v>
      </c>
      <c r="L83" s="235">
        <v>69</v>
      </c>
      <c r="M83" s="235">
        <v>4000</v>
      </c>
      <c r="N83" s="235">
        <v>57</v>
      </c>
      <c r="O83" s="235">
        <v>4400</v>
      </c>
      <c r="Q83">
        <v>2016</v>
      </c>
      <c r="R83">
        <v>2</v>
      </c>
      <c r="T83" s="226"/>
      <c r="U83" s="226"/>
      <c r="V83" s="226"/>
      <c r="W83" s="226"/>
      <c r="X83" s="226"/>
      <c r="Y83" s="226"/>
      <c r="Z83" s="226"/>
      <c r="AA83" s="233">
        <f t="shared" si="48"/>
        <v>10.332000000000001</v>
      </c>
      <c r="AB83" s="233">
        <f t="shared" si="49"/>
        <v>12.739174193481931</v>
      </c>
      <c r="AC83" s="233">
        <f t="shared" si="50"/>
        <v>7.9248258065180703</v>
      </c>
      <c r="AD83">
        <v>2.95</v>
      </c>
      <c r="AE83" s="233">
        <f t="shared" si="51"/>
        <v>7.9374301675977676</v>
      </c>
      <c r="AF83" s="233">
        <f t="shared" si="52"/>
        <v>8.0830597168027865</v>
      </c>
      <c r="AG83" s="233">
        <f t="shared" si="53"/>
        <v>7.7918006183927488</v>
      </c>
      <c r="AH83">
        <v>6.5</v>
      </c>
      <c r="AI83" s="233">
        <f t="shared" si="54"/>
        <v>3.3601117318435763</v>
      </c>
      <c r="AJ83" s="233">
        <f t="shared" si="55"/>
        <v>6.3851512410714601</v>
      </c>
      <c r="AK83" s="233">
        <f t="shared" si="56"/>
        <v>0.33507222261569281</v>
      </c>
      <c r="AL83">
        <v>7</v>
      </c>
      <c r="AM83" s="233">
        <f t="shared" si="57"/>
        <v>48.104347826086951</v>
      </c>
      <c r="AN83" s="233">
        <f t="shared" si="58"/>
        <v>52.277593646348265</v>
      </c>
      <c r="AO83" s="233">
        <f t="shared" si="59"/>
        <v>43.931102005825636</v>
      </c>
      <c r="AP83" s="233">
        <f t="shared" si="60"/>
        <v>2.0655865921787711</v>
      </c>
      <c r="AQ83" s="233">
        <f t="shared" si="61"/>
        <v>3.1665882132978602</v>
      </c>
      <c r="AR83" s="233">
        <f t="shared" si="62"/>
        <v>0.96458497105968211</v>
      </c>
      <c r="AS83" s="235">
        <f t="shared" si="63"/>
        <v>33.105027932960894</v>
      </c>
      <c r="AT83" s="235">
        <f t="shared" si="64"/>
        <v>50.535961542150602</v>
      </c>
      <c r="AU83" s="235">
        <f t="shared" si="65"/>
        <v>15.67409432377119</v>
      </c>
      <c r="AV83">
        <v>100</v>
      </c>
      <c r="AW83" s="235">
        <f t="shared" si="66"/>
        <v>62.766666666666666</v>
      </c>
      <c r="AX83" s="235">
        <f t="shared" si="67"/>
        <v>80.98511149172171</v>
      </c>
      <c r="AY83" s="235">
        <f t="shared" si="68"/>
        <v>44.548221841611614</v>
      </c>
      <c r="AZ83" s="235">
        <f t="shared" si="69"/>
        <v>2941.6666666666665</v>
      </c>
      <c r="BA83" s="235">
        <f t="shared" si="70"/>
        <v>4966.9775952753826</v>
      </c>
      <c r="BB83" s="235">
        <f t="shared" si="71"/>
        <v>916.35573805795048</v>
      </c>
      <c r="BC83" s="235">
        <f t="shared" si="72"/>
        <v>53.18888888888889</v>
      </c>
      <c r="BD83" s="235">
        <f t="shared" si="73"/>
        <v>112.67052202318322</v>
      </c>
      <c r="BE83" s="235">
        <f t="shared" si="74"/>
        <v>-6.2927442454054372</v>
      </c>
      <c r="BF83" s="235">
        <f t="shared" si="75"/>
        <v>3577.2222222222222</v>
      </c>
      <c r="BG83" s="235">
        <f t="shared" si="76"/>
        <v>5636.1265941907786</v>
      </c>
      <c r="BH83" s="235">
        <f t="shared" si="77"/>
        <v>1518.3178502536657</v>
      </c>
      <c r="BI83">
        <v>5000</v>
      </c>
      <c r="BJ83" s="235">
        <f t="shared" si="78"/>
        <v>0</v>
      </c>
      <c r="BK83" s="235">
        <f t="shared" si="79"/>
        <v>0</v>
      </c>
      <c r="BL83" s="235">
        <f t="shared" si="80"/>
        <v>0</v>
      </c>
      <c r="BO83" s="235">
        <f t="shared" si="81"/>
        <v>42416</v>
      </c>
      <c r="CD83" s="533">
        <f t="shared" si="82"/>
        <v>1.8</v>
      </c>
      <c r="CE83" s="102">
        <f t="shared" si="83"/>
        <v>13.5</v>
      </c>
      <c r="CF83" s="102">
        <f t="shared" si="84"/>
        <v>95</v>
      </c>
      <c r="CG83" s="102">
        <f t="shared" si="85"/>
        <v>8</v>
      </c>
      <c r="CH83" s="102">
        <f t="shared" si="86"/>
        <v>6.4</v>
      </c>
      <c r="CI83" s="102" t="str">
        <f t="shared" si="87"/>
        <v/>
      </c>
      <c r="CJ83" s="102">
        <f t="shared" si="88"/>
        <v>2.6</v>
      </c>
      <c r="CK83" s="102">
        <f t="shared" si="89"/>
        <v>40</v>
      </c>
      <c r="CL83" s="102">
        <f t="shared" si="90"/>
        <v>69</v>
      </c>
      <c r="CM83" s="102">
        <f t="shared" si="91"/>
        <v>4000</v>
      </c>
      <c r="CN83" s="102">
        <f t="shared" si="92"/>
        <v>57</v>
      </c>
      <c r="CO83" s="102">
        <f t="shared" si="93"/>
        <v>4400</v>
      </c>
      <c r="CP83" s="102" t="str">
        <f t="shared" si="94"/>
        <v/>
      </c>
    </row>
    <row r="84" spans="2:94">
      <c r="B84" t="s">
        <v>252</v>
      </c>
      <c r="C84" s="231">
        <v>42444</v>
      </c>
      <c r="D84" s="233">
        <v>4.3</v>
      </c>
      <c r="E84" s="233">
        <v>12.6</v>
      </c>
      <c r="F84" s="235">
        <v>95</v>
      </c>
      <c r="G84" s="233">
        <v>8.1999999999999993</v>
      </c>
      <c r="H84" s="233">
        <v>3.4</v>
      </c>
      <c r="J84" s="233">
        <v>2.2999999999999998</v>
      </c>
      <c r="K84" s="235">
        <v>17</v>
      </c>
      <c r="L84" s="235">
        <v>46</v>
      </c>
      <c r="M84" s="235">
        <v>3500</v>
      </c>
      <c r="N84" s="235">
        <v>29</v>
      </c>
      <c r="O84" s="235">
        <v>3700</v>
      </c>
      <c r="Q84">
        <v>2016</v>
      </c>
      <c r="R84">
        <v>3</v>
      </c>
      <c r="T84" s="226"/>
      <c r="U84" s="226"/>
      <c r="V84" s="226"/>
      <c r="W84" s="226"/>
      <c r="X84" s="226"/>
      <c r="Y84" s="226"/>
      <c r="Z84" s="226"/>
      <c r="AA84" s="233">
        <f t="shared" si="48"/>
        <v>10.332000000000001</v>
      </c>
      <c r="AB84" s="233">
        <f t="shared" si="49"/>
        <v>12.739174193481931</v>
      </c>
      <c r="AC84" s="233">
        <f t="shared" si="50"/>
        <v>7.9248258065180703</v>
      </c>
      <c r="AD84">
        <v>2.95</v>
      </c>
      <c r="AE84" s="233">
        <f t="shared" si="51"/>
        <v>7.9374301675977676</v>
      </c>
      <c r="AF84" s="233">
        <f t="shared" si="52"/>
        <v>8.0830597168027865</v>
      </c>
      <c r="AG84" s="233">
        <f t="shared" si="53"/>
        <v>7.7918006183927488</v>
      </c>
      <c r="AH84">
        <v>6.5</v>
      </c>
      <c r="AI84" s="233">
        <f t="shared" si="54"/>
        <v>3.3601117318435763</v>
      </c>
      <c r="AJ84" s="233">
        <f t="shared" si="55"/>
        <v>6.3851512410714601</v>
      </c>
      <c r="AK84" s="233">
        <f t="shared" si="56"/>
        <v>0.33507222261569281</v>
      </c>
      <c r="AL84">
        <v>7</v>
      </c>
      <c r="AM84" s="233">
        <f t="shared" si="57"/>
        <v>48.104347826086951</v>
      </c>
      <c r="AN84" s="233">
        <f t="shared" si="58"/>
        <v>52.277593646348265</v>
      </c>
      <c r="AO84" s="233">
        <f t="shared" si="59"/>
        <v>43.931102005825636</v>
      </c>
      <c r="AP84" s="233">
        <f t="shared" si="60"/>
        <v>2.0655865921787711</v>
      </c>
      <c r="AQ84" s="233">
        <f t="shared" si="61"/>
        <v>3.1665882132978602</v>
      </c>
      <c r="AR84" s="233">
        <f t="shared" si="62"/>
        <v>0.96458497105968211</v>
      </c>
      <c r="AS84" s="235">
        <f t="shared" si="63"/>
        <v>33.105027932960894</v>
      </c>
      <c r="AT84" s="235">
        <f t="shared" si="64"/>
        <v>50.535961542150602</v>
      </c>
      <c r="AU84" s="235">
        <f t="shared" si="65"/>
        <v>15.67409432377119</v>
      </c>
      <c r="AV84">
        <v>100</v>
      </c>
      <c r="AW84" s="235">
        <f t="shared" si="66"/>
        <v>62.766666666666666</v>
      </c>
      <c r="AX84" s="235">
        <f t="shared" si="67"/>
        <v>80.98511149172171</v>
      </c>
      <c r="AY84" s="235">
        <f t="shared" si="68"/>
        <v>44.548221841611614</v>
      </c>
      <c r="AZ84" s="235">
        <f t="shared" si="69"/>
        <v>2941.6666666666665</v>
      </c>
      <c r="BA84" s="235">
        <f t="shared" si="70"/>
        <v>4966.9775952753826</v>
      </c>
      <c r="BB84" s="235">
        <f t="shared" si="71"/>
        <v>916.35573805795048</v>
      </c>
      <c r="BC84" s="235">
        <f t="shared" si="72"/>
        <v>53.18888888888889</v>
      </c>
      <c r="BD84" s="235">
        <f t="shared" si="73"/>
        <v>112.67052202318322</v>
      </c>
      <c r="BE84" s="235">
        <f t="shared" si="74"/>
        <v>-6.2927442454054372</v>
      </c>
      <c r="BF84" s="235">
        <f t="shared" si="75"/>
        <v>3577.2222222222222</v>
      </c>
      <c r="BG84" s="235">
        <f t="shared" si="76"/>
        <v>5636.1265941907786</v>
      </c>
      <c r="BH84" s="235">
        <f t="shared" si="77"/>
        <v>1518.3178502536657</v>
      </c>
      <c r="BI84">
        <v>5000</v>
      </c>
      <c r="BJ84" s="235">
        <f t="shared" si="78"/>
        <v>0</v>
      </c>
      <c r="BK84" s="235">
        <f t="shared" si="79"/>
        <v>0</v>
      </c>
      <c r="BL84" s="235">
        <f t="shared" si="80"/>
        <v>0</v>
      </c>
      <c r="BO84" s="235">
        <f t="shared" si="81"/>
        <v>42444</v>
      </c>
      <c r="CD84" s="533">
        <f t="shared" si="82"/>
        <v>4.3</v>
      </c>
      <c r="CE84" s="102">
        <f t="shared" si="83"/>
        <v>12.6</v>
      </c>
      <c r="CF84" s="102">
        <f t="shared" si="84"/>
        <v>95</v>
      </c>
      <c r="CG84" s="102">
        <f t="shared" si="85"/>
        <v>8.1999999999999993</v>
      </c>
      <c r="CH84" s="102">
        <f t="shared" si="86"/>
        <v>3.4</v>
      </c>
      <c r="CI84" s="102" t="str">
        <f t="shared" si="87"/>
        <v/>
      </c>
      <c r="CJ84" s="102">
        <f t="shared" si="88"/>
        <v>2.2999999999999998</v>
      </c>
      <c r="CK84" s="102">
        <f t="shared" si="89"/>
        <v>17</v>
      </c>
      <c r="CL84" s="102">
        <f t="shared" si="90"/>
        <v>46</v>
      </c>
      <c r="CM84" s="102">
        <f t="shared" si="91"/>
        <v>3500</v>
      </c>
      <c r="CN84" s="102">
        <f t="shared" si="92"/>
        <v>29</v>
      </c>
      <c r="CO84" s="102">
        <f t="shared" si="93"/>
        <v>3700</v>
      </c>
      <c r="CP84" s="102" t="str">
        <f t="shared" si="94"/>
        <v/>
      </c>
    </row>
    <row r="85" spans="2:94">
      <c r="B85" t="s">
        <v>252</v>
      </c>
      <c r="C85" s="231">
        <v>42472</v>
      </c>
      <c r="D85" s="233">
        <v>8.1999999999999993</v>
      </c>
      <c r="E85" s="233">
        <v>11.6</v>
      </c>
      <c r="F85" s="235">
        <v>99</v>
      </c>
      <c r="G85" s="233">
        <v>8.1</v>
      </c>
      <c r="H85" s="233">
        <v>2.1</v>
      </c>
      <c r="J85" s="233">
        <v>1.7</v>
      </c>
      <c r="K85" s="235">
        <v>9.6999999999999993</v>
      </c>
      <c r="L85" s="235">
        <v>28</v>
      </c>
      <c r="M85" s="235">
        <v>1900</v>
      </c>
      <c r="N85" s="235">
        <v>16</v>
      </c>
      <c r="O85" s="235">
        <v>2600</v>
      </c>
      <c r="Q85">
        <v>2016</v>
      </c>
      <c r="R85">
        <v>4</v>
      </c>
      <c r="T85" s="226"/>
      <c r="U85" s="226"/>
      <c r="V85" s="226"/>
      <c r="W85" s="226"/>
      <c r="X85" s="226"/>
      <c r="Y85" s="226"/>
      <c r="Z85" s="226"/>
      <c r="AA85" s="233">
        <f t="shared" si="48"/>
        <v>10.332000000000001</v>
      </c>
      <c r="AB85" s="233">
        <f t="shared" si="49"/>
        <v>12.739174193481931</v>
      </c>
      <c r="AC85" s="233">
        <f t="shared" si="50"/>
        <v>7.9248258065180703</v>
      </c>
      <c r="AD85">
        <v>2.95</v>
      </c>
      <c r="AE85" s="233">
        <f t="shared" si="51"/>
        <v>7.9374301675977676</v>
      </c>
      <c r="AF85" s="233">
        <f t="shared" si="52"/>
        <v>8.0830597168027865</v>
      </c>
      <c r="AG85" s="233">
        <f t="shared" si="53"/>
        <v>7.7918006183927488</v>
      </c>
      <c r="AH85">
        <v>6.5</v>
      </c>
      <c r="AI85" s="233">
        <f t="shared" si="54"/>
        <v>3.3601117318435763</v>
      </c>
      <c r="AJ85" s="233">
        <f t="shared" si="55"/>
        <v>6.3851512410714601</v>
      </c>
      <c r="AK85" s="233">
        <f t="shared" si="56"/>
        <v>0.33507222261569281</v>
      </c>
      <c r="AL85">
        <v>7</v>
      </c>
      <c r="AM85" s="233">
        <f t="shared" si="57"/>
        <v>48.104347826086951</v>
      </c>
      <c r="AN85" s="233">
        <f t="shared" si="58"/>
        <v>52.277593646348265</v>
      </c>
      <c r="AO85" s="233">
        <f t="shared" si="59"/>
        <v>43.931102005825636</v>
      </c>
      <c r="AP85" s="233">
        <f t="shared" si="60"/>
        <v>2.0655865921787711</v>
      </c>
      <c r="AQ85" s="233">
        <f t="shared" si="61"/>
        <v>3.1665882132978602</v>
      </c>
      <c r="AR85" s="233">
        <f t="shared" si="62"/>
        <v>0.96458497105968211</v>
      </c>
      <c r="AS85" s="235">
        <f t="shared" si="63"/>
        <v>33.105027932960894</v>
      </c>
      <c r="AT85" s="235">
        <f t="shared" si="64"/>
        <v>50.535961542150602</v>
      </c>
      <c r="AU85" s="235">
        <f t="shared" si="65"/>
        <v>15.67409432377119</v>
      </c>
      <c r="AV85">
        <v>100</v>
      </c>
      <c r="AW85" s="235">
        <f t="shared" si="66"/>
        <v>62.766666666666666</v>
      </c>
      <c r="AX85" s="235">
        <f t="shared" si="67"/>
        <v>80.98511149172171</v>
      </c>
      <c r="AY85" s="235">
        <f t="shared" si="68"/>
        <v>44.548221841611614</v>
      </c>
      <c r="AZ85" s="235">
        <f t="shared" si="69"/>
        <v>2941.6666666666665</v>
      </c>
      <c r="BA85" s="235">
        <f t="shared" si="70"/>
        <v>4966.9775952753826</v>
      </c>
      <c r="BB85" s="235">
        <f t="shared" si="71"/>
        <v>916.35573805795048</v>
      </c>
      <c r="BC85" s="235">
        <f t="shared" si="72"/>
        <v>53.18888888888889</v>
      </c>
      <c r="BD85" s="235">
        <f t="shared" si="73"/>
        <v>112.67052202318322</v>
      </c>
      <c r="BE85" s="235">
        <f t="shared" si="74"/>
        <v>-6.2927442454054372</v>
      </c>
      <c r="BF85" s="235">
        <f t="shared" si="75"/>
        <v>3577.2222222222222</v>
      </c>
      <c r="BG85" s="235">
        <f t="shared" si="76"/>
        <v>5636.1265941907786</v>
      </c>
      <c r="BH85" s="235">
        <f t="shared" si="77"/>
        <v>1518.3178502536657</v>
      </c>
      <c r="BI85">
        <v>5000</v>
      </c>
      <c r="BJ85" s="235">
        <f t="shared" si="78"/>
        <v>0</v>
      </c>
      <c r="BK85" s="235">
        <f t="shared" si="79"/>
        <v>0</v>
      </c>
      <c r="BL85" s="235">
        <f t="shared" si="80"/>
        <v>0</v>
      </c>
      <c r="BO85" s="235">
        <f t="shared" si="81"/>
        <v>42472</v>
      </c>
      <c r="CD85" s="533">
        <f t="shared" si="82"/>
        <v>8.1999999999999993</v>
      </c>
      <c r="CE85" s="102">
        <f t="shared" si="83"/>
        <v>11.6</v>
      </c>
      <c r="CF85" s="102">
        <f t="shared" si="84"/>
        <v>99</v>
      </c>
      <c r="CG85" s="102">
        <f t="shared" si="85"/>
        <v>8.1</v>
      </c>
      <c r="CH85" s="102">
        <f t="shared" si="86"/>
        <v>2.1</v>
      </c>
      <c r="CI85" s="102" t="str">
        <f t="shared" si="87"/>
        <v/>
      </c>
      <c r="CJ85" s="102">
        <f t="shared" si="88"/>
        <v>1.7</v>
      </c>
      <c r="CK85" s="102">
        <f t="shared" si="89"/>
        <v>9.6999999999999993</v>
      </c>
      <c r="CL85" s="102">
        <f t="shared" si="90"/>
        <v>28</v>
      </c>
      <c r="CM85" s="102">
        <f t="shared" si="91"/>
        <v>1900</v>
      </c>
      <c r="CN85" s="102">
        <f t="shared" si="92"/>
        <v>16</v>
      </c>
      <c r="CO85" s="102">
        <f t="shared" si="93"/>
        <v>2600</v>
      </c>
      <c r="CP85" s="102" t="str">
        <f t="shared" si="94"/>
        <v/>
      </c>
    </row>
    <row r="86" spans="2:94">
      <c r="B86" t="s">
        <v>252</v>
      </c>
      <c r="C86" s="231">
        <v>42507</v>
      </c>
      <c r="D86" s="233">
        <v>13.6</v>
      </c>
      <c r="E86" s="233">
        <v>9.8000000000000007</v>
      </c>
      <c r="F86" s="235">
        <v>95</v>
      </c>
      <c r="G86" s="233">
        <v>8.1</v>
      </c>
      <c r="H86" s="233">
        <v>2.4</v>
      </c>
      <c r="J86" s="233">
        <v>1.9</v>
      </c>
      <c r="K86" s="235">
        <v>9.5</v>
      </c>
      <c r="L86" s="235">
        <v>41</v>
      </c>
      <c r="M86" s="235">
        <v>1900</v>
      </c>
      <c r="N86" s="235">
        <v>22</v>
      </c>
      <c r="O86" s="235">
        <v>2500</v>
      </c>
      <c r="Q86">
        <v>2016</v>
      </c>
      <c r="R86">
        <v>5</v>
      </c>
      <c r="T86" s="226"/>
      <c r="U86" s="226"/>
      <c r="V86" s="226"/>
      <c r="W86" s="226"/>
      <c r="X86" s="226"/>
      <c r="Y86" s="226"/>
      <c r="Z86" s="226"/>
      <c r="AA86" s="233">
        <f t="shared" si="48"/>
        <v>10.332000000000001</v>
      </c>
      <c r="AB86" s="233">
        <f t="shared" si="49"/>
        <v>12.739174193481931</v>
      </c>
      <c r="AC86" s="233">
        <f t="shared" si="50"/>
        <v>7.9248258065180703</v>
      </c>
      <c r="AD86">
        <v>2.95</v>
      </c>
      <c r="AE86" s="233">
        <f t="shared" si="51"/>
        <v>7.9374301675977676</v>
      </c>
      <c r="AF86" s="233">
        <f t="shared" si="52"/>
        <v>8.0830597168027865</v>
      </c>
      <c r="AG86" s="233">
        <f t="shared" si="53"/>
        <v>7.7918006183927488</v>
      </c>
      <c r="AH86">
        <v>6.5</v>
      </c>
      <c r="AI86" s="233">
        <f t="shared" si="54"/>
        <v>3.3601117318435763</v>
      </c>
      <c r="AJ86" s="233">
        <f t="shared" si="55"/>
        <v>6.3851512410714601</v>
      </c>
      <c r="AK86" s="233">
        <f t="shared" si="56"/>
        <v>0.33507222261569281</v>
      </c>
      <c r="AL86">
        <v>7</v>
      </c>
      <c r="AM86" s="233">
        <f t="shared" si="57"/>
        <v>48.104347826086951</v>
      </c>
      <c r="AN86" s="233">
        <f t="shared" si="58"/>
        <v>52.277593646348265</v>
      </c>
      <c r="AO86" s="233">
        <f t="shared" si="59"/>
        <v>43.931102005825636</v>
      </c>
      <c r="AP86" s="233">
        <f t="shared" si="60"/>
        <v>2.0655865921787711</v>
      </c>
      <c r="AQ86" s="233">
        <f t="shared" si="61"/>
        <v>3.1665882132978602</v>
      </c>
      <c r="AR86" s="233">
        <f t="shared" si="62"/>
        <v>0.96458497105968211</v>
      </c>
      <c r="AS86" s="235">
        <f t="shared" si="63"/>
        <v>33.105027932960894</v>
      </c>
      <c r="AT86" s="235">
        <f t="shared" si="64"/>
        <v>50.535961542150602</v>
      </c>
      <c r="AU86" s="235">
        <f t="shared" si="65"/>
        <v>15.67409432377119</v>
      </c>
      <c r="AV86">
        <v>100</v>
      </c>
      <c r="AW86" s="235">
        <f t="shared" si="66"/>
        <v>62.766666666666666</v>
      </c>
      <c r="AX86" s="235">
        <f t="shared" si="67"/>
        <v>80.98511149172171</v>
      </c>
      <c r="AY86" s="235">
        <f t="shared" si="68"/>
        <v>44.548221841611614</v>
      </c>
      <c r="AZ86" s="235">
        <f t="shared" si="69"/>
        <v>2941.6666666666665</v>
      </c>
      <c r="BA86" s="235">
        <f t="shared" si="70"/>
        <v>4966.9775952753826</v>
      </c>
      <c r="BB86" s="235">
        <f t="shared" si="71"/>
        <v>916.35573805795048</v>
      </c>
      <c r="BC86" s="235">
        <f t="shared" si="72"/>
        <v>53.18888888888889</v>
      </c>
      <c r="BD86" s="235">
        <f t="shared" si="73"/>
        <v>112.67052202318322</v>
      </c>
      <c r="BE86" s="235">
        <f t="shared" si="74"/>
        <v>-6.2927442454054372</v>
      </c>
      <c r="BF86" s="235">
        <f t="shared" si="75"/>
        <v>3577.2222222222222</v>
      </c>
      <c r="BG86" s="235">
        <f t="shared" si="76"/>
        <v>5636.1265941907786</v>
      </c>
      <c r="BH86" s="235">
        <f t="shared" si="77"/>
        <v>1518.3178502536657</v>
      </c>
      <c r="BI86">
        <v>5000</v>
      </c>
      <c r="BJ86" s="235">
        <f t="shared" si="78"/>
        <v>0</v>
      </c>
      <c r="BK86" s="235">
        <f t="shared" si="79"/>
        <v>0</v>
      </c>
      <c r="BL86" s="235">
        <f t="shared" si="80"/>
        <v>0</v>
      </c>
      <c r="BO86" s="235">
        <f t="shared" si="81"/>
        <v>42507</v>
      </c>
      <c r="CD86" s="533">
        <f t="shared" si="82"/>
        <v>13.6</v>
      </c>
      <c r="CE86" s="102">
        <f t="shared" si="83"/>
        <v>9.8000000000000007</v>
      </c>
      <c r="CF86" s="102">
        <f t="shared" si="84"/>
        <v>95</v>
      </c>
      <c r="CG86" s="102">
        <f t="shared" si="85"/>
        <v>8.1</v>
      </c>
      <c r="CH86" s="102">
        <f t="shared" si="86"/>
        <v>2.4</v>
      </c>
      <c r="CI86" s="102" t="str">
        <f t="shared" si="87"/>
        <v/>
      </c>
      <c r="CJ86" s="102">
        <f t="shared" si="88"/>
        <v>1.9</v>
      </c>
      <c r="CK86" s="102">
        <f t="shared" si="89"/>
        <v>9.5</v>
      </c>
      <c r="CL86" s="102">
        <f t="shared" si="90"/>
        <v>41</v>
      </c>
      <c r="CM86" s="102">
        <f t="shared" si="91"/>
        <v>1900</v>
      </c>
      <c r="CN86" s="102">
        <f t="shared" si="92"/>
        <v>22</v>
      </c>
      <c r="CO86" s="102">
        <f t="shared" si="93"/>
        <v>2500</v>
      </c>
      <c r="CP86" s="102" t="str">
        <f t="shared" si="94"/>
        <v/>
      </c>
    </row>
    <row r="87" spans="2:94">
      <c r="B87" t="s">
        <v>252</v>
      </c>
      <c r="C87" s="231">
        <v>42536</v>
      </c>
      <c r="D87" s="233">
        <v>17.100000000000001</v>
      </c>
      <c r="E87" s="233">
        <v>8.4</v>
      </c>
      <c r="F87" s="235">
        <v>84</v>
      </c>
      <c r="G87" s="233">
        <v>8</v>
      </c>
      <c r="H87" s="233">
        <v>1.4</v>
      </c>
      <c r="J87" s="233">
        <v>1</v>
      </c>
      <c r="K87" s="235">
        <v>36</v>
      </c>
      <c r="L87" s="235">
        <v>54</v>
      </c>
      <c r="M87" s="235">
        <v>1400</v>
      </c>
      <c r="N87" s="235">
        <v>46</v>
      </c>
      <c r="O87" s="235">
        <v>2000</v>
      </c>
      <c r="Q87">
        <v>2016</v>
      </c>
      <c r="R87">
        <v>6</v>
      </c>
      <c r="T87" s="226"/>
      <c r="U87" s="226"/>
      <c r="V87" s="226"/>
      <c r="W87" s="226"/>
      <c r="X87" s="226"/>
      <c r="Y87" s="226"/>
      <c r="Z87" s="226"/>
      <c r="AA87" s="233">
        <f t="shared" si="48"/>
        <v>10.332000000000001</v>
      </c>
      <c r="AB87" s="233">
        <f t="shared" si="49"/>
        <v>12.739174193481931</v>
      </c>
      <c r="AC87" s="233">
        <f t="shared" si="50"/>
        <v>7.9248258065180703</v>
      </c>
      <c r="AD87">
        <v>2.95</v>
      </c>
      <c r="AE87" s="233">
        <f t="shared" si="51"/>
        <v>7.9374301675977676</v>
      </c>
      <c r="AF87" s="233">
        <f t="shared" si="52"/>
        <v>8.0830597168027865</v>
      </c>
      <c r="AG87" s="233">
        <f t="shared" si="53"/>
        <v>7.7918006183927488</v>
      </c>
      <c r="AH87">
        <v>6.5</v>
      </c>
      <c r="AI87" s="233">
        <f t="shared" si="54"/>
        <v>3.3601117318435763</v>
      </c>
      <c r="AJ87" s="233">
        <f t="shared" si="55"/>
        <v>6.3851512410714601</v>
      </c>
      <c r="AK87" s="233">
        <f t="shared" si="56"/>
        <v>0.33507222261569281</v>
      </c>
      <c r="AL87">
        <v>7</v>
      </c>
      <c r="AM87" s="233">
        <f t="shared" si="57"/>
        <v>48.104347826086951</v>
      </c>
      <c r="AN87" s="233">
        <f t="shared" si="58"/>
        <v>52.277593646348265</v>
      </c>
      <c r="AO87" s="233">
        <f t="shared" si="59"/>
        <v>43.931102005825636</v>
      </c>
      <c r="AP87" s="233">
        <f t="shared" si="60"/>
        <v>2.0655865921787711</v>
      </c>
      <c r="AQ87" s="233">
        <f t="shared" si="61"/>
        <v>3.1665882132978602</v>
      </c>
      <c r="AR87" s="233">
        <f t="shared" si="62"/>
        <v>0.96458497105968211</v>
      </c>
      <c r="AS87" s="235">
        <f t="shared" si="63"/>
        <v>33.105027932960894</v>
      </c>
      <c r="AT87" s="235">
        <f t="shared" si="64"/>
        <v>50.535961542150602</v>
      </c>
      <c r="AU87" s="235">
        <f t="shared" si="65"/>
        <v>15.67409432377119</v>
      </c>
      <c r="AV87">
        <v>100</v>
      </c>
      <c r="AW87" s="235">
        <f t="shared" si="66"/>
        <v>62.766666666666666</v>
      </c>
      <c r="AX87" s="235">
        <f t="shared" si="67"/>
        <v>80.98511149172171</v>
      </c>
      <c r="AY87" s="235">
        <f t="shared" si="68"/>
        <v>44.548221841611614</v>
      </c>
      <c r="AZ87" s="235">
        <f t="shared" si="69"/>
        <v>2941.6666666666665</v>
      </c>
      <c r="BA87" s="235">
        <f t="shared" si="70"/>
        <v>4966.9775952753826</v>
      </c>
      <c r="BB87" s="235">
        <f t="shared" si="71"/>
        <v>916.35573805795048</v>
      </c>
      <c r="BC87" s="235">
        <f t="shared" si="72"/>
        <v>53.18888888888889</v>
      </c>
      <c r="BD87" s="235">
        <f t="shared" si="73"/>
        <v>112.67052202318322</v>
      </c>
      <c r="BE87" s="235">
        <f t="shared" si="74"/>
        <v>-6.2927442454054372</v>
      </c>
      <c r="BF87" s="235">
        <f t="shared" si="75"/>
        <v>3577.2222222222222</v>
      </c>
      <c r="BG87" s="235">
        <f t="shared" si="76"/>
        <v>5636.1265941907786</v>
      </c>
      <c r="BH87" s="235">
        <f t="shared" si="77"/>
        <v>1518.3178502536657</v>
      </c>
      <c r="BI87">
        <v>5000</v>
      </c>
      <c r="BJ87" s="235">
        <f t="shared" si="78"/>
        <v>0</v>
      </c>
      <c r="BK87" s="235">
        <f t="shared" si="79"/>
        <v>0</v>
      </c>
      <c r="BL87" s="235">
        <f t="shared" si="80"/>
        <v>0</v>
      </c>
      <c r="BO87" s="235">
        <f t="shared" si="81"/>
        <v>42536</v>
      </c>
      <c r="CD87" s="533">
        <f t="shared" si="82"/>
        <v>17.100000000000001</v>
      </c>
      <c r="CE87" s="102">
        <f t="shared" si="83"/>
        <v>8.4</v>
      </c>
      <c r="CF87" s="102">
        <f t="shared" si="84"/>
        <v>84</v>
      </c>
      <c r="CG87" s="102">
        <f t="shared" si="85"/>
        <v>8</v>
      </c>
      <c r="CH87" s="102">
        <f t="shared" si="86"/>
        <v>1.4</v>
      </c>
      <c r="CI87" s="102" t="str">
        <f t="shared" si="87"/>
        <v/>
      </c>
      <c r="CJ87" s="102">
        <f t="shared" si="88"/>
        <v>1</v>
      </c>
      <c r="CK87" s="102">
        <f t="shared" si="89"/>
        <v>36</v>
      </c>
      <c r="CL87" s="102">
        <f t="shared" si="90"/>
        <v>54</v>
      </c>
      <c r="CM87" s="102">
        <f t="shared" si="91"/>
        <v>1400</v>
      </c>
      <c r="CN87" s="102">
        <f t="shared" si="92"/>
        <v>46</v>
      </c>
      <c r="CO87" s="102">
        <f t="shared" si="93"/>
        <v>2000</v>
      </c>
      <c r="CP87" s="102" t="str">
        <f t="shared" si="94"/>
        <v/>
      </c>
    </row>
    <row r="88" spans="2:94">
      <c r="B88" t="s">
        <v>252</v>
      </c>
      <c r="C88" s="231">
        <v>42563</v>
      </c>
      <c r="D88" s="233">
        <v>18.5</v>
      </c>
      <c r="E88" s="233">
        <v>7.8</v>
      </c>
      <c r="F88" s="235">
        <v>84</v>
      </c>
      <c r="G88" s="233">
        <v>7.8</v>
      </c>
      <c r="H88" s="233">
        <v>6.7</v>
      </c>
      <c r="J88" s="233">
        <v>1.3</v>
      </c>
      <c r="K88" s="235">
        <v>68</v>
      </c>
      <c r="L88" s="235">
        <v>110</v>
      </c>
      <c r="M88" s="235">
        <v>3200</v>
      </c>
      <c r="N88" s="235">
        <v>32</v>
      </c>
      <c r="O88" s="235">
        <v>3600</v>
      </c>
      <c r="Q88">
        <v>2016</v>
      </c>
      <c r="R88">
        <v>7</v>
      </c>
      <c r="T88" s="226"/>
      <c r="U88" s="226"/>
      <c r="V88" s="226"/>
      <c r="W88" s="226"/>
      <c r="X88" s="226"/>
      <c r="Y88" s="226"/>
      <c r="Z88" s="226"/>
      <c r="AA88" s="233">
        <f t="shared" si="48"/>
        <v>10.332000000000001</v>
      </c>
      <c r="AB88" s="233">
        <f t="shared" si="49"/>
        <v>12.739174193481931</v>
      </c>
      <c r="AC88" s="233">
        <f t="shared" si="50"/>
        <v>7.9248258065180703</v>
      </c>
      <c r="AD88">
        <v>2.95</v>
      </c>
      <c r="AE88" s="233">
        <f t="shared" si="51"/>
        <v>7.9374301675977676</v>
      </c>
      <c r="AF88" s="233">
        <f t="shared" si="52"/>
        <v>8.0830597168027865</v>
      </c>
      <c r="AG88" s="233">
        <f t="shared" si="53"/>
        <v>7.7918006183927488</v>
      </c>
      <c r="AH88">
        <v>6.5</v>
      </c>
      <c r="AI88" s="233">
        <f t="shared" si="54"/>
        <v>3.3601117318435763</v>
      </c>
      <c r="AJ88" s="233">
        <f t="shared" si="55"/>
        <v>6.3851512410714601</v>
      </c>
      <c r="AK88" s="233">
        <f t="shared" si="56"/>
        <v>0.33507222261569281</v>
      </c>
      <c r="AL88">
        <v>7</v>
      </c>
      <c r="AM88" s="233">
        <f t="shared" si="57"/>
        <v>48.104347826086951</v>
      </c>
      <c r="AN88" s="233">
        <f t="shared" si="58"/>
        <v>52.277593646348265</v>
      </c>
      <c r="AO88" s="233">
        <f t="shared" si="59"/>
        <v>43.931102005825636</v>
      </c>
      <c r="AP88" s="233">
        <f t="shared" si="60"/>
        <v>2.0655865921787711</v>
      </c>
      <c r="AQ88" s="233">
        <f t="shared" si="61"/>
        <v>3.1665882132978602</v>
      </c>
      <c r="AR88" s="233">
        <f t="shared" si="62"/>
        <v>0.96458497105968211</v>
      </c>
      <c r="AS88" s="235">
        <f t="shared" si="63"/>
        <v>33.105027932960894</v>
      </c>
      <c r="AT88" s="235">
        <f t="shared" si="64"/>
        <v>50.535961542150602</v>
      </c>
      <c r="AU88" s="235">
        <f t="shared" si="65"/>
        <v>15.67409432377119</v>
      </c>
      <c r="AV88">
        <v>100</v>
      </c>
      <c r="AW88" s="235">
        <f t="shared" si="66"/>
        <v>62.766666666666666</v>
      </c>
      <c r="AX88" s="235">
        <f t="shared" si="67"/>
        <v>80.98511149172171</v>
      </c>
      <c r="AY88" s="235">
        <f t="shared" si="68"/>
        <v>44.548221841611614</v>
      </c>
      <c r="AZ88" s="235">
        <f t="shared" si="69"/>
        <v>2941.6666666666665</v>
      </c>
      <c r="BA88" s="235">
        <f t="shared" si="70"/>
        <v>4966.9775952753826</v>
      </c>
      <c r="BB88" s="235">
        <f t="shared" si="71"/>
        <v>916.35573805795048</v>
      </c>
      <c r="BC88" s="235">
        <f t="shared" si="72"/>
        <v>53.18888888888889</v>
      </c>
      <c r="BD88" s="235">
        <f t="shared" si="73"/>
        <v>112.67052202318322</v>
      </c>
      <c r="BE88" s="235">
        <f t="shared" si="74"/>
        <v>-6.2927442454054372</v>
      </c>
      <c r="BF88" s="235">
        <f t="shared" si="75"/>
        <v>3577.2222222222222</v>
      </c>
      <c r="BG88" s="235">
        <f t="shared" si="76"/>
        <v>5636.1265941907786</v>
      </c>
      <c r="BH88" s="235">
        <f t="shared" si="77"/>
        <v>1518.3178502536657</v>
      </c>
      <c r="BI88">
        <v>5000</v>
      </c>
      <c r="BJ88" s="235">
        <f t="shared" si="78"/>
        <v>0</v>
      </c>
      <c r="BK88" s="235">
        <f t="shared" si="79"/>
        <v>0</v>
      </c>
      <c r="BL88" s="235">
        <f t="shared" si="80"/>
        <v>0</v>
      </c>
      <c r="BO88" s="235">
        <f t="shared" si="81"/>
        <v>42563</v>
      </c>
      <c r="CD88" s="533">
        <f t="shared" si="82"/>
        <v>18.5</v>
      </c>
      <c r="CE88" s="102">
        <f t="shared" si="83"/>
        <v>7.8</v>
      </c>
      <c r="CF88" s="102">
        <f t="shared" si="84"/>
        <v>84</v>
      </c>
      <c r="CG88" s="102">
        <f t="shared" si="85"/>
        <v>7.8</v>
      </c>
      <c r="CH88" s="102">
        <f t="shared" si="86"/>
        <v>6.7</v>
      </c>
      <c r="CI88" s="102" t="str">
        <f t="shared" si="87"/>
        <v/>
      </c>
      <c r="CJ88" s="102">
        <f t="shared" si="88"/>
        <v>1.3</v>
      </c>
      <c r="CK88" s="102">
        <f t="shared" si="89"/>
        <v>68</v>
      </c>
      <c r="CL88" s="102">
        <f t="shared" si="90"/>
        <v>110</v>
      </c>
      <c r="CM88" s="102">
        <f t="shared" si="91"/>
        <v>3200</v>
      </c>
      <c r="CN88" s="102">
        <f t="shared" si="92"/>
        <v>32</v>
      </c>
      <c r="CO88" s="102">
        <f t="shared" si="93"/>
        <v>3600</v>
      </c>
      <c r="CP88" s="102" t="str">
        <f t="shared" si="94"/>
        <v/>
      </c>
    </row>
    <row r="89" spans="2:94">
      <c r="B89" t="s">
        <v>252</v>
      </c>
      <c r="C89" s="231">
        <v>42592</v>
      </c>
      <c r="D89" s="233">
        <v>17.8</v>
      </c>
      <c r="E89" s="233">
        <v>8.5</v>
      </c>
      <c r="F89" s="235">
        <v>89</v>
      </c>
      <c r="G89" s="233">
        <v>8</v>
      </c>
      <c r="H89" s="233">
        <v>0.75</v>
      </c>
      <c r="J89" s="233" t="s">
        <v>287</v>
      </c>
      <c r="K89" s="235">
        <v>29</v>
      </c>
      <c r="L89" s="235">
        <v>48</v>
      </c>
      <c r="M89" s="235">
        <v>850</v>
      </c>
      <c r="N89" s="235">
        <v>17</v>
      </c>
      <c r="O89" s="235">
        <v>1400</v>
      </c>
      <c r="Q89">
        <v>2016</v>
      </c>
      <c r="R89">
        <v>8</v>
      </c>
      <c r="T89" s="226"/>
      <c r="U89" s="226"/>
      <c r="V89" s="226"/>
      <c r="W89" s="226"/>
      <c r="X89" s="226"/>
      <c r="Y89" s="226"/>
      <c r="Z89" s="226"/>
      <c r="AA89" s="233">
        <f t="shared" si="48"/>
        <v>10.332000000000001</v>
      </c>
      <c r="AB89" s="233">
        <f t="shared" si="49"/>
        <v>12.739174193481931</v>
      </c>
      <c r="AC89" s="233">
        <f t="shared" si="50"/>
        <v>7.9248258065180703</v>
      </c>
      <c r="AD89">
        <v>2.95</v>
      </c>
      <c r="AE89" s="233">
        <f t="shared" si="51"/>
        <v>7.9374301675977676</v>
      </c>
      <c r="AF89" s="233">
        <f t="shared" si="52"/>
        <v>8.0830597168027865</v>
      </c>
      <c r="AG89" s="233">
        <f t="shared" si="53"/>
        <v>7.7918006183927488</v>
      </c>
      <c r="AH89">
        <v>6.5</v>
      </c>
      <c r="AI89" s="233">
        <f t="shared" si="54"/>
        <v>3.3601117318435763</v>
      </c>
      <c r="AJ89" s="233">
        <f t="shared" si="55"/>
        <v>6.3851512410714601</v>
      </c>
      <c r="AK89" s="233">
        <f t="shared" si="56"/>
        <v>0.33507222261569281</v>
      </c>
      <c r="AL89">
        <v>7</v>
      </c>
      <c r="AM89" s="233">
        <f t="shared" si="57"/>
        <v>48.104347826086951</v>
      </c>
      <c r="AN89" s="233">
        <f t="shared" si="58"/>
        <v>52.277593646348265</v>
      </c>
      <c r="AO89" s="233">
        <f t="shared" si="59"/>
        <v>43.931102005825636</v>
      </c>
      <c r="AP89" s="233">
        <f t="shared" si="60"/>
        <v>2.0655865921787711</v>
      </c>
      <c r="AQ89" s="233">
        <f t="shared" si="61"/>
        <v>3.1665882132978602</v>
      </c>
      <c r="AR89" s="233">
        <f t="shared" si="62"/>
        <v>0.96458497105968211</v>
      </c>
      <c r="AS89" s="235">
        <f t="shared" si="63"/>
        <v>33.105027932960894</v>
      </c>
      <c r="AT89" s="235">
        <f t="shared" si="64"/>
        <v>50.535961542150602</v>
      </c>
      <c r="AU89" s="235">
        <f t="shared" si="65"/>
        <v>15.67409432377119</v>
      </c>
      <c r="AV89">
        <v>100</v>
      </c>
      <c r="AW89" s="235">
        <f t="shared" si="66"/>
        <v>62.766666666666666</v>
      </c>
      <c r="AX89" s="235">
        <f t="shared" si="67"/>
        <v>80.98511149172171</v>
      </c>
      <c r="AY89" s="235">
        <f t="shared" si="68"/>
        <v>44.548221841611614</v>
      </c>
      <c r="AZ89" s="235">
        <f t="shared" si="69"/>
        <v>2941.6666666666665</v>
      </c>
      <c r="BA89" s="235">
        <f t="shared" si="70"/>
        <v>4966.9775952753826</v>
      </c>
      <c r="BB89" s="235">
        <f t="shared" si="71"/>
        <v>916.35573805795048</v>
      </c>
      <c r="BC89" s="235">
        <f t="shared" si="72"/>
        <v>53.18888888888889</v>
      </c>
      <c r="BD89" s="235">
        <f t="shared" si="73"/>
        <v>112.67052202318322</v>
      </c>
      <c r="BE89" s="235">
        <f t="shared" si="74"/>
        <v>-6.2927442454054372</v>
      </c>
      <c r="BF89" s="235">
        <f t="shared" si="75"/>
        <v>3577.2222222222222</v>
      </c>
      <c r="BG89" s="235">
        <f t="shared" si="76"/>
        <v>5636.1265941907786</v>
      </c>
      <c r="BH89" s="235">
        <f t="shared" si="77"/>
        <v>1518.3178502536657</v>
      </c>
      <c r="BI89">
        <v>5000</v>
      </c>
      <c r="BJ89" s="235">
        <f t="shared" si="78"/>
        <v>0</v>
      </c>
      <c r="BK89" s="235">
        <f t="shared" si="79"/>
        <v>0</v>
      </c>
      <c r="BL89" s="235">
        <f t="shared" si="80"/>
        <v>0</v>
      </c>
      <c r="BO89" s="235">
        <f t="shared" si="81"/>
        <v>42592</v>
      </c>
      <c r="CD89" s="533">
        <f t="shared" si="82"/>
        <v>17.8</v>
      </c>
      <c r="CE89" s="102">
        <f t="shared" si="83"/>
        <v>8.5</v>
      </c>
      <c r="CF89" s="102">
        <f t="shared" si="84"/>
        <v>89</v>
      </c>
      <c r="CG89" s="102">
        <f t="shared" si="85"/>
        <v>8</v>
      </c>
      <c r="CH89" s="102">
        <f t="shared" si="86"/>
        <v>0.75</v>
      </c>
      <c r="CI89" s="102" t="str">
        <f t="shared" si="87"/>
        <v/>
      </c>
      <c r="CJ89" s="102">
        <f t="shared" si="88"/>
        <v>0.5</v>
      </c>
      <c r="CK89" s="102">
        <f t="shared" si="89"/>
        <v>29</v>
      </c>
      <c r="CL89" s="102">
        <f t="shared" si="90"/>
        <v>48</v>
      </c>
      <c r="CM89" s="102">
        <f t="shared" si="91"/>
        <v>850</v>
      </c>
      <c r="CN89" s="102">
        <f t="shared" si="92"/>
        <v>17</v>
      </c>
      <c r="CO89" s="102">
        <f t="shared" si="93"/>
        <v>1400</v>
      </c>
      <c r="CP89" s="102" t="str">
        <f t="shared" si="94"/>
        <v/>
      </c>
    </row>
    <row r="90" spans="2:94">
      <c r="B90" t="s">
        <v>252</v>
      </c>
      <c r="C90" s="231">
        <v>42625</v>
      </c>
      <c r="D90" s="233">
        <v>17.600000000000001</v>
      </c>
      <c r="E90" s="233">
        <v>7.9</v>
      </c>
      <c r="F90" s="235">
        <v>82</v>
      </c>
      <c r="G90" s="233">
        <v>7.9</v>
      </c>
      <c r="H90" s="233">
        <v>1.6</v>
      </c>
      <c r="J90" s="233">
        <v>0.77</v>
      </c>
      <c r="K90" s="235">
        <v>24</v>
      </c>
      <c r="L90" s="235">
        <v>79</v>
      </c>
      <c r="M90" s="235">
        <v>1000</v>
      </c>
      <c r="N90" s="235">
        <v>23</v>
      </c>
      <c r="O90" s="235">
        <v>1400</v>
      </c>
      <c r="Q90">
        <v>2016</v>
      </c>
      <c r="R90">
        <v>9</v>
      </c>
      <c r="T90" s="226"/>
      <c r="U90" s="226"/>
      <c r="V90" s="226"/>
      <c r="W90" s="226"/>
      <c r="X90" s="226"/>
      <c r="Y90" s="226"/>
      <c r="Z90" s="226"/>
      <c r="AA90" s="233">
        <f t="shared" si="48"/>
        <v>10.332000000000001</v>
      </c>
      <c r="AB90" s="233">
        <f t="shared" si="49"/>
        <v>12.739174193481931</v>
      </c>
      <c r="AC90" s="233">
        <f t="shared" si="50"/>
        <v>7.9248258065180703</v>
      </c>
      <c r="AD90">
        <v>2.95</v>
      </c>
      <c r="AE90" s="233">
        <f t="shared" si="51"/>
        <v>7.9374301675977676</v>
      </c>
      <c r="AF90" s="233">
        <f t="shared" si="52"/>
        <v>8.0830597168027865</v>
      </c>
      <c r="AG90" s="233">
        <f t="shared" si="53"/>
        <v>7.7918006183927488</v>
      </c>
      <c r="AH90">
        <v>6.5</v>
      </c>
      <c r="AI90" s="233">
        <f t="shared" si="54"/>
        <v>3.3601117318435763</v>
      </c>
      <c r="AJ90" s="233">
        <f t="shared" si="55"/>
        <v>6.3851512410714601</v>
      </c>
      <c r="AK90" s="233">
        <f t="shared" si="56"/>
        <v>0.33507222261569281</v>
      </c>
      <c r="AL90">
        <v>7</v>
      </c>
      <c r="AM90" s="233">
        <f t="shared" si="57"/>
        <v>48.104347826086951</v>
      </c>
      <c r="AN90" s="233">
        <f t="shared" si="58"/>
        <v>52.277593646348265</v>
      </c>
      <c r="AO90" s="233">
        <f t="shared" si="59"/>
        <v>43.931102005825636</v>
      </c>
      <c r="AP90" s="233">
        <f t="shared" si="60"/>
        <v>2.0655865921787711</v>
      </c>
      <c r="AQ90" s="233">
        <f t="shared" si="61"/>
        <v>3.1665882132978602</v>
      </c>
      <c r="AR90" s="233">
        <f t="shared" si="62"/>
        <v>0.96458497105968211</v>
      </c>
      <c r="AS90" s="235">
        <f t="shared" si="63"/>
        <v>33.105027932960894</v>
      </c>
      <c r="AT90" s="235">
        <f t="shared" si="64"/>
        <v>50.535961542150602</v>
      </c>
      <c r="AU90" s="235">
        <f t="shared" si="65"/>
        <v>15.67409432377119</v>
      </c>
      <c r="AV90">
        <v>100</v>
      </c>
      <c r="AW90" s="235">
        <f t="shared" si="66"/>
        <v>62.766666666666666</v>
      </c>
      <c r="AX90" s="235">
        <f t="shared" si="67"/>
        <v>80.98511149172171</v>
      </c>
      <c r="AY90" s="235">
        <f t="shared" si="68"/>
        <v>44.548221841611614</v>
      </c>
      <c r="AZ90" s="235">
        <f t="shared" si="69"/>
        <v>2941.6666666666665</v>
      </c>
      <c r="BA90" s="235">
        <f t="shared" si="70"/>
        <v>4966.9775952753826</v>
      </c>
      <c r="BB90" s="235">
        <f t="shared" si="71"/>
        <v>916.35573805795048</v>
      </c>
      <c r="BC90" s="235">
        <f t="shared" si="72"/>
        <v>53.18888888888889</v>
      </c>
      <c r="BD90" s="235">
        <f t="shared" si="73"/>
        <v>112.67052202318322</v>
      </c>
      <c r="BE90" s="235">
        <f t="shared" si="74"/>
        <v>-6.2927442454054372</v>
      </c>
      <c r="BF90" s="235">
        <f t="shared" si="75"/>
        <v>3577.2222222222222</v>
      </c>
      <c r="BG90" s="235">
        <f t="shared" si="76"/>
        <v>5636.1265941907786</v>
      </c>
      <c r="BH90" s="235">
        <f t="shared" si="77"/>
        <v>1518.3178502536657</v>
      </c>
      <c r="BI90">
        <v>5000</v>
      </c>
      <c r="BJ90" s="235">
        <f t="shared" si="78"/>
        <v>0</v>
      </c>
      <c r="BK90" s="235">
        <f t="shared" si="79"/>
        <v>0</v>
      </c>
      <c r="BL90" s="235">
        <f t="shared" si="80"/>
        <v>0</v>
      </c>
      <c r="BO90" s="235">
        <f t="shared" si="81"/>
        <v>42625</v>
      </c>
      <c r="CD90" s="533">
        <f t="shared" si="82"/>
        <v>17.600000000000001</v>
      </c>
      <c r="CE90" s="102">
        <f t="shared" si="83"/>
        <v>7.9</v>
      </c>
      <c r="CF90" s="102">
        <f t="shared" si="84"/>
        <v>82</v>
      </c>
      <c r="CG90" s="102">
        <f t="shared" si="85"/>
        <v>7.9</v>
      </c>
      <c r="CH90" s="102">
        <f t="shared" si="86"/>
        <v>1.6</v>
      </c>
      <c r="CI90" s="102" t="str">
        <f t="shared" si="87"/>
        <v/>
      </c>
      <c r="CJ90" s="102">
        <f t="shared" si="88"/>
        <v>0.77</v>
      </c>
      <c r="CK90" s="102">
        <f t="shared" si="89"/>
        <v>24</v>
      </c>
      <c r="CL90" s="102">
        <f t="shared" si="90"/>
        <v>79</v>
      </c>
      <c r="CM90" s="102">
        <f t="shared" si="91"/>
        <v>1000</v>
      </c>
      <c r="CN90" s="102">
        <f t="shared" si="92"/>
        <v>23</v>
      </c>
      <c r="CO90" s="102">
        <f t="shared" si="93"/>
        <v>1400</v>
      </c>
      <c r="CP90" s="102" t="str">
        <f t="shared" si="94"/>
        <v/>
      </c>
    </row>
    <row r="91" spans="2:94">
      <c r="B91" t="s">
        <v>252</v>
      </c>
      <c r="C91" s="231">
        <v>42661</v>
      </c>
      <c r="D91" s="233">
        <v>8.8000000000000007</v>
      </c>
      <c r="E91" s="233">
        <v>10.3</v>
      </c>
      <c r="F91" s="235">
        <v>88</v>
      </c>
      <c r="G91" s="233">
        <v>8</v>
      </c>
      <c r="H91" s="233">
        <v>1.2</v>
      </c>
      <c r="J91" s="233">
        <v>1.1000000000000001</v>
      </c>
      <c r="K91" s="235">
        <v>35</v>
      </c>
      <c r="L91" s="235">
        <v>65</v>
      </c>
      <c r="M91" s="235">
        <v>2700</v>
      </c>
      <c r="N91" s="235">
        <v>27</v>
      </c>
      <c r="O91" s="235">
        <v>3000</v>
      </c>
      <c r="Q91">
        <v>2016</v>
      </c>
      <c r="R91">
        <v>10</v>
      </c>
      <c r="T91" s="226"/>
      <c r="U91" s="226"/>
      <c r="V91" s="226"/>
      <c r="W91" s="226"/>
      <c r="X91" s="226"/>
      <c r="Y91" s="226"/>
      <c r="Z91" s="226"/>
      <c r="AA91" s="233">
        <f t="shared" si="48"/>
        <v>10.332000000000001</v>
      </c>
      <c r="AB91" s="233">
        <f t="shared" si="49"/>
        <v>12.739174193481931</v>
      </c>
      <c r="AC91" s="233">
        <f t="shared" si="50"/>
        <v>7.9248258065180703</v>
      </c>
      <c r="AD91">
        <v>2.95</v>
      </c>
      <c r="AE91" s="233">
        <f t="shared" si="51"/>
        <v>7.9374301675977676</v>
      </c>
      <c r="AF91" s="233">
        <f t="shared" si="52"/>
        <v>8.0830597168027865</v>
      </c>
      <c r="AG91" s="233">
        <f t="shared" si="53"/>
        <v>7.7918006183927488</v>
      </c>
      <c r="AH91">
        <v>6.5</v>
      </c>
      <c r="AI91" s="233">
        <f t="shared" si="54"/>
        <v>3.3601117318435763</v>
      </c>
      <c r="AJ91" s="233">
        <f t="shared" si="55"/>
        <v>6.3851512410714601</v>
      </c>
      <c r="AK91" s="233">
        <f t="shared" si="56"/>
        <v>0.33507222261569281</v>
      </c>
      <c r="AL91">
        <v>7</v>
      </c>
      <c r="AM91" s="233">
        <f t="shared" si="57"/>
        <v>48.104347826086951</v>
      </c>
      <c r="AN91" s="233">
        <f t="shared" si="58"/>
        <v>52.277593646348265</v>
      </c>
      <c r="AO91" s="233">
        <f t="shared" si="59"/>
        <v>43.931102005825636</v>
      </c>
      <c r="AP91" s="233">
        <f t="shared" si="60"/>
        <v>2.0655865921787711</v>
      </c>
      <c r="AQ91" s="233">
        <f t="shared" si="61"/>
        <v>3.1665882132978602</v>
      </c>
      <c r="AR91" s="233">
        <f t="shared" si="62"/>
        <v>0.96458497105968211</v>
      </c>
      <c r="AS91" s="235">
        <f t="shared" si="63"/>
        <v>33.105027932960894</v>
      </c>
      <c r="AT91" s="235">
        <f t="shared" si="64"/>
        <v>50.535961542150602</v>
      </c>
      <c r="AU91" s="235">
        <f t="shared" si="65"/>
        <v>15.67409432377119</v>
      </c>
      <c r="AV91">
        <v>100</v>
      </c>
      <c r="AW91" s="235">
        <f t="shared" si="66"/>
        <v>62.766666666666666</v>
      </c>
      <c r="AX91" s="235">
        <f t="shared" si="67"/>
        <v>80.98511149172171</v>
      </c>
      <c r="AY91" s="235">
        <f t="shared" si="68"/>
        <v>44.548221841611614</v>
      </c>
      <c r="AZ91" s="235">
        <f t="shared" si="69"/>
        <v>2941.6666666666665</v>
      </c>
      <c r="BA91" s="235">
        <f t="shared" si="70"/>
        <v>4966.9775952753826</v>
      </c>
      <c r="BB91" s="235">
        <f t="shared" si="71"/>
        <v>916.35573805795048</v>
      </c>
      <c r="BC91" s="235">
        <f t="shared" si="72"/>
        <v>53.18888888888889</v>
      </c>
      <c r="BD91" s="235">
        <f t="shared" si="73"/>
        <v>112.67052202318322</v>
      </c>
      <c r="BE91" s="235">
        <f t="shared" si="74"/>
        <v>-6.2927442454054372</v>
      </c>
      <c r="BF91" s="235">
        <f t="shared" si="75"/>
        <v>3577.2222222222222</v>
      </c>
      <c r="BG91" s="235">
        <f t="shared" si="76"/>
        <v>5636.1265941907786</v>
      </c>
      <c r="BH91" s="235">
        <f t="shared" si="77"/>
        <v>1518.3178502536657</v>
      </c>
      <c r="BI91">
        <v>5000</v>
      </c>
      <c r="BJ91" s="235">
        <f t="shared" si="78"/>
        <v>0</v>
      </c>
      <c r="BK91" s="235">
        <f t="shared" si="79"/>
        <v>0</v>
      </c>
      <c r="BL91" s="235">
        <f t="shared" si="80"/>
        <v>0</v>
      </c>
      <c r="BO91" s="235">
        <f t="shared" si="81"/>
        <v>42661</v>
      </c>
      <c r="CD91" s="533">
        <f t="shared" si="82"/>
        <v>8.8000000000000007</v>
      </c>
      <c r="CE91" s="102">
        <f t="shared" si="83"/>
        <v>10.3</v>
      </c>
      <c r="CF91" s="102">
        <f t="shared" si="84"/>
        <v>88</v>
      </c>
      <c r="CG91" s="102">
        <f t="shared" si="85"/>
        <v>8</v>
      </c>
      <c r="CH91" s="102">
        <f t="shared" si="86"/>
        <v>1.2</v>
      </c>
      <c r="CI91" s="102" t="str">
        <f t="shared" si="87"/>
        <v/>
      </c>
      <c r="CJ91" s="102">
        <f t="shared" si="88"/>
        <v>1.1000000000000001</v>
      </c>
      <c r="CK91" s="102">
        <f t="shared" si="89"/>
        <v>35</v>
      </c>
      <c r="CL91" s="102">
        <f t="shared" si="90"/>
        <v>65</v>
      </c>
      <c r="CM91" s="102">
        <f t="shared" si="91"/>
        <v>2700</v>
      </c>
      <c r="CN91" s="102">
        <f t="shared" si="92"/>
        <v>27</v>
      </c>
      <c r="CO91" s="102">
        <f t="shared" si="93"/>
        <v>3000</v>
      </c>
      <c r="CP91" s="102" t="str">
        <f t="shared" si="94"/>
        <v/>
      </c>
    </row>
    <row r="92" spans="2:94">
      <c r="B92" t="s">
        <v>252</v>
      </c>
      <c r="C92" s="231">
        <v>42690</v>
      </c>
      <c r="D92" s="233">
        <v>3</v>
      </c>
      <c r="E92" s="233">
        <v>12.1</v>
      </c>
      <c r="F92" s="235">
        <v>89</v>
      </c>
      <c r="G92" s="233">
        <v>7.9</v>
      </c>
      <c r="H92" s="233">
        <v>10</v>
      </c>
      <c r="J92" s="233">
        <v>2.4</v>
      </c>
      <c r="K92" s="235">
        <v>44</v>
      </c>
      <c r="L92" s="235">
        <v>96</v>
      </c>
      <c r="M92" s="235">
        <v>4000</v>
      </c>
      <c r="N92" s="235">
        <v>82</v>
      </c>
      <c r="O92" s="235">
        <v>4800</v>
      </c>
      <c r="Q92">
        <v>2016</v>
      </c>
      <c r="R92">
        <v>11</v>
      </c>
      <c r="T92" s="226"/>
      <c r="U92" s="226"/>
      <c r="V92" s="226"/>
      <c r="W92" s="226"/>
      <c r="X92" s="226"/>
      <c r="Y92" s="226"/>
      <c r="Z92" s="226"/>
      <c r="AA92" s="233">
        <f t="shared" si="48"/>
        <v>10.332000000000001</v>
      </c>
      <c r="AB92" s="233">
        <f t="shared" si="49"/>
        <v>12.739174193481931</v>
      </c>
      <c r="AC92" s="233">
        <f t="shared" si="50"/>
        <v>7.9248258065180703</v>
      </c>
      <c r="AD92">
        <v>2.95</v>
      </c>
      <c r="AE92" s="233">
        <f t="shared" si="51"/>
        <v>7.9374301675977676</v>
      </c>
      <c r="AF92" s="233">
        <f t="shared" si="52"/>
        <v>8.0830597168027865</v>
      </c>
      <c r="AG92" s="233">
        <f t="shared" si="53"/>
        <v>7.7918006183927488</v>
      </c>
      <c r="AH92">
        <v>6.5</v>
      </c>
      <c r="AI92" s="233">
        <f t="shared" si="54"/>
        <v>3.3601117318435763</v>
      </c>
      <c r="AJ92" s="233">
        <f t="shared" si="55"/>
        <v>6.3851512410714601</v>
      </c>
      <c r="AK92" s="233">
        <f t="shared" si="56"/>
        <v>0.33507222261569281</v>
      </c>
      <c r="AL92">
        <v>7</v>
      </c>
      <c r="AM92" s="233">
        <f t="shared" si="57"/>
        <v>48.104347826086951</v>
      </c>
      <c r="AN92" s="233">
        <f t="shared" si="58"/>
        <v>52.277593646348265</v>
      </c>
      <c r="AO92" s="233">
        <f t="shared" si="59"/>
        <v>43.931102005825636</v>
      </c>
      <c r="AP92" s="233">
        <f t="shared" si="60"/>
        <v>2.0655865921787711</v>
      </c>
      <c r="AQ92" s="233">
        <f t="shared" si="61"/>
        <v>3.1665882132978602</v>
      </c>
      <c r="AR92" s="233">
        <f t="shared" si="62"/>
        <v>0.96458497105968211</v>
      </c>
      <c r="AS92" s="235">
        <f t="shared" si="63"/>
        <v>33.105027932960894</v>
      </c>
      <c r="AT92" s="235">
        <f t="shared" si="64"/>
        <v>50.535961542150602</v>
      </c>
      <c r="AU92" s="235">
        <f t="shared" si="65"/>
        <v>15.67409432377119</v>
      </c>
      <c r="AV92">
        <v>100</v>
      </c>
      <c r="AW92" s="235">
        <f t="shared" si="66"/>
        <v>62.766666666666666</v>
      </c>
      <c r="AX92" s="235">
        <f t="shared" si="67"/>
        <v>80.98511149172171</v>
      </c>
      <c r="AY92" s="235">
        <f t="shared" si="68"/>
        <v>44.548221841611614</v>
      </c>
      <c r="AZ92" s="235">
        <f t="shared" si="69"/>
        <v>2941.6666666666665</v>
      </c>
      <c r="BA92" s="235">
        <f t="shared" si="70"/>
        <v>4966.9775952753826</v>
      </c>
      <c r="BB92" s="235">
        <f t="shared" si="71"/>
        <v>916.35573805795048</v>
      </c>
      <c r="BC92" s="235">
        <f t="shared" si="72"/>
        <v>53.18888888888889</v>
      </c>
      <c r="BD92" s="235">
        <f t="shared" si="73"/>
        <v>112.67052202318322</v>
      </c>
      <c r="BE92" s="235">
        <f t="shared" si="74"/>
        <v>-6.2927442454054372</v>
      </c>
      <c r="BF92" s="235">
        <f t="shared" si="75"/>
        <v>3577.2222222222222</v>
      </c>
      <c r="BG92" s="235">
        <f t="shared" si="76"/>
        <v>5636.1265941907786</v>
      </c>
      <c r="BH92" s="235">
        <f t="shared" si="77"/>
        <v>1518.3178502536657</v>
      </c>
      <c r="BI92">
        <v>5000</v>
      </c>
      <c r="BJ92" s="235">
        <f t="shared" si="78"/>
        <v>0</v>
      </c>
      <c r="BK92" s="235">
        <f t="shared" si="79"/>
        <v>0</v>
      </c>
      <c r="BL92" s="235">
        <f t="shared" si="80"/>
        <v>0</v>
      </c>
      <c r="BO92" s="235">
        <f t="shared" si="81"/>
        <v>42690</v>
      </c>
      <c r="CD92" s="533">
        <f t="shared" si="82"/>
        <v>3</v>
      </c>
      <c r="CE92" s="102">
        <f t="shared" si="83"/>
        <v>12.1</v>
      </c>
      <c r="CF92" s="102">
        <f t="shared" si="84"/>
        <v>89</v>
      </c>
      <c r="CG92" s="102">
        <f t="shared" si="85"/>
        <v>7.9</v>
      </c>
      <c r="CH92" s="102">
        <f t="shared" si="86"/>
        <v>10</v>
      </c>
      <c r="CI92" s="102" t="str">
        <f t="shared" si="87"/>
        <v/>
      </c>
      <c r="CJ92" s="102">
        <f t="shared" si="88"/>
        <v>2.4</v>
      </c>
      <c r="CK92" s="102">
        <f t="shared" si="89"/>
        <v>44</v>
      </c>
      <c r="CL92" s="102">
        <f t="shared" si="90"/>
        <v>96</v>
      </c>
      <c r="CM92" s="102">
        <f t="shared" si="91"/>
        <v>4000</v>
      </c>
      <c r="CN92" s="102">
        <f t="shared" si="92"/>
        <v>82</v>
      </c>
      <c r="CO92" s="102">
        <f t="shared" si="93"/>
        <v>4800</v>
      </c>
      <c r="CP92" s="102" t="str">
        <f t="shared" si="94"/>
        <v/>
      </c>
    </row>
    <row r="93" spans="2:94">
      <c r="B93" t="s">
        <v>252</v>
      </c>
      <c r="C93" s="231">
        <v>42724</v>
      </c>
      <c r="D93" s="233">
        <v>4.0999999999999996</v>
      </c>
      <c r="E93" s="233">
        <v>12.6</v>
      </c>
      <c r="F93" s="235">
        <v>95</v>
      </c>
      <c r="G93" s="233">
        <v>8.1</v>
      </c>
      <c r="H93" s="233">
        <v>2.2999999999999998</v>
      </c>
      <c r="J93" s="233">
        <v>1.6</v>
      </c>
      <c r="K93" s="235">
        <v>36</v>
      </c>
      <c r="L93" s="235">
        <v>44</v>
      </c>
      <c r="M93" s="235">
        <v>5400</v>
      </c>
      <c r="N93" s="235">
        <v>58</v>
      </c>
      <c r="O93" s="235">
        <v>6000</v>
      </c>
      <c r="Q93">
        <v>2016</v>
      </c>
      <c r="R93">
        <v>12</v>
      </c>
      <c r="T93" s="226"/>
      <c r="U93" s="226"/>
      <c r="V93" s="226"/>
      <c r="W93" s="226"/>
      <c r="X93" s="226"/>
      <c r="Y93" s="226"/>
      <c r="Z93" s="226"/>
      <c r="AA93" s="233">
        <f t="shared" si="48"/>
        <v>10.332000000000001</v>
      </c>
      <c r="AB93" s="233">
        <f t="shared" si="49"/>
        <v>12.739174193481931</v>
      </c>
      <c r="AC93" s="233">
        <f t="shared" si="50"/>
        <v>7.9248258065180703</v>
      </c>
      <c r="AD93">
        <v>2.95</v>
      </c>
      <c r="AE93" s="233">
        <f t="shared" si="51"/>
        <v>7.9374301675977676</v>
      </c>
      <c r="AF93" s="233">
        <f t="shared" si="52"/>
        <v>8.0830597168027865</v>
      </c>
      <c r="AG93" s="233">
        <f t="shared" si="53"/>
        <v>7.7918006183927488</v>
      </c>
      <c r="AH93">
        <v>6.5</v>
      </c>
      <c r="AI93" s="233">
        <f t="shared" si="54"/>
        <v>3.3601117318435763</v>
      </c>
      <c r="AJ93" s="233">
        <f t="shared" si="55"/>
        <v>6.3851512410714601</v>
      </c>
      <c r="AK93" s="233">
        <f t="shared" si="56"/>
        <v>0.33507222261569281</v>
      </c>
      <c r="AL93">
        <v>7</v>
      </c>
      <c r="AM93" s="233">
        <f t="shared" si="57"/>
        <v>48.104347826086951</v>
      </c>
      <c r="AN93" s="233">
        <f t="shared" si="58"/>
        <v>52.277593646348265</v>
      </c>
      <c r="AO93" s="233">
        <f t="shared" si="59"/>
        <v>43.931102005825636</v>
      </c>
      <c r="AP93" s="233">
        <f t="shared" si="60"/>
        <v>2.0655865921787711</v>
      </c>
      <c r="AQ93" s="233">
        <f t="shared" si="61"/>
        <v>3.1665882132978602</v>
      </c>
      <c r="AR93" s="233">
        <f t="shared" si="62"/>
        <v>0.96458497105968211</v>
      </c>
      <c r="AS93" s="235">
        <f t="shared" si="63"/>
        <v>33.105027932960894</v>
      </c>
      <c r="AT93" s="235">
        <f t="shared" si="64"/>
        <v>50.535961542150602</v>
      </c>
      <c r="AU93" s="235">
        <f t="shared" si="65"/>
        <v>15.67409432377119</v>
      </c>
      <c r="AV93">
        <v>100</v>
      </c>
      <c r="AW93" s="235">
        <f t="shared" si="66"/>
        <v>62.766666666666666</v>
      </c>
      <c r="AX93" s="235">
        <f t="shared" si="67"/>
        <v>80.98511149172171</v>
      </c>
      <c r="AY93" s="235">
        <f t="shared" si="68"/>
        <v>44.548221841611614</v>
      </c>
      <c r="AZ93" s="235">
        <f t="shared" si="69"/>
        <v>2941.6666666666665</v>
      </c>
      <c r="BA93" s="235">
        <f t="shared" si="70"/>
        <v>4966.9775952753826</v>
      </c>
      <c r="BB93" s="235">
        <f t="shared" si="71"/>
        <v>916.35573805795048</v>
      </c>
      <c r="BC93" s="235">
        <f t="shared" si="72"/>
        <v>53.18888888888889</v>
      </c>
      <c r="BD93" s="235">
        <f t="shared" si="73"/>
        <v>112.67052202318322</v>
      </c>
      <c r="BE93" s="235">
        <f t="shared" si="74"/>
        <v>-6.2927442454054372</v>
      </c>
      <c r="BF93" s="235">
        <f t="shared" si="75"/>
        <v>3577.2222222222222</v>
      </c>
      <c r="BG93" s="235">
        <f t="shared" si="76"/>
        <v>5636.1265941907786</v>
      </c>
      <c r="BH93" s="235">
        <f t="shared" si="77"/>
        <v>1518.3178502536657</v>
      </c>
      <c r="BI93">
        <v>5000</v>
      </c>
      <c r="BJ93" s="235">
        <f t="shared" si="78"/>
        <v>0</v>
      </c>
      <c r="BK93" s="235">
        <f t="shared" si="79"/>
        <v>0</v>
      </c>
      <c r="BL93" s="235">
        <f t="shared" si="80"/>
        <v>0</v>
      </c>
      <c r="BO93" s="235">
        <f t="shared" si="81"/>
        <v>42724</v>
      </c>
      <c r="CD93" s="533">
        <f t="shared" si="82"/>
        <v>4.0999999999999996</v>
      </c>
      <c r="CE93" s="102">
        <f t="shared" si="83"/>
        <v>12.6</v>
      </c>
      <c r="CF93" s="102">
        <f t="shared" si="84"/>
        <v>95</v>
      </c>
      <c r="CG93" s="102">
        <f t="shared" si="85"/>
        <v>8.1</v>
      </c>
      <c r="CH93" s="102">
        <f t="shared" si="86"/>
        <v>2.2999999999999998</v>
      </c>
      <c r="CI93" s="102" t="str">
        <f t="shared" si="87"/>
        <v/>
      </c>
      <c r="CJ93" s="102">
        <f t="shared" si="88"/>
        <v>1.6</v>
      </c>
      <c r="CK93" s="102">
        <f t="shared" si="89"/>
        <v>36</v>
      </c>
      <c r="CL93" s="102">
        <f t="shared" si="90"/>
        <v>44</v>
      </c>
      <c r="CM93" s="102">
        <f t="shared" si="91"/>
        <v>5400</v>
      </c>
      <c r="CN93" s="102">
        <f t="shared" si="92"/>
        <v>58</v>
      </c>
      <c r="CO93" s="102">
        <f t="shared" si="93"/>
        <v>6000</v>
      </c>
      <c r="CP93" s="102" t="str">
        <f t="shared" si="94"/>
        <v/>
      </c>
    </row>
    <row r="94" spans="2:94">
      <c r="B94" t="s">
        <v>252</v>
      </c>
      <c r="C94" s="231">
        <v>42752</v>
      </c>
      <c r="D94" s="233">
        <v>0.3</v>
      </c>
      <c r="E94" s="233">
        <v>13.9</v>
      </c>
      <c r="F94" s="235">
        <v>94</v>
      </c>
      <c r="G94" s="233">
        <v>8</v>
      </c>
      <c r="H94" s="233">
        <v>2.8</v>
      </c>
      <c r="J94" s="233">
        <v>1.8</v>
      </c>
      <c r="K94" s="235">
        <v>34</v>
      </c>
      <c r="L94" s="235">
        <v>58</v>
      </c>
      <c r="M94" s="235">
        <v>3900</v>
      </c>
      <c r="N94" s="235">
        <v>90</v>
      </c>
      <c r="O94" s="235">
        <v>3800</v>
      </c>
      <c r="Q94">
        <v>2017</v>
      </c>
      <c r="R94">
        <v>1</v>
      </c>
      <c r="T94" s="226"/>
      <c r="U94" s="226"/>
      <c r="V94" s="226"/>
      <c r="W94" s="226"/>
      <c r="X94" s="226"/>
      <c r="Y94" s="226"/>
      <c r="Z94" s="226"/>
      <c r="AA94" s="233">
        <f t="shared" si="48"/>
        <v>10.332000000000001</v>
      </c>
      <c r="AB94" s="233">
        <f t="shared" si="49"/>
        <v>12.739174193481931</v>
      </c>
      <c r="AC94" s="233">
        <f t="shared" si="50"/>
        <v>7.9248258065180703</v>
      </c>
      <c r="AD94">
        <v>2.95</v>
      </c>
      <c r="AE94" s="233">
        <f t="shared" si="51"/>
        <v>7.9374301675977676</v>
      </c>
      <c r="AF94" s="233">
        <f t="shared" si="52"/>
        <v>8.0830597168027865</v>
      </c>
      <c r="AG94" s="233">
        <f t="shared" si="53"/>
        <v>7.7918006183927488</v>
      </c>
      <c r="AH94">
        <v>6.5</v>
      </c>
      <c r="AI94" s="233">
        <f t="shared" si="54"/>
        <v>3.3601117318435763</v>
      </c>
      <c r="AJ94" s="233">
        <f t="shared" si="55"/>
        <v>6.3851512410714601</v>
      </c>
      <c r="AK94" s="233">
        <f t="shared" si="56"/>
        <v>0.33507222261569281</v>
      </c>
      <c r="AL94">
        <v>7</v>
      </c>
      <c r="AM94" s="233">
        <f t="shared" si="57"/>
        <v>48.104347826086951</v>
      </c>
      <c r="AN94" s="233">
        <f t="shared" si="58"/>
        <v>52.277593646348265</v>
      </c>
      <c r="AO94" s="233">
        <f t="shared" si="59"/>
        <v>43.931102005825636</v>
      </c>
      <c r="AP94" s="233">
        <f t="shared" si="60"/>
        <v>2.0655865921787711</v>
      </c>
      <c r="AQ94" s="233">
        <f t="shared" si="61"/>
        <v>3.1665882132978602</v>
      </c>
      <c r="AR94" s="233">
        <f t="shared" si="62"/>
        <v>0.96458497105968211</v>
      </c>
      <c r="AS94" s="235">
        <f t="shared" si="63"/>
        <v>33.105027932960894</v>
      </c>
      <c r="AT94" s="235">
        <f t="shared" si="64"/>
        <v>50.535961542150602</v>
      </c>
      <c r="AU94" s="235">
        <f t="shared" si="65"/>
        <v>15.67409432377119</v>
      </c>
      <c r="AV94">
        <v>100</v>
      </c>
      <c r="AW94" s="235">
        <f t="shared" si="66"/>
        <v>62.766666666666666</v>
      </c>
      <c r="AX94" s="235">
        <f t="shared" si="67"/>
        <v>80.98511149172171</v>
      </c>
      <c r="AY94" s="235">
        <f t="shared" si="68"/>
        <v>44.548221841611614</v>
      </c>
      <c r="AZ94" s="235">
        <f t="shared" si="69"/>
        <v>2941.6666666666665</v>
      </c>
      <c r="BA94" s="235">
        <f t="shared" si="70"/>
        <v>4966.9775952753826</v>
      </c>
      <c r="BB94" s="235">
        <f t="shared" si="71"/>
        <v>916.35573805795048</v>
      </c>
      <c r="BC94" s="235">
        <f t="shared" si="72"/>
        <v>53.18888888888889</v>
      </c>
      <c r="BD94" s="235">
        <f t="shared" si="73"/>
        <v>112.67052202318322</v>
      </c>
      <c r="BE94" s="235">
        <f t="shared" si="74"/>
        <v>-6.2927442454054372</v>
      </c>
      <c r="BF94" s="235">
        <f t="shared" si="75"/>
        <v>3577.2222222222222</v>
      </c>
      <c r="BG94" s="235">
        <f t="shared" si="76"/>
        <v>5636.1265941907786</v>
      </c>
      <c r="BH94" s="235">
        <f t="shared" si="77"/>
        <v>1518.3178502536657</v>
      </c>
      <c r="BI94">
        <v>5000</v>
      </c>
      <c r="BJ94" s="235">
        <f t="shared" si="78"/>
        <v>0</v>
      </c>
      <c r="BK94" s="235">
        <f t="shared" si="79"/>
        <v>0</v>
      </c>
      <c r="BL94" s="235">
        <f t="shared" si="80"/>
        <v>0</v>
      </c>
      <c r="BO94" s="235">
        <f t="shared" si="81"/>
        <v>42752</v>
      </c>
      <c r="CD94" s="533">
        <f t="shared" si="82"/>
        <v>0.3</v>
      </c>
      <c r="CE94" s="102">
        <f t="shared" si="83"/>
        <v>13.9</v>
      </c>
      <c r="CF94" s="102">
        <f t="shared" si="84"/>
        <v>94</v>
      </c>
      <c r="CG94" s="102">
        <f t="shared" si="85"/>
        <v>8</v>
      </c>
      <c r="CH94" s="102">
        <f t="shared" si="86"/>
        <v>2.8</v>
      </c>
      <c r="CI94" s="102" t="str">
        <f t="shared" si="87"/>
        <v/>
      </c>
      <c r="CJ94" s="102">
        <f t="shared" si="88"/>
        <v>1.8</v>
      </c>
      <c r="CK94" s="102">
        <f t="shared" si="89"/>
        <v>34</v>
      </c>
      <c r="CL94" s="102">
        <f t="shared" si="90"/>
        <v>58</v>
      </c>
      <c r="CM94" s="102">
        <f t="shared" si="91"/>
        <v>3900</v>
      </c>
      <c r="CN94" s="102">
        <f t="shared" si="92"/>
        <v>90</v>
      </c>
      <c r="CO94" s="102">
        <f t="shared" si="93"/>
        <v>3800</v>
      </c>
      <c r="CP94" s="102" t="str">
        <f t="shared" si="94"/>
        <v/>
      </c>
    </row>
    <row r="95" spans="2:94">
      <c r="B95" t="s">
        <v>252</v>
      </c>
      <c r="C95" s="231">
        <v>42773</v>
      </c>
      <c r="D95" s="233">
        <v>1.8</v>
      </c>
      <c r="E95" s="233">
        <v>13.5</v>
      </c>
      <c r="F95" s="235">
        <v>96</v>
      </c>
      <c r="G95" s="233">
        <v>8.1</v>
      </c>
      <c r="H95" s="233">
        <v>1.8</v>
      </c>
      <c r="J95" s="233">
        <v>1.8</v>
      </c>
      <c r="K95" s="235">
        <v>28</v>
      </c>
      <c r="L95" s="235">
        <v>51</v>
      </c>
      <c r="M95" s="235">
        <v>3900</v>
      </c>
      <c r="N95" s="235">
        <v>54</v>
      </c>
      <c r="O95" s="235">
        <v>4200</v>
      </c>
      <c r="Q95">
        <v>2017</v>
      </c>
      <c r="R95">
        <v>2</v>
      </c>
      <c r="T95" s="226"/>
      <c r="U95" s="226"/>
      <c r="V95" s="226"/>
      <c r="W95" s="226"/>
      <c r="X95" s="226"/>
      <c r="Y95" s="226"/>
      <c r="Z95" s="226"/>
      <c r="AA95" s="233">
        <f t="shared" si="48"/>
        <v>10.332000000000001</v>
      </c>
      <c r="AB95" s="233">
        <f t="shared" si="49"/>
        <v>12.739174193481931</v>
      </c>
      <c r="AC95" s="233">
        <f t="shared" si="50"/>
        <v>7.9248258065180703</v>
      </c>
      <c r="AD95">
        <v>2.95</v>
      </c>
      <c r="AE95" s="233">
        <f t="shared" si="51"/>
        <v>7.9374301675977676</v>
      </c>
      <c r="AF95" s="233">
        <f t="shared" si="52"/>
        <v>8.0830597168027865</v>
      </c>
      <c r="AG95" s="233">
        <f t="shared" si="53"/>
        <v>7.7918006183927488</v>
      </c>
      <c r="AH95">
        <v>6.5</v>
      </c>
      <c r="AI95" s="233">
        <f t="shared" si="54"/>
        <v>3.3601117318435763</v>
      </c>
      <c r="AJ95" s="233">
        <f t="shared" si="55"/>
        <v>6.3851512410714601</v>
      </c>
      <c r="AK95" s="233">
        <f t="shared" si="56"/>
        <v>0.33507222261569281</v>
      </c>
      <c r="AL95">
        <v>7</v>
      </c>
      <c r="AM95" s="233">
        <f t="shared" si="57"/>
        <v>48.104347826086951</v>
      </c>
      <c r="AN95" s="233">
        <f t="shared" si="58"/>
        <v>52.277593646348265</v>
      </c>
      <c r="AO95" s="233">
        <f t="shared" si="59"/>
        <v>43.931102005825636</v>
      </c>
      <c r="AP95" s="233">
        <f t="shared" si="60"/>
        <v>2.0655865921787711</v>
      </c>
      <c r="AQ95" s="233">
        <f t="shared" si="61"/>
        <v>3.1665882132978602</v>
      </c>
      <c r="AR95" s="233">
        <f t="shared" si="62"/>
        <v>0.96458497105968211</v>
      </c>
      <c r="AS95" s="235">
        <f t="shared" si="63"/>
        <v>33.105027932960894</v>
      </c>
      <c r="AT95" s="235">
        <f t="shared" si="64"/>
        <v>50.535961542150602</v>
      </c>
      <c r="AU95" s="235">
        <f t="shared" si="65"/>
        <v>15.67409432377119</v>
      </c>
      <c r="AV95">
        <v>100</v>
      </c>
      <c r="AW95" s="235">
        <f t="shared" si="66"/>
        <v>62.766666666666666</v>
      </c>
      <c r="AX95" s="235">
        <f t="shared" si="67"/>
        <v>80.98511149172171</v>
      </c>
      <c r="AY95" s="235">
        <f t="shared" si="68"/>
        <v>44.548221841611614</v>
      </c>
      <c r="AZ95" s="235">
        <f t="shared" si="69"/>
        <v>2941.6666666666665</v>
      </c>
      <c r="BA95" s="235">
        <f t="shared" si="70"/>
        <v>4966.9775952753826</v>
      </c>
      <c r="BB95" s="235">
        <f t="shared" si="71"/>
        <v>916.35573805795048</v>
      </c>
      <c r="BC95" s="235">
        <f t="shared" si="72"/>
        <v>53.18888888888889</v>
      </c>
      <c r="BD95" s="235">
        <f t="shared" si="73"/>
        <v>112.67052202318322</v>
      </c>
      <c r="BE95" s="235">
        <f t="shared" si="74"/>
        <v>-6.2927442454054372</v>
      </c>
      <c r="BF95" s="235">
        <f t="shared" si="75"/>
        <v>3577.2222222222222</v>
      </c>
      <c r="BG95" s="235">
        <f t="shared" si="76"/>
        <v>5636.1265941907786</v>
      </c>
      <c r="BH95" s="235">
        <f t="shared" si="77"/>
        <v>1518.3178502536657</v>
      </c>
      <c r="BI95">
        <v>5000</v>
      </c>
      <c r="BJ95" s="235">
        <f t="shared" si="78"/>
        <v>0</v>
      </c>
      <c r="BK95" s="235">
        <f t="shared" si="79"/>
        <v>0</v>
      </c>
      <c r="BL95" s="235">
        <f t="shared" si="80"/>
        <v>0</v>
      </c>
      <c r="BO95" s="235">
        <f t="shared" si="81"/>
        <v>42773</v>
      </c>
      <c r="CD95" s="533">
        <f t="shared" si="82"/>
        <v>1.8</v>
      </c>
      <c r="CE95" s="102">
        <f t="shared" si="83"/>
        <v>13.5</v>
      </c>
      <c r="CF95" s="102">
        <f t="shared" si="84"/>
        <v>96</v>
      </c>
      <c r="CG95" s="102">
        <f t="shared" si="85"/>
        <v>8.1</v>
      </c>
      <c r="CH95" s="102">
        <f t="shared" si="86"/>
        <v>1.8</v>
      </c>
      <c r="CI95" s="102" t="str">
        <f t="shared" si="87"/>
        <v/>
      </c>
      <c r="CJ95" s="102">
        <f t="shared" si="88"/>
        <v>1.8</v>
      </c>
      <c r="CK95" s="102">
        <f t="shared" si="89"/>
        <v>28</v>
      </c>
      <c r="CL95" s="102">
        <f t="shared" si="90"/>
        <v>51</v>
      </c>
      <c r="CM95" s="102">
        <f t="shared" si="91"/>
        <v>3900</v>
      </c>
      <c r="CN95" s="102">
        <f t="shared" si="92"/>
        <v>54</v>
      </c>
      <c r="CO95" s="102">
        <f t="shared" si="93"/>
        <v>4200</v>
      </c>
      <c r="CP95" s="102" t="str">
        <f t="shared" si="94"/>
        <v/>
      </c>
    </row>
    <row r="96" spans="2:94">
      <c r="B96" t="s">
        <v>252</v>
      </c>
      <c r="C96" s="231">
        <v>42808</v>
      </c>
      <c r="D96" s="233">
        <v>3.7</v>
      </c>
      <c r="E96" s="233">
        <v>13</v>
      </c>
      <c r="F96" s="235">
        <v>97</v>
      </c>
      <c r="G96" s="233">
        <v>8.1999999999999993</v>
      </c>
      <c r="H96" s="233">
        <v>2.9</v>
      </c>
      <c r="J96" s="233">
        <v>2.6</v>
      </c>
      <c r="K96" s="235">
        <v>3.5</v>
      </c>
      <c r="L96" s="235">
        <v>42</v>
      </c>
      <c r="M96" s="235">
        <v>4000</v>
      </c>
      <c r="N96" s="235">
        <v>14</v>
      </c>
      <c r="O96" s="235">
        <v>4500</v>
      </c>
      <c r="Q96">
        <v>2017</v>
      </c>
      <c r="R96">
        <v>3</v>
      </c>
      <c r="T96" s="226"/>
      <c r="U96" s="226"/>
      <c r="V96" s="226"/>
      <c r="W96" s="226"/>
      <c r="X96" s="226"/>
      <c r="Y96" s="226"/>
      <c r="Z96" s="226"/>
      <c r="AA96" s="233">
        <f t="shared" si="48"/>
        <v>10.332000000000001</v>
      </c>
      <c r="AB96" s="233">
        <f t="shared" si="49"/>
        <v>12.739174193481931</v>
      </c>
      <c r="AC96" s="233">
        <f t="shared" si="50"/>
        <v>7.9248258065180703</v>
      </c>
      <c r="AD96">
        <v>2.95</v>
      </c>
      <c r="AE96" s="233">
        <f t="shared" si="51"/>
        <v>7.9374301675977676</v>
      </c>
      <c r="AF96" s="233">
        <f t="shared" si="52"/>
        <v>8.0830597168027865</v>
      </c>
      <c r="AG96" s="233">
        <f t="shared" si="53"/>
        <v>7.7918006183927488</v>
      </c>
      <c r="AH96">
        <v>6.5</v>
      </c>
      <c r="AI96" s="233">
        <f t="shared" si="54"/>
        <v>3.3601117318435763</v>
      </c>
      <c r="AJ96" s="233">
        <f t="shared" si="55"/>
        <v>6.3851512410714601</v>
      </c>
      <c r="AK96" s="233">
        <f t="shared" si="56"/>
        <v>0.33507222261569281</v>
      </c>
      <c r="AL96">
        <v>7</v>
      </c>
      <c r="AM96" s="233">
        <f t="shared" si="57"/>
        <v>48.104347826086951</v>
      </c>
      <c r="AN96" s="233">
        <f t="shared" si="58"/>
        <v>52.277593646348265</v>
      </c>
      <c r="AO96" s="233">
        <f t="shared" si="59"/>
        <v>43.931102005825636</v>
      </c>
      <c r="AP96" s="233">
        <f t="shared" si="60"/>
        <v>2.0655865921787711</v>
      </c>
      <c r="AQ96" s="233">
        <f t="shared" si="61"/>
        <v>3.1665882132978602</v>
      </c>
      <c r="AR96" s="233">
        <f t="shared" si="62"/>
        <v>0.96458497105968211</v>
      </c>
      <c r="AS96" s="235">
        <f t="shared" si="63"/>
        <v>33.105027932960894</v>
      </c>
      <c r="AT96" s="235">
        <f t="shared" si="64"/>
        <v>50.535961542150602</v>
      </c>
      <c r="AU96" s="235">
        <f t="shared" si="65"/>
        <v>15.67409432377119</v>
      </c>
      <c r="AV96">
        <v>100</v>
      </c>
      <c r="AW96" s="235">
        <f t="shared" si="66"/>
        <v>62.766666666666666</v>
      </c>
      <c r="AX96" s="235">
        <f t="shared" si="67"/>
        <v>80.98511149172171</v>
      </c>
      <c r="AY96" s="235">
        <f t="shared" si="68"/>
        <v>44.548221841611614</v>
      </c>
      <c r="AZ96" s="235">
        <f t="shared" si="69"/>
        <v>2941.6666666666665</v>
      </c>
      <c r="BA96" s="235">
        <f t="shared" si="70"/>
        <v>4966.9775952753826</v>
      </c>
      <c r="BB96" s="235">
        <f t="shared" si="71"/>
        <v>916.35573805795048</v>
      </c>
      <c r="BC96" s="235">
        <f t="shared" si="72"/>
        <v>53.18888888888889</v>
      </c>
      <c r="BD96" s="235">
        <f t="shared" si="73"/>
        <v>112.67052202318322</v>
      </c>
      <c r="BE96" s="235">
        <f t="shared" si="74"/>
        <v>-6.2927442454054372</v>
      </c>
      <c r="BF96" s="235">
        <f t="shared" si="75"/>
        <v>3577.2222222222222</v>
      </c>
      <c r="BG96" s="235">
        <f t="shared" si="76"/>
        <v>5636.1265941907786</v>
      </c>
      <c r="BH96" s="235">
        <f t="shared" si="77"/>
        <v>1518.3178502536657</v>
      </c>
      <c r="BI96">
        <v>5000</v>
      </c>
      <c r="BJ96" s="235">
        <f t="shared" si="78"/>
        <v>0</v>
      </c>
      <c r="BK96" s="235">
        <f t="shared" si="79"/>
        <v>0</v>
      </c>
      <c r="BL96" s="235">
        <f t="shared" si="80"/>
        <v>0</v>
      </c>
      <c r="BO96" s="235">
        <f t="shared" si="81"/>
        <v>42808</v>
      </c>
      <c r="CD96" s="533">
        <f t="shared" si="82"/>
        <v>3.7</v>
      </c>
      <c r="CE96" s="102">
        <f t="shared" si="83"/>
        <v>13</v>
      </c>
      <c r="CF96" s="102">
        <f t="shared" si="84"/>
        <v>97</v>
      </c>
      <c r="CG96" s="102">
        <f t="shared" si="85"/>
        <v>8.1999999999999993</v>
      </c>
      <c r="CH96" s="102">
        <f t="shared" si="86"/>
        <v>2.9</v>
      </c>
      <c r="CI96" s="102" t="str">
        <f t="shared" si="87"/>
        <v/>
      </c>
      <c r="CJ96" s="102">
        <f t="shared" si="88"/>
        <v>2.6</v>
      </c>
      <c r="CK96" s="102">
        <f t="shared" si="89"/>
        <v>3.5</v>
      </c>
      <c r="CL96" s="102">
        <f t="shared" si="90"/>
        <v>42</v>
      </c>
      <c r="CM96" s="102">
        <f t="shared" si="91"/>
        <v>4000</v>
      </c>
      <c r="CN96" s="102">
        <f t="shared" si="92"/>
        <v>14</v>
      </c>
      <c r="CO96" s="102">
        <f t="shared" si="93"/>
        <v>4500</v>
      </c>
      <c r="CP96" s="102" t="str">
        <f t="shared" si="94"/>
        <v/>
      </c>
    </row>
    <row r="97" spans="2:94">
      <c r="B97" t="s">
        <v>252</v>
      </c>
      <c r="C97" s="231">
        <v>42837</v>
      </c>
      <c r="D97" s="233">
        <v>9.3000000000000007</v>
      </c>
      <c r="E97" s="233">
        <v>10.9</v>
      </c>
      <c r="F97" s="235">
        <v>96</v>
      </c>
      <c r="G97" s="233">
        <v>8.1</v>
      </c>
      <c r="H97" s="233">
        <v>2.6</v>
      </c>
      <c r="J97" s="233">
        <v>1.6</v>
      </c>
      <c r="K97" s="235">
        <v>9.1999999999999993</v>
      </c>
      <c r="L97" s="235">
        <v>32</v>
      </c>
      <c r="M97" s="235">
        <v>2500</v>
      </c>
      <c r="N97" s="235">
        <v>19</v>
      </c>
      <c r="O97" s="235">
        <v>3100</v>
      </c>
      <c r="Q97">
        <v>2017</v>
      </c>
      <c r="R97">
        <v>4</v>
      </c>
      <c r="T97" s="226"/>
      <c r="U97" s="226"/>
      <c r="V97" s="226"/>
      <c r="W97" s="226"/>
      <c r="X97" s="226"/>
      <c r="Y97" s="226"/>
      <c r="Z97" s="226"/>
      <c r="AA97" s="233">
        <f t="shared" si="48"/>
        <v>10.332000000000001</v>
      </c>
      <c r="AB97" s="233">
        <f t="shared" si="49"/>
        <v>12.739174193481931</v>
      </c>
      <c r="AC97" s="233">
        <f t="shared" si="50"/>
        <v>7.9248258065180703</v>
      </c>
      <c r="AD97">
        <v>2.95</v>
      </c>
      <c r="AE97" s="233">
        <f t="shared" si="51"/>
        <v>7.9374301675977676</v>
      </c>
      <c r="AF97" s="233">
        <f t="shared" si="52"/>
        <v>8.0830597168027865</v>
      </c>
      <c r="AG97" s="233">
        <f t="shared" si="53"/>
        <v>7.7918006183927488</v>
      </c>
      <c r="AH97">
        <v>6.5</v>
      </c>
      <c r="AI97" s="233">
        <f t="shared" si="54"/>
        <v>3.3601117318435763</v>
      </c>
      <c r="AJ97" s="233">
        <f t="shared" si="55"/>
        <v>6.3851512410714601</v>
      </c>
      <c r="AK97" s="233">
        <f t="shared" si="56"/>
        <v>0.33507222261569281</v>
      </c>
      <c r="AL97">
        <v>7</v>
      </c>
      <c r="AM97" s="233">
        <f t="shared" si="57"/>
        <v>48.104347826086951</v>
      </c>
      <c r="AN97" s="233">
        <f t="shared" si="58"/>
        <v>52.277593646348265</v>
      </c>
      <c r="AO97" s="233">
        <f t="shared" si="59"/>
        <v>43.931102005825636</v>
      </c>
      <c r="AP97" s="233">
        <f t="shared" si="60"/>
        <v>2.0655865921787711</v>
      </c>
      <c r="AQ97" s="233">
        <f t="shared" si="61"/>
        <v>3.1665882132978602</v>
      </c>
      <c r="AR97" s="233">
        <f t="shared" si="62"/>
        <v>0.96458497105968211</v>
      </c>
      <c r="AS97" s="235">
        <f t="shared" si="63"/>
        <v>33.105027932960894</v>
      </c>
      <c r="AT97" s="235">
        <f t="shared" si="64"/>
        <v>50.535961542150602</v>
      </c>
      <c r="AU97" s="235">
        <f t="shared" si="65"/>
        <v>15.67409432377119</v>
      </c>
      <c r="AV97">
        <v>100</v>
      </c>
      <c r="AW97" s="235">
        <f t="shared" si="66"/>
        <v>62.766666666666666</v>
      </c>
      <c r="AX97" s="235">
        <f t="shared" si="67"/>
        <v>80.98511149172171</v>
      </c>
      <c r="AY97" s="235">
        <f t="shared" si="68"/>
        <v>44.548221841611614</v>
      </c>
      <c r="AZ97" s="235">
        <f t="shared" si="69"/>
        <v>2941.6666666666665</v>
      </c>
      <c r="BA97" s="235">
        <f t="shared" si="70"/>
        <v>4966.9775952753826</v>
      </c>
      <c r="BB97" s="235">
        <f t="shared" si="71"/>
        <v>916.35573805795048</v>
      </c>
      <c r="BC97" s="235">
        <f t="shared" si="72"/>
        <v>53.18888888888889</v>
      </c>
      <c r="BD97" s="235">
        <f t="shared" si="73"/>
        <v>112.67052202318322</v>
      </c>
      <c r="BE97" s="235">
        <f t="shared" si="74"/>
        <v>-6.2927442454054372</v>
      </c>
      <c r="BF97" s="235">
        <f t="shared" si="75"/>
        <v>3577.2222222222222</v>
      </c>
      <c r="BG97" s="235">
        <f t="shared" si="76"/>
        <v>5636.1265941907786</v>
      </c>
      <c r="BH97" s="235">
        <f t="shared" si="77"/>
        <v>1518.3178502536657</v>
      </c>
      <c r="BI97">
        <v>5000</v>
      </c>
      <c r="BJ97" s="235">
        <f t="shared" si="78"/>
        <v>0</v>
      </c>
      <c r="BK97" s="235">
        <f t="shared" si="79"/>
        <v>0</v>
      </c>
      <c r="BL97" s="235">
        <f t="shared" si="80"/>
        <v>0</v>
      </c>
      <c r="BO97" s="235">
        <f t="shared" si="81"/>
        <v>42837</v>
      </c>
      <c r="CD97" s="533">
        <f t="shared" si="82"/>
        <v>9.3000000000000007</v>
      </c>
      <c r="CE97" s="102">
        <f t="shared" si="83"/>
        <v>10.9</v>
      </c>
      <c r="CF97" s="102">
        <f t="shared" si="84"/>
        <v>96</v>
      </c>
      <c r="CG97" s="102">
        <f t="shared" si="85"/>
        <v>8.1</v>
      </c>
      <c r="CH97" s="102">
        <f t="shared" si="86"/>
        <v>2.6</v>
      </c>
      <c r="CI97" s="102" t="str">
        <f t="shared" si="87"/>
        <v/>
      </c>
      <c r="CJ97" s="102">
        <f t="shared" si="88"/>
        <v>1.6</v>
      </c>
      <c r="CK97" s="102">
        <f t="shared" si="89"/>
        <v>9.1999999999999993</v>
      </c>
      <c r="CL97" s="102">
        <f t="shared" si="90"/>
        <v>32</v>
      </c>
      <c r="CM97" s="102">
        <f t="shared" si="91"/>
        <v>2500</v>
      </c>
      <c r="CN97" s="102">
        <f t="shared" si="92"/>
        <v>19</v>
      </c>
      <c r="CO97" s="102">
        <f t="shared" si="93"/>
        <v>3100</v>
      </c>
      <c r="CP97" s="102" t="str">
        <f t="shared" si="94"/>
        <v/>
      </c>
    </row>
    <row r="98" spans="2:94">
      <c r="B98" t="s">
        <v>252</v>
      </c>
      <c r="C98" s="231">
        <v>42871</v>
      </c>
      <c r="D98" s="233">
        <v>13.2</v>
      </c>
      <c r="E98" s="233">
        <v>9.4</v>
      </c>
      <c r="F98" s="235">
        <v>88</v>
      </c>
      <c r="G98" s="233">
        <v>8.1</v>
      </c>
      <c r="H98" s="233">
        <v>2.2000000000000002</v>
      </c>
      <c r="J98" s="233">
        <v>2.7</v>
      </c>
      <c r="K98" s="235">
        <v>2.9</v>
      </c>
      <c r="L98" s="235">
        <v>39</v>
      </c>
      <c r="M98" s="235">
        <v>1300</v>
      </c>
      <c r="N98" s="235">
        <v>120</v>
      </c>
      <c r="O98" s="235">
        <v>1800</v>
      </c>
      <c r="Q98">
        <v>2017</v>
      </c>
      <c r="R98">
        <v>5</v>
      </c>
      <c r="T98" s="226"/>
      <c r="U98" s="226"/>
      <c r="V98" s="226"/>
      <c r="W98" s="226"/>
      <c r="X98" s="226"/>
      <c r="Y98" s="226"/>
      <c r="Z98" s="226"/>
      <c r="AA98" s="233">
        <f t="shared" si="48"/>
        <v>10.332000000000001</v>
      </c>
      <c r="AB98" s="233">
        <f t="shared" si="49"/>
        <v>12.739174193481931</v>
      </c>
      <c r="AC98" s="233">
        <f t="shared" si="50"/>
        <v>7.9248258065180703</v>
      </c>
      <c r="AD98">
        <v>2.95</v>
      </c>
      <c r="AE98" s="233">
        <f t="shared" si="51"/>
        <v>7.9374301675977676</v>
      </c>
      <c r="AF98" s="233">
        <f t="shared" si="52"/>
        <v>8.0830597168027865</v>
      </c>
      <c r="AG98" s="233">
        <f t="shared" si="53"/>
        <v>7.7918006183927488</v>
      </c>
      <c r="AH98">
        <v>6.5</v>
      </c>
      <c r="AI98" s="233">
        <f t="shared" si="54"/>
        <v>3.3601117318435763</v>
      </c>
      <c r="AJ98" s="233">
        <f t="shared" si="55"/>
        <v>6.3851512410714601</v>
      </c>
      <c r="AK98" s="233">
        <f t="shared" si="56"/>
        <v>0.33507222261569281</v>
      </c>
      <c r="AL98">
        <v>7</v>
      </c>
      <c r="AM98" s="233">
        <f t="shared" si="57"/>
        <v>48.104347826086951</v>
      </c>
      <c r="AN98" s="233">
        <f t="shared" si="58"/>
        <v>52.277593646348265</v>
      </c>
      <c r="AO98" s="233">
        <f t="shared" si="59"/>
        <v>43.931102005825636</v>
      </c>
      <c r="AP98" s="233">
        <f t="shared" si="60"/>
        <v>2.0655865921787711</v>
      </c>
      <c r="AQ98" s="233">
        <f t="shared" si="61"/>
        <v>3.1665882132978602</v>
      </c>
      <c r="AR98" s="233">
        <f t="shared" si="62"/>
        <v>0.96458497105968211</v>
      </c>
      <c r="AS98" s="235">
        <f t="shared" si="63"/>
        <v>33.105027932960894</v>
      </c>
      <c r="AT98" s="235">
        <f t="shared" si="64"/>
        <v>50.535961542150602</v>
      </c>
      <c r="AU98" s="235">
        <f t="shared" si="65"/>
        <v>15.67409432377119</v>
      </c>
      <c r="AV98">
        <v>100</v>
      </c>
      <c r="AW98" s="235">
        <f t="shared" si="66"/>
        <v>62.766666666666666</v>
      </c>
      <c r="AX98" s="235">
        <f t="shared" si="67"/>
        <v>80.98511149172171</v>
      </c>
      <c r="AY98" s="235">
        <f t="shared" si="68"/>
        <v>44.548221841611614</v>
      </c>
      <c r="AZ98" s="235">
        <f t="shared" si="69"/>
        <v>2941.6666666666665</v>
      </c>
      <c r="BA98" s="235">
        <f t="shared" si="70"/>
        <v>4966.9775952753826</v>
      </c>
      <c r="BB98" s="235">
        <f t="shared" si="71"/>
        <v>916.35573805795048</v>
      </c>
      <c r="BC98" s="235">
        <f t="shared" si="72"/>
        <v>53.18888888888889</v>
      </c>
      <c r="BD98" s="235">
        <f t="shared" si="73"/>
        <v>112.67052202318322</v>
      </c>
      <c r="BE98" s="235">
        <f t="shared" si="74"/>
        <v>-6.2927442454054372</v>
      </c>
      <c r="BF98" s="235">
        <f t="shared" si="75"/>
        <v>3577.2222222222222</v>
      </c>
      <c r="BG98" s="235">
        <f t="shared" si="76"/>
        <v>5636.1265941907786</v>
      </c>
      <c r="BH98" s="235">
        <f t="shared" si="77"/>
        <v>1518.3178502536657</v>
      </c>
      <c r="BI98">
        <v>5000</v>
      </c>
      <c r="BJ98" s="235">
        <f t="shared" si="78"/>
        <v>0</v>
      </c>
      <c r="BK98" s="235">
        <f t="shared" si="79"/>
        <v>0</v>
      </c>
      <c r="BL98" s="235">
        <f t="shared" si="80"/>
        <v>0</v>
      </c>
      <c r="BO98" s="235">
        <f t="shared" si="81"/>
        <v>42871</v>
      </c>
      <c r="CD98" s="533">
        <f t="shared" si="82"/>
        <v>13.2</v>
      </c>
      <c r="CE98" s="102">
        <f t="shared" si="83"/>
        <v>9.4</v>
      </c>
      <c r="CF98" s="102">
        <f t="shared" si="84"/>
        <v>88</v>
      </c>
      <c r="CG98" s="102">
        <f t="shared" si="85"/>
        <v>8.1</v>
      </c>
      <c r="CH98" s="102">
        <f t="shared" si="86"/>
        <v>2.2000000000000002</v>
      </c>
      <c r="CI98" s="102" t="str">
        <f t="shared" si="87"/>
        <v/>
      </c>
      <c r="CJ98" s="102">
        <f t="shared" si="88"/>
        <v>2.7</v>
      </c>
      <c r="CK98" s="102">
        <f t="shared" si="89"/>
        <v>2.9</v>
      </c>
      <c r="CL98" s="102">
        <f t="shared" si="90"/>
        <v>39</v>
      </c>
      <c r="CM98" s="102">
        <f t="shared" si="91"/>
        <v>1300</v>
      </c>
      <c r="CN98" s="102">
        <f t="shared" si="92"/>
        <v>120</v>
      </c>
      <c r="CO98" s="102">
        <f t="shared" si="93"/>
        <v>1800</v>
      </c>
      <c r="CP98" s="102" t="str">
        <f t="shared" si="94"/>
        <v/>
      </c>
    </row>
    <row r="99" spans="2:94">
      <c r="B99" t="s">
        <v>252</v>
      </c>
      <c r="C99" s="231">
        <v>42901</v>
      </c>
      <c r="D99" s="233">
        <v>17.7</v>
      </c>
      <c r="E99" s="233">
        <v>7.3</v>
      </c>
      <c r="F99" s="235">
        <v>77</v>
      </c>
      <c r="G99" s="233">
        <v>7.9</v>
      </c>
      <c r="H99" s="233">
        <v>1.3</v>
      </c>
      <c r="J99" s="233">
        <v>1.0900000000000001</v>
      </c>
      <c r="K99" s="235">
        <v>39</v>
      </c>
      <c r="L99" s="235">
        <v>66</v>
      </c>
      <c r="M99" s="235">
        <v>1300</v>
      </c>
      <c r="N99" s="235">
        <v>52</v>
      </c>
      <c r="O99" s="235">
        <v>2000</v>
      </c>
      <c r="Q99">
        <v>2017</v>
      </c>
      <c r="R99">
        <v>6</v>
      </c>
      <c r="T99" s="226"/>
      <c r="U99" s="226"/>
      <c r="V99" s="226"/>
      <c r="W99" s="226"/>
      <c r="X99" s="226"/>
      <c r="Y99" s="226"/>
      <c r="Z99" s="226"/>
      <c r="AA99" s="233">
        <f t="shared" si="48"/>
        <v>10.332000000000001</v>
      </c>
      <c r="AB99" s="233">
        <f t="shared" si="49"/>
        <v>12.739174193481931</v>
      </c>
      <c r="AC99" s="233">
        <f t="shared" si="50"/>
        <v>7.9248258065180703</v>
      </c>
      <c r="AD99">
        <v>2.95</v>
      </c>
      <c r="AE99" s="233">
        <f t="shared" si="51"/>
        <v>7.9374301675977676</v>
      </c>
      <c r="AF99" s="233">
        <f t="shared" si="52"/>
        <v>8.0830597168027865</v>
      </c>
      <c r="AG99" s="233">
        <f t="shared" si="53"/>
        <v>7.7918006183927488</v>
      </c>
      <c r="AH99">
        <v>6.5</v>
      </c>
      <c r="AI99" s="233">
        <f t="shared" si="54"/>
        <v>3.3601117318435763</v>
      </c>
      <c r="AJ99" s="233">
        <f t="shared" si="55"/>
        <v>6.3851512410714601</v>
      </c>
      <c r="AK99" s="233">
        <f t="shared" si="56"/>
        <v>0.33507222261569281</v>
      </c>
      <c r="AL99">
        <v>7</v>
      </c>
      <c r="AM99" s="233">
        <f t="shared" si="57"/>
        <v>48.104347826086951</v>
      </c>
      <c r="AN99" s="233">
        <f t="shared" si="58"/>
        <v>52.277593646348265</v>
      </c>
      <c r="AO99" s="233">
        <f t="shared" si="59"/>
        <v>43.931102005825636</v>
      </c>
      <c r="AP99" s="233">
        <f t="shared" si="60"/>
        <v>2.0655865921787711</v>
      </c>
      <c r="AQ99" s="233">
        <f t="shared" si="61"/>
        <v>3.1665882132978602</v>
      </c>
      <c r="AR99" s="233">
        <f t="shared" si="62"/>
        <v>0.96458497105968211</v>
      </c>
      <c r="AS99" s="235">
        <f t="shared" si="63"/>
        <v>33.105027932960894</v>
      </c>
      <c r="AT99" s="235">
        <f t="shared" si="64"/>
        <v>50.535961542150602</v>
      </c>
      <c r="AU99" s="235">
        <f t="shared" si="65"/>
        <v>15.67409432377119</v>
      </c>
      <c r="AV99">
        <v>100</v>
      </c>
      <c r="AW99" s="235">
        <f t="shared" si="66"/>
        <v>62.766666666666666</v>
      </c>
      <c r="AX99" s="235">
        <f t="shared" si="67"/>
        <v>80.98511149172171</v>
      </c>
      <c r="AY99" s="235">
        <f t="shared" si="68"/>
        <v>44.548221841611614</v>
      </c>
      <c r="AZ99" s="235">
        <f t="shared" si="69"/>
        <v>2941.6666666666665</v>
      </c>
      <c r="BA99" s="235">
        <f t="shared" si="70"/>
        <v>4966.9775952753826</v>
      </c>
      <c r="BB99" s="235">
        <f t="shared" si="71"/>
        <v>916.35573805795048</v>
      </c>
      <c r="BC99" s="235">
        <f t="shared" si="72"/>
        <v>53.18888888888889</v>
      </c>
      <c r="BD99" s="235">
        <f t="shared" si="73"/>
        <v>112.67052202318322</v>
      </c>
      <c r="BE99" s="235">
        <f t="shared" si="74"/>
        <v>-6.2927442454054372</v>
      </c>
      <c r="BF99" s="235">
        <f t="shared" si="75"/>
        <v>3577.2222222222222</v>
      </c>
      <c r="BG99" s="235">
        <f t="shared" si="76"/>
        <v>5636.1265941907786</v>
      </c>
      <c r="BH99" s="235">
        <f t="shared" si="77"/>
        <v>1518.3178502536657</v>
      </c>
      <c r="BI99">
        <v>5000</v>
      </c>
      <c r="BJ99" s="235">
        <f t="shared" si="78"/>
        <v>0</v>
      </c>
      <c r="BK99" s="235">
        <f t="shared" si="79"/>
        <v>0</v>
      </c>
      <c r="BL99" s="235">
        <f t="shared" si="80"/>
        <v>0</v>
      </c>
      <c r="BO99" s="235">
        <f t="shared" si="81"/>
        <v>42901</v>
      </c>
      <c r="CD99" s="533">
        <f t="shared" si="82"/>
        <v>17.7</v>
      </c>
      <c r="CE99" s="102">
        <f t="shared" si="83"/>
        <v>7.3</v>
      </c>
      <c r="CF99" s="102">
        <f t="shared" si="84"/>
        <v>77</v>
      </c>
      <c r="CG99" s="102">
        <f t="shared" si="85"/>
        <v>7.9</v>
      </c>
      <c r="CH99" s="102">
        <f t="shared" si="86"/>
        <v>1.3</v>
      </c>
      <c r="CI99" s="102" t="str">
        <f t="shared" si="87"/>
        <v/>
      </c>
      <c r="CJ99" s="102">
        <f t="shared" si="88"/>
        <v>1.0900000000000001</v>
      </c>
      <c r="CK99" s="102">
        <f t="shared" si="89"/>
        <v>39</v>
      </c>
      <c r="CL99" s="102">
        <f t="shared" si="90"/>
        <v>66</v>
      </c>
      <c r="CM99" s="102">
        <f t="shared" si="91"/>
        <v>1300</v>
      </c>
      <c r="CN99" s="102">
        <f t="shared" si="92"/>
        <v>52</v>
      </c>
      <c r="CO99" s="102">
        <f t="shared" si="93"/>
        <v>2000</v>
      </c>
      <c r="CP99" s="102" t="str">
        <f t="shared" si="94"/>
        <v/>
      </c>
    </row>
    <row r="100" spans="2:94">
      <c r="B100" t="s">
        <v>252</v>
      </c>
      <c r="C100" s="231">
        <v>42927</v>
      </c>
      <c r="D100" s="233">
        <v>19.100000000000001</v>
      </c>
      <c r="E100" s="233">
        <v>8.1</v>
      </c>
      <c r="F100" s="235">
        <v>88</v>
      </c>
      <c r="G100" s="233">
        <v>8</v>
      </c>
      <c r="H100" s="233">
        <v>0.76</v>
      </c>
      <c r="J100" s="233">
        <v>0.82</v>
      </c>
      <c r="K100" s="235">
        <v>22</v>
      </c>
      <c r="L100" s="235">
        <v>56</v>
      </c>
      <c r="M100" s="235">
        <v>1000</v>
      </c>
      <c r="N100" s="235">
        <v>24</v>
      </c>
      <c r="O100" s="235">
        <v>1600</v>
      </c>
      <c r="Q100">
        <v>2017</v>
      </c>
      <c r="R100">
        <v>7</v>
      </c>
      <c r="T100" s="226"/>
      <c r="U100" s="226"/>
      <c r="V100" s="226"/>
      <c r="W100" s="226"/>
      <c r="X100" s="226"/>
      <c r="Y100" s="226"/>
      <c r="Z100" s="226"/>
      <c r="AA100" s="233">
        <f t="shared" si="48"/>
        <v>10.332000000000001</v>
      </c>
      <c r="AB100" s="233">
        <f t="shared" si="49"/>
        <v>12.739174193481931</v>
      </c>
      <c r="AC100" s="233">
        <f t="shared" si="50"/>
        <v>7.9248258065180703</v>
      </c>
      <c r="AD100">
        <v>2.95</v>
      </c>
      <c r="AE100" s="233">
        <f t="shared" si="51"/>
        <v>7.9374301675977676</v>
      </c>
      <c r="AF100" s="233">
        <f t="shared" si="52"/>
        <v>8.0830597168027865</v>
      </c>
      <c r="AG100" s="233">
        <f t="shared" si="53"/>
        <v>7.7918006183927488</v>
      </c>
      <c r="AH100">
        <v>6.5</v>
      </c>
      <c r="AI100" s="233">
        <f t="shared" si="54"/>
        <v>3.3601117318435763</v>
      </c>
      <c r="AJ100" s="233">
        <f t="shared" si="55"/>
        <v>6.3851512410714601</v>
      </c>
      <c r="AK100" s="233">
        <f t="shared" si="56"/>
        <v>0.33507222261569281</v>
      </c>
      <c r="AL100">
        <v>7</v>
      </c>
      <c r="AM100" s="233">
        <f t="shared" si="57"/>
        <v>48.104347826086951</v>
      </c>
      <c r="AN100" s="233">
        <f t="shared" si="58"/>
        <v>52.277593646348265</v>
      </c>
      <c r="AO100" s="233">
        <f t="shared" si="59"/>
        <v>43.931102005825636</v>
      </c>
      <c r="AP100" s="233">
        <f t="shared" si="60"/>
        <v>2.0655865921787711</v>
      </c>
      <c r="AQ100" s="233">
        <f t="shared" si="61"/>
        <v>3.1665882132978602</v>
      </c>
      <c r="AR100" s="233">
        <f t="shared" si="62"/>
        <v>0.96458497105968211</v>
      </c>
      <c r="AS100" s="235">
        <f t="shared" si="63"/>
        <v>33.105027932960894</v>
      </c>
      <c r="AT100" s="235">
        <f t="shared" si="64"/>
        <v>50.535961542150602</v>
      </c>
      <c r="AU100" s="235">
        <f t="shared" si="65"/>
        <v>15.67409432377119</v>
      </c>
      <c r="AV100">
        <v>100</v>
      </c>
      <c r="AW100" s="235">
        <f t="shared" si="66"/>
        <v>62.766666666666666</v>
      </c>
      <c r="AX100" s="235">
        <f t="shared" si="67"/>
        <v>80.98511149172171</v>
      </c>
      <c r="AY100" s="235">
        <f t="shared" si="68"/>
        <v>44.548221841611614</v>
      </c>
      <c r="AZ100" s="235">
        <f t="shared" si="69"/>
        <v>2941.6666666666665</v>
      </c>
      <c r="BA100" s="235">
        <f t="shared" si="70"/>
        <v>4966.9775952753826</v>
      </c>
      <c r="BB100" s="235">
        <f t="shared" si="71"/>
        <v>916.35573805795048</v>
      </c>
      <c r="BC100" s="235">
        <f t="shared" si="72"/>
        <v>53.18888888888889</v>
      </c>
      <c r="BD100" s="235">
        <f t="shared" si="73"/>
        <v>112.67052202318322</v>
      </c>
      <c r="BE100" s="235">
        <f t="shared" si="74"/>
        <v>-6.2927442454054372</v>
      </c>
      <c r="BF100" s="235">
        <f t="shared" si="75"/>
        <v>3577.2222222222222</v>
      </c>
      <c r="BG100" s="235">
        <f t="shared" si="76"/>
        <v>5636.1265941907786</v>
      </c>
      <c r="BH100" s="235">
        <f t="shared" si="77"/>
        <v>1518.3178502536657</v>
      </c>
      <c r="BI100">
        <v>5000</v>
      </c>
      <c r="BJ100" s="235">
        <f t="shared" si="78"/>
        <v>0</v>
      </c>
      <c r="BK100" s="235">
        <f t="shared" si="79"/>
        <v>0</v>
      </c>
      <c r="BL100" s="235">
        <f t="shared" si="80"/>
        <v>0</v>
      </c>
      <c r="BO100" s="235">
        <f t="shared" si="81"/>
        <v>42927</v>
      </c>
      <c r="CD100" s="533">
        <f t="shared" si="82"/>
        <v>19.100000000000001</v>
      </c>
      <c r="CE100" s="102">
        <f t="shared" si="83"/>
        <v>8.1</v>
      </c>
      <c r="CF100" s="102">
        <f t="shared" si="84"/>
        <v>88</v>
      </c>
      <c r="CG100" s="102">
        <f t="shared" si="85"/>
        <v>8</v>
      </c>
      <c r="CH100" s="102">
        <f t="shared" si="86"/>
        <v>0.76</v>
      </c>
      <c r="CI100" s="102" t="str">
        <f t="shared" si="87"/>
        <v/>
      </c>
      <c r="CJ100" s="102">
        <f t="shared" si="88"/>
        <v>0.82</v>
      </c>
      <c r="CK100" s="102">
        <f t="shared" si="89"/>
        <v>22</v>
      </c>
      <c r="CL100" s="102">
        <f t="shared" si="90"/>
        <v>56</v>
      </c>
      <c r="CM100" s="102">
        <f t="shared" si="91"/>
        <v>1000</v>
      </c>
      <c r="CN100" s="102">
        <f t="shared" si="92"/>
        <v>24</v>
      </c>
      <c r="CO100" s="102">
        <f t="shared" si="93"/>
        <v>1600</v>
      </c>
      <c r="CP100" s="102" t="str">
        <f t="shared" si="94"/>
        <v/>
      </c>
    </row>
    <row r="101" spans="2:94">
      <c r="B101" t="s">
        <v>252</v>
      </c>
      <c r="C101" s="231">
        <v>42963</v>
      </c>
      <c r="D101" s="233">
        <v>18.2</v>
      </c>
      <c r="E101" s="233">
        <v>7.2</v>
      </c>
      <c r="F101" s="235">
        <v>76</v>
      </c>
      <c r="G101" s="233">
        <v>7.9</v>
      </c>
      <c r="H101" s="233">
        <v>1.5</v>
      </c>
      <c r="J101" s="233">
        <v>1.1000000000000001</v>
      </c>
      <c r="K101" s="235">
        <v>23</v>
      </c>
      <c r="L101" s="235">
        <v>72</v>
      </c>
      <c r="M101" s="235">
        <v>690</v>
      </c>
      <c r="N101" s="235">
        <v>25</v>
      </c>
      <c r="O101" s="235">
        <v>1200</v>
      </c>
      <c r="Q101">
        <v>2017</v>
      </c>
      <c r="R101">
        <v>8</v>
      </c>
      <c r="T101" s="226"/>
      <c r="U101" s="226"/>
      <c r="V101" s="226"/>
      <c r="W101" s="226"/>
      <c r="X101" s="226"/>
      <c r="Y101" s="226"/>
      <c r="Z101" s="226"/>
      <c r="AA101" s="233">
        <f t="shared" si="48"/>
        <v>10.332000000000001</v>
      </c>
      <c r="AB101" s="233">
        <f t="shared" si="49"/>
        <v>12.739174193481931</v>
      </c>
      <c r="AC101" s="233">
        <f t="shared" si="50"/>
        <v>7.9248258065180703</v>
      </c>
      <c r="AD101">
        <v>2.95</v>
      </c>
      <c r="AE101" s="233">
        <f t="shared" si="51"/>
        <v>7.9374301675977676</v>
      </c>
      <c r="AF101" s="233">
        <f t="shared" si="52"/>
        <v>8.0830597168027865</v>
      </c>
      <c r="AG101" s="233">
        <f t="shared" si="53"/>
        <v>7.7918006183927488</v>
      </c>
      <c r="AH101">
        <v>6.5</v>
      </c>
      <c r="AI101" s="233">
        <f t="shared" si="54"/>
        <v>3.3601117318435763</v>
      </c>
      <c r="AJ101" s="233">
        <f t="shared" si="55"/>
        <v>6.3851512410714601</v>
      </c>
      <c r="AK101" s="233">
        <f t="shared" si="56"/>
        <v>0.33507222261569281</v>
      </c>
      <c r="AL101">
        <v>7</v>
      </c>
      <c r="AM101" s="233">
        <f t="shared" si="57"/>
        <v>48.104347826086951</v>
      </c>
      <c r="AN101" s="233">
        <f t="shared" si="58"/>
        <v>52.277593646348265</v>
      </c>
      <c r="AO101" s="233">
        <f t="shared" si="59"/>
        <v>43.931102005825636</v>
      </c>
      <c r="AP101" s="233">
        <f t="shared" si="60"/>
        <v>2.0655865921787711</v>
      </c>
      <c r="AQ101" s="233">
        <f t="shared" si="61"/>
        <v>3.1665882132978602</v>
      </c>
      <c r="AR101" s="233">
        <f t="shared" si="62"/>
        <v>0.96458497105968211</v>
      </c>
      <c r="AS101" s="235">
        <f t="shared" si="63"/>
        <v>33.105027932960894</v>
      </c>
      <c r="AT101" s="235">
        <f t="shared" si="64"/>
        <v>50.535961542150602</v>
      </c>
      <c r="AU101" s="235">
        <f t="shared" si="65"/>
        <v>15.67409432377119</v>
      </c>
      <c r="AV101">
        <v>100</v>
      </c>
      <c r="AW101" s="235">
        <f t="shared" si="66"/>
        <v>62.766666666666666</v>
      </c>
      <c r="AX101" s="235">
        <f t="shared" si="67"/>
        <v>80.98511149172171</v>
      </c>
      <c r="AY101" s="235">
        <f t="shared" si="68"/>
        <v>44.548221841611614</v>
      </c>
      <c r="AZ101" s="235">
        <f t="shared" si="69"/>
        <v>2941.6666666666665</v>
      </c>
      <c r="BA101" s="235">
        <f t="shared" si="70"/>
        <v>4966.9775952753826</v>
      </c>
      <c r="BB101" s="235">
        <f t="shared" si="71"/>
        <v>916.35573805795048</v>
      </c>
      <c r="BC101" s="235">
        <f t="shared" si="72"/>
        <v>53.18888888888889</v>
      </c>
      <c r="BD101" s="235">
        <f t="shared" si="73"/>
        <v>112.67052202318322</v>
      </c>
      <c r="BE101" s="235">
        <f t="shared" si="74"/>
        <v>-6.2927442454054372</v>
      </c>
      <c r="BF101" s="235">
        <f t="shared" si="75"/>
        <v>3577.2222222222222</v>
      </c>
      <c r="BG101" s="235">
        <f t="shared" si="76"/>
        <v>5636.1265941907786</v>
      </c>
      <c r="BH101" s="235">
        <f t="shared" si="77"/>
        <v>1518.3178502536657</v>
      </c>
      <c r="BI101">
        <v>5000</v>
      </c>
      <c r="BJ101" s="235">
        <f t="shared" si="78"/>
        <v>0</v>
      </c>
      <c r="BK101" s="235">
        <f t="shared" si="79"/>
        <v>0</v>
      </c>
      <c r="BL101" s="235">
        <f t="shared" si="80"/>
        <v>0</v>
      </c>
      <c r="BO101" s="235">
        <f t="shared" si="81"/>
        <v>42963</v>
      </c>
      <c r="CD101" s="533">
        <f t="shared" si="82"/>
        <v>18.2</v>
      </c>
      <c r="CE101" s="102">
        <f t="shared" si="83"/>
        <v>7.2</v>
      </c>
      <c r="CF101" s="102">
        <f t="shared" si="84"/>
        <v>76</v>
      </c>
      <c r="CG101" s="102">
        <f t="shared" si="85"/>
        <v>7.9</v>
      </c>
      <c r="CH101" s="102">
        <f t="shared" si="86"/>
        <v>1.5</v>
      </c>
      <c r="CI101" s="102" t="str">
        <f t="shared" si="87"/>
        <v/>
      </c>
      <c r="CJ101" s="102">
        <f t="shared" si="88"/>
        <v>1.1000000000000001</v>
      </c>
      <c r="CK101" s="102">
        <f t="shared" si="89"/>
        <v>23</v>
      </c>
      <c r="CL101" s="102">
        <f t="shared" si="90"/>
        <v>72</v>
      </c>
      <c r="CM101" s="102">
        <f t="shared" si="91"/>
        <v>690</v>
      </c>
      <c r="CN101" s="102">
        <f t="shared" si="92"/>
        <v>25</v>
      </c>
      <c r="CO101" s="102">
        <f t="shared" si="93"/>
        <v>1200</v>
      </c>
      <c r="CP101" s="102" t="str">
        <f t="shared" si="94"/>
        <v/>
      </c>
    </row>
    <row r="102" spans="2:94">
      <c r="B102" t="s">
        <v>252</v>
      </c>
      <c r="C102" s="231">
        <v>42990</v>
      </c>
      <c r="D102" s="233">
        <v>14.4</v>
      </c>
      <c r="E102" s="233">
        <v>8.3000000000000007</v>
      </c>
      <c r="F102" s="235">
        <v>81</v>
      </c>
      <c r="G102" s="233">
        <v>7.9</v>
      </c>
      <c r="H102" s="233">
        <v>2.7</v>
      </c>
      <c r="J102" s="233">
        <v>1.4</v>
      </c>
      <c r="K102" s="235">
        <v>69</v>
      </c>
      <c r="L102" s="235">
        <v>97</v>
      </c>
      <c r="M102" s="235">
        <v>6400</v>
      </c>
      <c r="N102" s="235">
        <v>30</v>
      </c>
      <c r="O102" s="235">
        <v>6300</v>
      </c>
      <c r="Q102">
        <v>2017</v>
      </c>
      <c r="R102">
        <v>9</v>
      </c>
      <c r="T102" s="226"/>
      <c r="U102" s="226"/>
      <c r="V102" s="226"/>
      <c r="W102" s="226"/>
      <c r="X102" s="226"/>
      <c r="Y102" s="226"/>
      <c r="Z102" s="226"/>
      <c r="AA102" s="233">
        <f t="shared" si="48"/>
        <v>10.332000000000001</v>
      </c>
      <c r="AB102" s="233">
        <f t="shared" si="49"/>
        <v>12.739174193481931</v>
      </c>
      <c r="AC102" s="233">
        <f t="shared" si="50"/>
        <v>7.9248258065180703</v>
      </c>
      <c r="AD102">
        <v>2.95</v>
      </c>
      <c r="AE102" s="233">
        <f t="shared" si="51"/>
        <v>7.9374301675977676</v>
      </c>
      <c r="AF102" s="233">
        <f t="shared" si="52"/>
        <v>8.0830597168027865</v>
      </c>
      <c r="AG102" s="233">
        <f t="shared" si="53"/>
        <v>7.7918006183927488</v>
      </c>
      <c r="AH102">
        <v>6.5</v>
      </c>
      <c r="AI102" s="233">
        <f t="shared" si="54"/>
        <v>3.3601117318435763</v>
      </c>
      <c r="AJ102" s="233">
        <f t="shared" si="55"/>
        <v>6.3851512410714601</v>
      </c>
      <c r="AK102" s="233">
        <f t="shared" si="56"/>
        <v>0.33507222261569281</v>
      </c>
      <c r="AL102">
        <v>7</v>
      </c>
      <c r="AM102" s="233">
        <f t="shared" si="57"/>
        <v>48.104347826086951</v>
      </c>
      <c r="AN102" s="233">
        <f t="shared" si="58"/>
        <v>52.277593646348265</v>
      </c>
      <c r="AO102" s="233">
        <f t="shared" si="59"/>
        <v>43.931102005825636</v>
      </c>
      <c r="AP102" s="233">
        <f t="shared" si="60"/>
        <v>2.0655865921787711</v>
      </c>
      <c r="AQ102" s="233">
        <f t="shared" si="61"/>
        <v>3.1665882132978602</v>
      </c>
      <c r="AR102" s="233">
        <f t="shared" si="62"/>
        <v>0.96458497105968211</v>
      </c>
      <c r="AS102" s="235">
        <f t="shared" si="63"/>
        <v>33.105027932960894</v>
      </c>
      <c r="AT102" s="235">
        <f t="shared" si="64"/>
        <v>50.535961542150602</v>
      </c>
      <c r="AU102" s="235">
        <f t="shared" si="65"/>
        <v>15.67409432377119</v>
      </c>
      <c r="AV102">
        <v>100</v>
      </c>
      <c r="AW102" s="235">
        <f t="shared" si="66"/>
        <v>62.766666666666666</v>
      </c>
      <c r="AX102" s="235">
        <f t="shared" si="67"/>
        <v>80.98511149172171</v>
      </c>
      <c r="AY102" s="235">
        <f t="shared" si="68"/>
        <v>44.548221841611614</v>
      </c>
      <c r="AZ102" s="235">
        <f t="shared" si="69"/>
        <v>2941.6666666666665</v>
      </c>
      <c r="BA102" s="235">
        <f t="shared" si="70"/>
        <v>4966.9775952753826</v>
      </c>
      <c r="BB102" s="235">
        <f t="shared" si="71"/>
        <v>916.35573805795048</v>
      </c>
      <c r="BC102" s="235">
        <f t="shared" si="72"/>
        <v>53.18888888888889</v>
      </c>
      <c r="BD102" s="235">
        <f t="shared" si="73"/>
        <v>112.67052202318322</v>
      </c>
      <c r="BE102" s="235">
        <f t="shared" si="74"/>
        <v>-6.2927442454054372</v>
      </c>
      <c r="BF102" s="235">
        <f t="shared" si="75"/>
        <v>3577.2222222222222</v>
      </c>
      <c r="BG102" s="235">
        <f t="shared" si="76"/>
        <v>5636.1265941907786</v>
      </c>
      <c r="BH102" s="235">
        <f t="shared" si="77"/>
        <v>1518.3178502536657</v>
      </c>
      <c r="BI102">
        <v>5000</v>
      </c>
      <c r="BJ102" s="235">
        <f t="shared" si="78"/>
        <v>0</v>
      </c>
      <c r="BK102" s="235">
        <f t="shared" si="79"/>
        <v>0</v>
      </c>
      <c r="BL102" s="235">
        <f t="shared" si="80"/>
        <v>0</v>
      </c>
      <c r="BO102" s="235">
        <f t="shared" si="81"/>
        <v>42990</v>
      </c>
      <c r="CD102" s="533">
        <f t="shared" si="82"/>
        <v>14.4</v>
      </c>
      <c r="CE102" s="102">
        <f t="shared" si="83"/>
        <v>8.3000000000000007</v>
      </c>
      <c r="CF102" s="102">
        <f t="shared" si="84"/>
        <v>81</v>
      </c>
      <c r="CG102" s="102">
        <f t="shared" si="85"/>
        <v>7.9</v>
      </c>
      <c r="CH102" s="102">
        <f t="shared" si="86"/>
        <v>2.7</v>
      </c>
      <c r="CI102" s="102" t="str">
        <f t="shared" si="87"/>
        <v/>
      </c>
      <c r="CJ102" s="102">
        <f t="shared" si="88"/>
        <v>1.4</v>
      </c>
      <c r="CK102" s="102">
        <f t="shared" si="89"/>
        <v>69</v>
      </c>
      <c r="CL102" s="102">
        <f t="shared" si="90"/>
        <v>97</v>
      </c>
      <c r="CM102" s="102">
        <f t="shared" si="91"/>
        <v>6400</v>
      </c>
      <c r="CN102" s="102">
        <f t="shared" si="92"/>
        <v>30</v>
      </c>
      <c r="CO102" s="102">
        <f t="shared" si="93"/>
        <v>6300</v>
      </c>
      <c r="CP102" s="102" t="str">
        <f t="shared" si="94"/>
        <v/>
      </c>
    </row>
    <row r="103" spans="2:94">
      <c r="B103" t="s">
        <v>252</v>
      </c>
      <c r="C103" s="231">
        <v>43027</v>
      </c>
      <c r="D103" s="233">
        <v>12.3</v>
      </c>
      <c r="E103" s="233">
        <v>9.1</v>
      </c>
      <c r="F103" s="235">
        <v>85</v>
      </c>
      <c r="G103" s="233">
        <v>8</v>
      </c>
      <c r="H103" s="233">
        <v>1.8</v>
      </c>
      <c r="J103" s="233">
        <v>1.2</v>
      </c>
      <c r="K103" s="235">
        <v>42</v>
      </c>
      <c r="L103" s="235">
        <v>67</v>
      </c>
      <c r="M103" s="235">
        <v>4000</v>
      </c>
      <c r="N103" s="235">
        <v>28</v>
      </c>
      <c r="O103" s="235">
        <v>4500</v>
      </c>
      <c r="Q103">
        <v>2017</v>
      </c>
      <c r="R103">
        <v>10</v>
      </c>
      <c r="T103" s="226"/>
      <c r="U103" s="226"/>
      <c r="V103" s="226"/>
      <c r="W103" s="226"/>
      <c r="X103" s="226"/>
      <c r="Y103" s="226"/>
      <c r="Z103" s="226"/>
      <c r="AA103" s="233">
        <f t="shared" si="48"/>
        <v>10.332000000000001</v>
      </c>
      <c r="AB103" s="233">
        <f t="shared" si="49"/>
        <v>12.739174193481931</v>
      </c>
      <c r="AC103" s="233">
        <f t="shared" si="50"/>
        <v>7.9248258065180703</v>
      </c>
      <c r="AD103">
        <v>2.95</v>
      </c>
      <c r="AE103" s="233">
        <f t="shared" si="51"/>
        <v>7.9374301675977676</v>
      </c>
      <c r="AF103" s="233">
        <f t="shared" si="52"/>
        <v>8.0830597168027865</v>
      </c>
      <c r="AG103" s="233">
        <f t="shared" si="53"/>
        <v>7.7918006183927488</v>
      </c>
      <c r="AH103">
        <v>6.5</v>
      </c>
      <c r="AI103" s="233">
        <f t="shared" si="54"/>
        <v>3.3601117318435763</v>
      </c>
      <c r="AJ103" s="233">
        <f t="shared" si="55"/>
        <v>6.3851512410714601</v>
      </c>
      <c r="AK103" s="233">
        <f t="shared" si="56"/>
        <v>0.33507222261569281</v>
      </c>
      <c r="AL103">
        <v>7</v>
      </c>
      <c r="AM103" s="233">
        <f t="shared" si="57"/>
        <v>48.104347826086951</v>
      </c>
      <c r="AN103" s="233">
        <f t="shared" si="58"/>
        <v>52.277593646348265</v>
      </c>
      <c r="AO103" s="233">
        <f t="shared" si="59"/>
        <v>43.931102005825636</v>
      </c>
      <c r="AP103" s="233">
        <f t="shared" si="60"/>
        <v>2.0655865921787711</v>
      </c>
      <c r="AQ103" s="233">
        <f t="shared" si="61"/>
        <v>3.1665882132978602</v>
      </c>
      <c r="AR103" s="233">
        <f t="shared" si="62"/>
        <v>0.96458497105968211</v>
      </c>
      <c r="AS103" s="235">
        <f t="shared" si="63"/>
        <v>33.105027932960894</v>
      </c>
      <c r="AT103" s="235">
        <f t="shared" si="64"/>
        <v>50.535961542150602</v>
      </c>
      <c r="AU103" s="235">
        <f t="shared" si="65"/>
        <v>15.67409432377119</v>
      </c>
      <c r="AV103">
        <v>100</v>
      </c>
      <c r="AW103" s="235">
        <f t="shared" si="66"/>
        <v>62.766666666666666</v>
      </c>
      <c r="AX103" s="235">
        <f t="shared" si="67"/>
        <v>80.98511149172171</v>
      </c>
      <c r="AY103" s="235">
        <f t="shared" si="68"/>
        <v>44.548221841611614</v>
      </c>
      <c r="AZ103" s="235">
        <f t="shared" si="69"/>
        <v>2941.6666666666665</v>
      </c>
      <c r="BA103" s="235">
        <f t="shared" si="70"/>
        <v>4966.9775952753826</v>
      </c>
      <c r="BB103" s="235">
        <f t="shared" si="71"/>
        <v>916.35573805795048</v>
      </c>
      <c r="BC103" s="235">
        <f t="shared" si="72"/>
        <v>53.18888888888889</v>
      </c>
      <c r="BD103" s="235">
        <f t="shared" si="73"/>
        <v>112.67052202318322</v>
      </c>
      <c r="BE103" s="235">
        <f t="shared" si="74"/>
        <v>-6.2927442454054372</v>
      </c>
      <c r="BF103" s="235">
        <f t="shared" si="75"/>
        <v>3577.2222222222222</v>
      </c>
      <c r="BG103" s="235">
        <f t="shared" si="76"/>
        <v>5636.1265941907786</v>
      </c>
      <c r="BH103" s="235">
        <f t="shared" si="77"/>
        <v>1518.3178502536657</v>
      </c>
      <c r="BI103">
        <v>5000</v>
      </c>
      <c r="BJ103" s="235">
        <f t="shared" si="78"/>
        <v>0</v>
      </c>
      <c r="BK103" s="235">
        <f t="shared" si="79"/>
        <v>0</v>
      </c>
      <c r="BL103" s="235">
        <f t="shared" si="80"/>
        <v>0</v>
      </c>
      <c r="BO103" s="235">
        <f t="shared" si="81"/>
        <v>43027</v>
      </c>
      <c r="CD103" s="533">
        <f t="shared" si="82"/>
        <v>12.3</v>
      </c>
      <c r="CE103" s="102">
        <f t="shared" si="83"/>
        <v>9.1</v>
      </c>
      <c r="CF103" s="102">
        <f t="shared" si="84"/>
        <v>85</v>
      </c>
      <c r="CG103" s="102">
        <f t="shared" si="85"/>
        <v>8</v>
      </c>
      <c r="CH103" s="102">
        <f t="shared" si="86"/>
        <v>1.8</v>
      </c>
      <c r="CI103" s="102" t="str">
        <f t="shared" si="87"/>
        <v/>
      </c>
      <c r="CJ103" s="102">
        <f t="shared" si="88"/>
        <v>1.2</v>
      </c>
      <c r="CK103" s="102">
        <f t="shared" si="89"/>
        <v>42</v>
      </c>
      <c r="CL103" s="102">
        <f t="shared" si="90"/>
        <v>67</v>
      </c>
      <c r="CM103" s="102">
        <f t="shared" si="91"/>
        <v>4000</v>
      </c>
      <c r="CN103" s="102">
        <f t="shared" si="92"/>
        <v>28</v>
      </c>
      <c r="CO103" s="102">
        <f t="shared" si="93"/>
        <v>4500</v>
      </c>
      <c r="CP103" s="102" t="str">
        <f t="shared" si="94"/>
        <v/>
      </c>
    </row>
    <row r="104" spans="2:94">
      <c r="B104" t="s">
        <v>252</v>
      </c>
      <c r="C104" s="231">
        <v>43053</v>
      </c>
      <c r="D104" s="233">
        <v>5.0999999999999996</v>
      </c>
      <c r="E104" s="233">
        <v>12.2</v>
      </c>
      <c r="F104" s="235">
        <v>96</v>
      </c>
      <c r="G104" s="233">
        <v>8.1</v>
      </c>
      <c r="H104" s="233">
        <v>2.9</v>
      </c>
      <c r="J104" s="233">
        <v>1.6</v>
      </c>
      <c r="K104" s="235">
        <v>46</v>
      </c>
      <c r="L104" s="235">
        <v>65</v>
      </c>
      <c r="M104" s="235">
        <v>3100</v>
      </c>
      <c r="N104" s="235">
        <v>32</v>
      </c>
      <c r="O104" s="235">
        <v>3600</v>
      </c>
      <c r="Q104">
        <v>2017</v>
      </c>
      <c r="R104">
        <v>11</v>
      </c>
      <c r="T104" s="226"/>
      <c r="U104" s="226"/>
      <c r="V104" s="226"/>
      <c r="W104" s="226"/>
      <c r="X104" s="226"/>
      <c r="Y104" s="226"/>
      <c r="Z104" s="226"/>
      <c r="AA104" s="233">
        <f t="shared" si="48"/>
        <v>10.332000000000001</v>
      </c>
      <c r="AB104" s="233">
        <f t="shared" si="49"/>
        <v>12.739174193481931</v>
      </c>
      <c r="AC104" s="233">
        <f t="shared" si="50"/>
        <v>7.9248258065180703</v>
      </c>
      <c r="AD104">
        <v>2.95</v>
      </c>
      <c r="AE104" s="233">
        <f t="shared" si="51"/>
        <v>7.9374301675977676</v>
      </c>
      <c r="AF104" s="233">
        <f t="shared" si="52"/>
        <v>8.0830597168027865</v>
      </c>
      <c r="AG104" s="233">
        <f t="shared" si="53"/>
        <v>7.7918006183927488</v>
      </c>
      <c r="AH104">
        <v>6.5</v>
      </c>
      <c r="AI104" s="233">
        <f t="shared" si="54"/>
        <v>3.3601117318435763</v>
      </c>
      <c r="AJ104" s="233">
        <f t="shared" si="55"/>
        <v>6.3851512410714601</v>
      </c>
      <c r="AK104" s="233">
        <f t="shared" si="56"/>
        <v>0.33507222261569281</v>
      </c>
      <c r="AL104">
        <v>7</v>
      </c>
      <c r="AM104" s="233">
        <f t="shared" si="57"/>
        <v>48.104347826086951</v>
      </c>
      <c r="AN104" s="233">
        <f t="shared" si="58"/>
        <v>52.277593646348265</v>
      </c>
      <c r="AO104" s="233">
        <f t="shared" si="59"/>
        <v>43.931102005825636</v>
      </c>
      <c r="AP104" s="233">
        <f t="shared" si="60"/>
        <v>2.0655865921787711</v>
      </c>
      <c r="AQ104" s="233">
        <f t="shared" si="61"/>
        <v>3.1665882132978602</v>
      </c>
      <c r="AR104" s="233">
        <f t="shared" si="62"/>
        <v>0.96458497105968211</v>
      </c>
      <c r="AS104" s="235">
        <f t="shared" si="63"/>
        <v>33.105027932960894</v>
      </c>
      <c r="AT104" s="235">
        <f t="shared" si="64"/>
        <v>50.535961542150602</v>
      </c>
      <c r="AU104" s="235">
        <f t="shared" si="65"/>
        <v>15.67409432377119</v>
      </c>
      <c r="AV104">
        <v>100</v>
      </c>
      <c r="AW104" s="235">
        <f t="shared" si="66"/>
        <v>62.766666666666666</v>
      </c>
      <c r="AX104" s="235">
        <f t="shared" si="67"/>
        <v>80.98511149172171</v>
      </c>
      <c r="AY104" s="235">
        <f t="shared" si="68"/>
        <v>44.548221841611614</v>
      </c>
      <c r="AZ104" s="235">
        <f t="shared" si="69"/>
        <v>2941.6666666666665</v>
      </c>
      <c r="BA104" s="235">
        <f t="shared" si="70"/>
        <v>4966.9775952753826</v>
      </c>
      <c r="BB104" s="235">
        <f t="shared" si="71"/>
        <v>916.35573805795048</v>
      </c>
      <c r="BC104" s="235">
        <f t="shared" si="72"/>
        <v>53.18888888888889</v>
      </c>
      <c r="BD104" s="235">
        <f t="shared" si="73"/>
        <v>112.67052202318322</v>
      </c>
      <c r="BE104" s="235">
        <f t="shared" si="74"/>
        <v>-6.2927442454054372</v>
      </c>
      <c r="BF104" s="235">
        <f t="shared" si="75"/>
        <v>3577.2222222222222</v>
      </c>
      <c r="BG104" s="235">
        <f t="shared" si="76"/>
        <v>5636.1265941907786</v>
      </c>
      <c r="BH104" s="235">
        <f t="shared" si="77"/>
        <v>1518.3178502536657</v>
      </c>
      <c r="BI104">
        <v>5000</v>
      </c>
      <c r="BJ104" s="235">
        <f t="shared" si="78"/>
        <v>0</v>
      </c>
      <c r="BK104" s="235">
        <f t="shared" si="79"/>
        <v>0</v>
      </c>
      <c r="BL104" s="235">
        <f t="shared" si="80"/>
        <v>0</v>
      </c>
      <c r="BO104" s="235">
        <f t="shared" si="81"/>
        <v>43053</v>
      </c>
      <c r="CD104" s="533">
        <f t="shared" si="82"/>
        <v>5.0999999999999996</v>
      </c>
      <c r="CE104" s="102">
        <f t="shared" si="83"/>
        <v>12.2</v>
      </c>
      <c r="CF104" s="102">
        <f t="shared" si="84"/>
        <v>96</v>
      </c>
      <c r="CG104" s="102">
        <f t="shared" si="85"/>
        <v>8.1</v>
      </c>
      <c r="CH104" s="102">
        <f t="shared" si="86"/>
        <v>2.9</v>
      </c>
      <c r="CI104" s="102" t="str">
        <f t="shared" si="87"/>
        <v/>
      </c>
      <c r="CJ104" s="102">
        <f t="shared" si="88"/>
        <v>1.6</v>
      </c>
      <c r="CK104" s="102">
        <f t="shared" si="89"/>
        <v>46</v>
      </c>
      <c r="CL104" s="102">
        <f t="shared" si="90"/>
        <v>65</v>
      </c>
      <c r="CM104" s="102">
        <f t="shared" si="91"/>
        <v>3100</v>
      </c>
      <c r="CN104" s="102">
        <f t="shared" si="92"/>
        <v>32</v>
      </c>
      <c r="CO104" s="102">
        <f t="shared" si="93"/>
        <v>3600</v>
      </c>
      <c r="CP104" s="102" t="str">
        <f t="shared" si="94"/>
        <v/>
      </c>
    </row>
    <row r="105" spans="2:94">
      <c r="B105" t="s">
        <v>252</v>
      </c>
      <c r="C105" s="231">
        <v>43081</v>
      </c>
      <c r="D105" s="233">
        <v>3.1</v>
      </c>
      <c r="E105" s="233">
        <v>12.5</v>
      </c>
      <c r="F105" s="235">
        <v>96</v>
      </c>
      <c r="G105" s="233">
        <v>8</v>
      </c>
      <c r="H105" s="233">
        <v>5.4</v>
      </c>
      <c r="J105" s="233">
        <v>1.4</v>
      </c>
      <c r="K105" s="235">
        <v>44</v>
      </c>
      <c r="L105" s="235">
        <v>65</v>
      </c>
      <c r="M105" s="235">
        <v>3800</v>
      </c>
      <c r="N105" s="235">
        <v>60</v>
      </c>
      <c r="O105" s="235">
        <v>4600</v>
      </c>
      <c r="Q105">
        <v>2017</v>
      </c>
      <c r="R105">
        <v>12</v>
      </c>
      <c r="T105" s="226"/>
      <c r="U105" s="226"/>
      <c r="V105" s="226"/>
      <c r="W105" s="226"/>
      <c r="X105" s="226"/>
      <c r="Y105" s="226"/>
      <c r="Z105" s="226"/>
      <c r="AA105" s="233">
        <f t="shared" si="48"/>
        <v>10.332000000000001</v>
      </c>
      <c r="AB105" s="233">
        <f t="shared" si="49"/>
        <v>12.739174193481931</v>
      </c>
      <c r="AC105" s="233">
        <f t="shared" si="50"/>
        <v>7.9248258065180703</v>
      </c>
      <c r="AD105">
        <v>2.95</v>
      </c>
      <c r="AE105" s="233">
        <f t="shared" si="51"/>
        <v>7.9374301675977676</v>
      </c>
      <c r="AF105" s="233">
        <f t="shared" si="52"/>
        <v>8.0830597168027865</v>
      </c>
      <c r="AG105" s="233">
        <f t="shared" si="53"/>
        <v>7.7918006183927488</v>
      </c>
      <c r="AH105">
        <v>6.5</v>
      </c>
      <c r="AI105" s="233">
        <f t="shared" si="54"/>
        <v>3.3601117318435763</v>
      </c>
      <c r="AJ105" s="233">
        <f t="shared" si="55"/>
        <v>6.3851512410714601</v>
      </c>
      <c r="AK105" s="233">
        <f t="shared" si="56"/>
        <v>0.33507222261569281</v>
      </c>
      <c r="AL105">
        <v>7</v>
      </c>
      <c r="AM105" s="233">
        <f t="shared" si="57"/>
        <v>48.104347826086951</v>
      </c>
      <c r="AN105" s="233">
        <f t="shared" si="58"/>
        <v>52.277593646348265</v>
      </c>
      <c r="AO105" s="233">
        <f t="shared" si="59"/>
        <v>43.931102005825636</v>
      </c>
      <c r="AP105" s="233">
        <f t="shared" si="60"/>
        <v>2.0655865921787711</v>
      </c>
      <c r="AQ105" s="233">
        <f t="shared" si="61"/>
        <v>3.1665882132978602</v>
      </c>
      <c r="AR105" s="233">
        <f t="shared" si="62"/>
        <v>0.96458497105968211</v>
      </c>
      <c r="AS105" s="235">
        <f t="shared" si="63"/>
        <v>33.105027932960894</v>
      </c>
      <c r="AT105" s="235">
        <f t="shared" si="64"/>
        <v>50.535961542150602</v>
      </c>
      <c r="AU105" s="235">
        <f t="shared" si="65"/>
        <v>15.67409432377119</v>
      </c>
      <c r="AV105">
        <v>100</v>
      </c>
      <c r="AW105" s="235">
        <f t="shared" si="66"/>
        <v>62.766666666666666</v>
      </c>
      <c r="AX105" s="235">
        <f t="shared" si="67"/>
        <v>80.98511149172171</v>
      </c>
      <c r="AY105" s="235">
        <f t="shared" si="68"/>
        <v>44.548221841611614</v>
      </c>
      <c r="AZ105" s="235">
        <f t="shared" si="69"/>
        <v>2941.6666666666665</v>
      </c>
      <c r="BA105" s="235">
        <f t="shared" si="70"/>
        <v>4966.9775952753826</v>
      </c>
      <c r="BB105" s="235">
        <f t="shared" si="71"/>
        <v>916.35573805795048</v>
      </c>
      <c r="BC105" s="235">
        <f t="shared" si="72"/>
        <v>53.18888888888889</v>
      </c>
      <c r="BD105" s="235">
        <f t="shared" si="73"/>
        <v>112.67052202318322</v>
      </c>
      <c r="BE105" s="235">
        <f t="shared" si="74"/>
        <v>-6.2927442454054372</v>
      </c>
      <c r="BF105" s="235">
        <f t="shared" si="75"/>
        <v>3577.2222222222222</v>
      </c>
      <c r="BG105" s="235">
        <f t="shared" si="76"/>
        <v>5636.1265941907786</v>
      </c>
      <c r="BH105" s="235">
        <f t="shared" si="77"/>
        <v>1518.3178502536657</v>
      </c>
      <c r="BI105">
        <v>5000</v>
      </c>
      <c r="BJ105" s="235">
        <f t="shared" si="78"/>
        <v>0</v>
      </c>
      <c r="BK105" s="235">
        <f t="shared" si="79"/>
        <v>0</v>
      </c>
      <c r="BL105" s="235">
        <f t="shared" si="80"/>
        <v>0</v>
      </c>
      <c r="BO105" s="235">
        <f t="shared" si="81"/>
        <v>43081</v>
      </c>
      <c r="CD105" s="533">
        <f t="shared" si="82"/>
        <v>3.1</v>
      </c>
      <c r="CE105" s="102">
        <f t="shared" si="83"/>
        <v>12.5</v>
      </c>
      <c r="CF105" s="102">
        <f t="shared" si="84"/>
        <v>96</v>
      </c>
      <c r="CG105" s="102">
        <f t="shared" si="85"/>
        <v>8</v>
      </c>
      <c r="CH105" s="102">
        <f t="shared" si="86"/>
        <v>5.4</v>
      </c>
      <c r="CI105" s="102" t="str">
        <f t="shared" si="87"/>
        <v/>
      </c>
      <c r="CJ105" s="102">
        <f t="shared" si="88"/>
        <v>1.4</v>
      </c>
      <c r="CK105" s="102">
        <f t="shared" si="89"/>
        <v>44</v>
      </c>
      <c r="CL105" s="102">
        <f t="shared" si="90"/>
        <v>65</v>
      </c>
      <c r="CM105" s="102">
        <f t="shared" si="91"/>
        <v>3800</v>
      </c>
      <c r="CN105" s="102">
        <f t="shared" si="92"/>
        <v>60</v>
      </c>
      <c r="CO105" s="102">
        <f t="shared" si="93"/>
        <v>4600</v>
      </c>
      <c r="CP105" s="102" t="str">
        <f t="shared" si="94"/>
        <v/>
      </c>
    </row>
    <row r="106" spans="2:94">
      <c r="B106" t="s">
        <v>252</v>
      </c>
      <c r="C106" s="231">
        <v>43117</v>
      </c>
      <c r="D106" s="233">
        <v>2.1</v>
      </c>
      <c r="E106" s="233">
        <v>13.2</v>
      </c>
      <c r="F106" s="235">
        <v>96</v>
      </c>
      <c r="G106" s="233">
        <v>7.91</v>
      </c>
      <c r="H106" s="233">
        <v>7.9</v>
      </c>
      <c r="J106" s="233">
        <v>3.1</v>
      </c>
      <c r="K106" s="235">
        <v>44</v>
      </c>
      <c r="L106" s="235">
        <v>78</v>
      </c>
      <c r="M106" s="235">
        <v>3900</v>
      </c>
      <c r="N106" s="235">
        <v>91</v>
      </c>
      <c r="O106" s="235">
        <v>10000</v>
      </c>
      <c r="Q106">
        <v>2018</v>
      </c>
      <c r="R106">
        <v>1</v>
      </c>
      <c r="T106" s="226"/>
      <c r="U106" s="226"/>
      <c r="V106" s="226"/>
      <c r="W106" s="226"/>
      <c r="X106" s="226"/>
      <c r="Y106" s="226"/>
      <c r="Z106" s="226"/>
      <c r="AA106" s="233">
        <f t="shared" si="48"/>
        <v>10.332000000000001</v>
      </c>
      <c r="AB106" s="233">
        <f t="shared" si="49"/>
        <v>12.739174193481931</v>
      </c>
      <c r="AC106" s="233">
        <f t="shared" si="50"/>
        <v>7.9248258065180703</v>
      </c>
      <c r="AD106">
        <v>2.95</v>
      </c>
      <c r="AE106" s="233">
        <f t="shared" si="51"/>
        <v>7.9374301675977676</v>
      </c>
      <c r="AF106" s="233">
        <f t="shared" si="52"/>
        <v>8.0830597168027865</v>
      </c>
      <c r="AG106" s="233">
        <f t="shared" si="53"/>
        <v>7.7918006183927488</v>
      </c>
      <c r="AH106">
        <v>6.5</v>
      </c>
      <c r="AI106" s="233">
        <f t="shared" si="54"/>
        <v>3.3601117318435763</v>
      </c>
      <c r="AJ106" s="233">
        <f t="shared" si="55"/>
        <v>6.3851512410714601</v>
      </c>
      <c r="AK106" s="233">
        <f t="shared" si="56"/>
        <v>0.33507222261569281</v>
      </c>
      <c r="AL106">
        <v>7</v>
      </c>
      <c r="AM106" s="233">
        <f t="shared" si="57"/>
        <v>48.104347826086951</v>
      </c>
      <c r="AN106" s="233">
        <f t="shared" si="58"/>
        <v>52.277593646348265</v>
      </c>
      <c r="AO106" s="233">
        <f t="shared" si="59"/>
        <v>43.931102005825636</v>
      </c>
      <c r="AP106" s="233">
        <f t="shared" si="60"/>
        <v>2.0655865921787711</v>
      </c>
      <c r="AQ106" s="233">
        <f t="shared" si="61"/>
        <v>3.1665882132978602</v>
      </c>
      <c r="AR106" s="233">
        <f t="shared" si="62"/>
        <v>0.96458497105968211</v>
      </c>
      <c r="AS106" s="235">
        <f t="shared" si="63"/>
        <v>33.105027932960894</v>
      </c>
      <c r="AT106" s="235">
        <f t="shared" si="64"/>
        <v>50.535961542150602</v>
      </c>
      <c r="AU106" s="235">
        <f t="shared" si="65"/>
        <v>15.67409432377119</v>
      </c>
      <c r="AV106">
        <v>100</v>
      </c>
      <c r="AW106" s="235">
        <f t="shared" si="66"/>
        <v>62.766666666666666</v>
      </c>
      <c r="AX106" s="235">
        <f t="shared" si="67"/>
        <v>80.98511149172171</v>
      </c>
      <c r="AY106" s="235">
        <f t="shared" si="68"/>
        <v>44.548221841611614</v>
      </c>
      <c r="AZ106" s="235">
        <f t="shared" si="69"/>
        <v>2941.6666666666665</v>
      </c>
      <c r="BA106" s="235">
        <f t="shared" si="70"/>
        <v>4966.9775952753826</v>
      </c>
      <c r="BB106" s="235">
        <f t="shared" si="71"/>
        <v>916.35573805795048</v>
      </c>
      <c r="BC106" s="235">
        <f t="shared" si="72"/>
        <v>53.18888888888889</v>
      </c>
      <c r="BD106" s="235">
        <f t="shared" si="73"/>
        <v>112.67052202318322</v>
      </c>
      <c r="BE106" s="235">
        <f t="shared" si="74"/>
        <v>-6.2927442454054372</v>
      </c>
      <c r="BF106" s="235">
        <f t="shared" si="75"/>
        <v>3577.2222222222222</v>
      </c>
      <c r="BG106" s="235">
        <f t="shared" si="76"/>
        <v>5636.1265941907786</v>
      </c>
      <c r="BH106" s="235">
        <f t="shared" si="77"/>
        <v>1518.3178502536657</v>
      </c>
      <c r="BI106">
        <v>5000</v>
      </c>
      <c r="BJ106" s="235">
        <f t="shared" si="78"/>
        <v>0</v>
      </c>
      <c r="BK106" s="235">
        <f t="shared" si="79"/>
        <v>0</v>
      </c>
      <c r="BL106" s="235">
        <f t="shared" si="80"/>
        <v>0</v>
      </c>
      <c r="BO106" s="235">
        <f t="shared" si="81"/>
        <v>43117</v>
      </c>
      <c r="CD106" s="533">
        <f t="shared" si="82"/>
        <v>2.1</v>
      </c>
      <c r="CE106" s="102">
        <f t="shared" si="83"/>
        <v>13.2</v>
      </c>
      <c r="CF106" s="102">
        <f t="shared" si="84"/>
        <v>96</v>
      </c>
      <c r="CG106" s="102">
        <f t="shared" si="85"/>
        <v>7.91</v>
      </c>
      <c r="CH106" s="102">
        <f t="shared" si="86"/>
        <v>7.9</v>
      </c>
      <c r="CI106" s="102" t="str">
        <f t="shared" si="87"/>
        <v/>
      </c>
      <c r="CJ106" s="102">
        <f t="shared" si="88"/>
        <v>3.1</v>
      </c>
      <c r="CK106" s="102">
        <f t="shared" si="89"/>
        <v>44</v>
      </c>
      <c r="CL106" s="102">
        <f t="shared" si="90"/>
        <v>78</v>
      </c>
      <c r="CM106" s="102">
        <f t="shared" si="91"/>
        <v>3900</v>
      </c>
      <c r="CN106" s="102">
        <f t="shared" si="92"/>
        <v>91</v>
      </c>
      <c r="CO106" s="102">
        <f t="shared" si="93"/>
        <v>10000</v>
      </c>
      <c r="CP106" s="102" t="str">
        <f t="shared" si="94"/>
        <v/>
      </c>
    </row>
    <row r="107" spans="2:94">
      <c r="B107" t="s">
        <v>252</v>
      </c>
      <c r="C107" s="231">
        <v>43151</v>
      </c>
      <c r="D107" s="233">
        <v>2.8</v>
      </c>
      <c r="E107" s="233">
        <v>12.7</v>
      </c>
      <c r="F107" s="235">
        <v>94</v>
      </c>
      <c r="G107" s="233">
        <v>7.81</v>
      </c>
      <c r="H107" s="233">
        <v>5.8</v>
      </c>
      <c r="J107" s="233">
        <v>3.7</v>
      </c>
      <c r="K107" s="235">
        <v>34</v>
      </c>
      <c r="L107" s="235">
        <v>60</v>
      </c>
      <c r="M107" s="235">
        <v>4200</v>
      </c>
      <c r="N107" s="235">
        <v>63</v>
      </c>
      <c r="O107" s="235">
        <v>4400</v>
      </c>
      <c r="Q107">
        <v>2018</v>
      </c>
      <c r="R107">
        <v>2</v>
      </c>
      <c r="T107" s="226"/>
      <c r="U107" s="226"/>
      <c r="V107" s="226"/>
      <c r="W107" s="226"/>
      <c r="X107" s="226"/>
      <c r="Y107" s="226"/>
      <c r="Z107" s="226"/>
      <c r="AA107" s="233">
        <f t="shared" si="48"/>
        <v>10.332000000000001</v>
      </c>
      <c r="AB107" s="233">
        <f t="shared" si="49"/>
        <v>12.739174193481931</v>
      </c>
      <c r="AC107" s="233">
        <f t="shared" si="50"/>
        <v>7.9248258065180703</v>
      </c>
      <c r="AD107">
        <v>2.95</v>
      </c>
      <c r="AE107" s="233">
        <f t="shared" si="51"/>
        <v>7.9374301675977676</v>
      </c>
      <c r="AF107" s="233">
        <f t="shared" si="52"/>
        <v>8.0830597168027865</v>
      </c>
      <c r="AG107" s="233">
        <f t="shared" si="53"/>
        <v>7.7918006183927488</v>
      </c>
      <c r="AH107">
        <v>6.5</v>
      </c>
      <c r="AI107" s="233">
        <f t="shared" si="54"/>
        <v>3.3601117318435763</v>
      </c>
      <c r="AJ107" s="233">
        <f t="shared" si="55"/>
        <v>6.3851512410714601</v>
      </c>
      <c r="AK107" s="233">
        <f t="shared" si="56"/>
        <v>0.33507222261569281</v>
      </c>
      <c r="AL107">
        <v>7</v>
      </c>
      <c r="AM107" s="233">
        <f t="shared" si="57"/>
        <v>48.104347826086951</v>
      </c>
      <c r="AN107" s="233">
        <f t="shared" si="58"/>
        <v>52.277593646348265</v>
      </c>
      <c r="AO107" s="233">
        <f t="shared" si="59"/>
        <v>43.931102005825636</v>
      </c>
      <c r="AP107" s="233">
        <f t="shared" si="60"/>
        <v>2.0655865921787711</v>
      </c>
      <c r="AQ107" s="233">
        <f t="shared" si="61"/>
        <v>3.1665882132978602</v>
      </c>
      <c r="AR107" s="233">
        <f t="shared" si="62"/>
        <v>0.96458497105968211</v>
      </c>
      <c r="AS107" s="235">
        <f t="shared" si="63"/>
        <v>33.105027932960894</v>
      </c>
      <c r="AT107" s="235">
        <f t="shared" si="64"/>
        <v>50.535961542150602</v>
      </c>
      <c r="AU107" s="235">
        <f t="shared" si="65"/>
        <v>15.67409432377119</v>
      </c>
      <c r="AV107">
        <v>100</v>
      </c>
      <c r="AW107" s="235">
        <f t="shared" si="66"/>
        <v>62.766666666666666</v>
      </c>
      <c r="AX107" s="235">
        <f t="shared" si="67"/>
        <v>80.98511149172171</v>
      </c>
      <c r="AY107" s="235">
        <f t="shared" si="68"/>
        <v>44.548221841611614</v>
      </c>
      <c r="AZ107" s="235">
        <f t="shared" si="69"/>
        <v>2941.6666666666665</v>
      </c>
      <c r="BA107" s="235">
        <f t="shared" si="70"/>
        <v>4966.9775952753826</v>
      </c>
      <c r="BB107" s="235">
        <f t="shared" si="71"/>
        <v>916.35573805795048</v>
      </c>
      <c r="BC107" s="235">
        <f t="shared" si="72"/>
        <v>53.18888888888889</v>
      </c>
      <c r="BD107" s="235">
        <f t="shared" si="73"/>
        <v>112.67052202318322</v>
      </c>
      <c r="BE107" s="235">
        <f t="shared" si="74"/>
        <v>-6.2927442454054372</v>
      </c>
      <c r="BF107" s="235">
        <f t="shared" si="75"/>
        <v>3577.2222222222222</v>
      </c>
      <c r="BG107" s="235">
        <f t="shared" si="76"/>
        <v>5636.1265941907786</v>
      </c>
      <c r="BH107" s="235">
        <f t="shared" si="77"/>
        <v>1518.3178502536657</v>
      </c>
      <c r="BI107">
        <v>5000</v>
      </c>
      <c r="BJ107" s="235">
        <f t="shared" si="78"/>
        <v>0</v>
      </c>
      <c r="BK107" s="235">
        <f t="shared" si="79"/>
        <v>0</v>
      </c>
      <c r="BL107" s="235">
        <f t="shared" si="80"/>
        <v>0</v>
      </c>
      <c r="BO107" s="235">
        <f t="shared" si="81"/>
        <v>43151</v>
      </c>
      <c r="CD107" s="533">
        <f t="shared" si="82"/>
        <v>2.8</v>
      </c>
      <c r="CE107" s="102">
        <f t="shared" si="83"/>
        <v>12.7</v>
      </c>
      <c r="CF107" s="102">
        <f t="shared" si="84"/>
        <v>94</v>
      </c>
      <c r="CG107" s="102">
        <f t="shared" si="85"/>
        <v>7.81</v>
      </c>
      <c r="CH107" s="102">
        <f t="shared" si="86"/>
        <v>5.8</v>
      </c>
      <c r="CI107" s="102" t="str">
        <f t="shared" si="87"/>
        <v/>
      </c>
      <c r="CJ107" s="102">
        <f t="shared" si="88"/>
        <v>3.7</v>
      </c>
      <c r="CK107" s="102">
        <f t="shared" si="89"/>
        <v>34</v>
      </c>
      <c r="CL107" s="102">
        <f t="shared" si="90"/>
        <v>60</v>
      </c>
      <c r="CM107" s="102">
        <f t="shared" si="91"/>
        <v>4200</v>
      </c>
      <c r="CN107" s="102">
        <f t="shared" si="92"/>
        <v>63</v>
      </c>
      <c r="CO107" s="102">
        <f t="shared" si="93"/>
        <v>4400</v>
      </c>
      <c r="CP107" s="102" t="str">
        <f t="shared" si="94"/>
        <v/>
      </c>
    </row>
    <row r="108" spans="2:94">
      <c r="B108" t="s">
        <v>252</v>
      </c>
      <c r="C108" s="231">
        <v>43172</v>
      </c>
      <c r="D108" s="233">
        <v>3.5</v>
      </c>
      <c r="E108" s="233">
        <v>12.5</v>
      </c>
      <c r="F108" s="235">
        <v>94</v>
      </c>
      <c r="G108" s="233">
        <v>7.79</v>
      </c>
      <c r="H108" s="233">
        <v>19</v>
      </c>
      <c r="J108" s="233">
        <v>5.9</v>
      </c>
      <c r="K108" s="235">
        <v>41</v>
      </c>
      <c r="L108" s="235">
        <v>100</v>
      </c>
      <c r="M108" s="235">
        <v>3000</v>
      </c>
      <c r="N108" s="235">
        <v>200</v>
      </c>
      <c r="O108" s="235">
        <v>3900</v>
      </c>
      <c r="Q108">
        <v>2018</v>
      </c>
      <c r="R108">
        <v>3</v>
      </c>
      <c r="T108" s="226"/>
      <c r="U108" s="226"/>
      <c r="V108" s="226"/>
      <c r="W108" s="226"/>
      <c r="X108" s="226"/>
      <c r="Y108" s="226"/>
      <c r="Z108" s="226"/>
      <c r="AA108" s="233">
        <f t="shared" si="48"/>
        <v>10.332000000000001</v>
      </c>
      <c r="AB108" s="233">
        <f t="shared" si="49"/>
        <v>12.739174193481931</v>
      </c>
      <c r="AC108" s="233">
        <f t="shared" si="50"/>
        <v>7.9248258065180703</v>
      </c>
      <c r="AD108">
        <v>2.95</v>
      </c>
      <c r="AE108" s="233">
        <f t="shared" si="51"/>
        <v>7.9374301675977676</v>
      </c>
      <c r="AF108" s="233">
        <f t="shared" si="52"/>
        <v>8.0830597168027865</v>
      </c>
      <c r="AG108" s="233">
        <f t="shared" si="53"/>
        <v>7.7918006183927488</v>
      </c>
      <c r="AH108">
        <v>6.5</v>
      </c>
      <c r="AI108" s="233">
        <f t="shared" si="54"/>
        <v>3.3601117318435763</v>
      </c>
      <c r="AJ108" s="233">
        <f t="shared" si="55"/>
        <v>6.3851512410714601</v>
      </c>
      <c r="AK108" s="233">
        <f t="shared" si="56"/>
        <v>0.33507222261569281</v>
      </c>
      <c r="AL108">
        <v>7</v>
      </c>
      <c r="AM108" s="233">
        <f t="shared" si="57"/>
        <v>48.104347826086951</v>
      </c>
      <c r="AN108" s="233">
        <f t="shared" si="58"/>
        <v>52.277593646348265</v>
      </c>
      <c r="AO108" s="233">
        <f t="shared" si="59"/>
        <v>43.931102005825636</v>
      </c>
      <c r="AP108" s="233">
        <f t="shared" si="60"/>
        <v>2.0655865921787711</v>
      </c>
      <c r="AQ108" s="233">
        <f t="shared" si="61"/>
        <v>3.1665882132978602</v>
      </c>
      <c r="AR108" s="233">
        <f t="shared" si="62"/>
        <v>0.96458497105968211</v>
      </c>
      <c r="AS108" s="235">
        <f t="shared" si="63"/>
        <v>33.105027932960894</v>
      </c>
      <c r="AT108" s="235">
        <f t="shared" si="64"/>
        <v>50.535961542150602</v>
      </c>
      <c r="AU108" s="235">
        <f t="shared" si="65"/>
        <v>15.67409432377119</v>
      </c>
      <c r="AV108">
        <v>100</v>
      </c>
      <c r="AW108" s="235">
        <f t="shared" si="66"/>
        <v>62.766666666666666</v>
      </c>
      <c r="AX108" s="235">
        <f t="shared" si="67"/>
        <v>80.98511149172171</v>
      </c>
      <c r="AY108" s="235">
        <f t="shared" si="68"/>
        <v>44.548221841611614</v>
      </c>
      <c r="AZ108" s="235">
        <f t="shared" si="69"/>
        <v>2941.6666666666665</v>
      </c>
      <c r="BA108" s="235">
        <f t="shared" si="70"/>
        <v>4966.9775952753826</v>
      </c>
      <c r="BB108" s="235">
        <f t="shared" si="71"/>
        <v>916.35573805795048</v>
      </c>
      <c r="BC108" s="235">
        <f t="shared" si="72"/>
        <v>53.18888888888889</v>
      </c>
      <c r="BD108" s="235">
        <f t="shared" si="73"/>
        <v>112.67052202318322</v>
      </c>
      <c r="BE108" s="235">
        <f t="shared" si="74"/>
        <v>-6.2927442454054372</v>
      </c>
      <c r="BF108" s="235">
        <f t="shared" si="75"/>
        <v>3577.2222222222222</v>
      </c>
      <c r="BG108" s="235">
        <f t="shared" si="76"/>
        <v>5636.1265941907786</v>
      </c>
      <c r="BH108" s="235">
        <f t="shared" si="77"/>
        <v>1518.3178502536657</v>
      </c>
      <c r="BI108">
        <v>5000</v>
      </c>
      <c r="BJ108" s="235">
        <f t="shared" si="78"/>
        <v>0</v>
      </c>
      <c r="BK108" s="235">
        <f t="shared" si="79"/>
        <v>0</v>
      </c>
      <c r="BL108" s="235">
        <f t="shared" si="80"/>
        <v>0</v>
      </c>
      <c r="BO108" s="235">
        <f t="shared" si="81"/>
        <v>43172</v>
      </c>
      <c r="CD108" s="533">
        <f t="shared" si="82"/>
        <v>3.5</v>
      </c>
      <c r="CE108" s="102">
        <f t="shared" si="83"/>
        <v>12.5</v>
      </c>
      <c r="CF108" s="102">
        <f t="shared" si="84"/>
        <v>94</v>
      </c>
      <c r="CG108" s="102">
        <f t="shared" si="85"/>
        <v>7.79</v>
      </c>
      <c r="CH108" s="102">
        <f t="shared" si="86"/>
        <v>19</v>
      </c>
      <c r="CI108" s="102" t="str">
        <f t="shared" si="87"/>
        <v/>
      </c>
      <c r="CJ108" s="102">
        <f t="shared" si="88"/>
        <v>5.9</v>
      </c>
      <c r="CK108" s="102">
        <f t="shared" si="89"/>
        <v>41</v>
      </c>
      <c r="CL108" s="102">
        <f t="shared" si="90"/>
        <v>100</v>
      </c>
      <c r="CM108" s="102">
        <f t="shared" si="91"/>
        <v>3000</v>
      </c>
      <c r="CN108" s="102">
        <f t="shared" si="92"/>
        <v>200</v>
      </c>
      <c r="CO108" s="102">
        <f t="shared" si="93"/>
        <v>3900</v>
      </c>
      <c r="CP108" s="102" t="str">
        <f t="shared" si="94"/>
        <v/>
      </c>
    </row>
    <row r="109" spans="2:94">
      <c r="B109" t="s">
        <v>252</v>
      </c>
      <c r="C109" s="231">
        <v>43200</v>
      </c>
      <c r="D109" s="233">
        <v>9.1</v>
      </c>
      <c r="E109" s="233">
        <v>13.2</v>
      </c>
      <c r="F109" s="235">
        <v>115</v>
      </c>
      <c r="G109" s="233">
        <v>8.25</v>
      </c>
      <c r="H109" s="233">
        <v>5.6</v>
      </c>
      <c r="J109" s="233">
        <v>5.6</v>
      </c>
      <c r="K109" s="235">
        <v>6.2</v>
      </c>
      <c r="L109" s="235">
        <v>40</v>
      </c>
      <c r="M109" s="235">
        <v>2800</v>
      </c>
      <c r="N109" s="235" t="s">
        <v>148</v>
      </c>
      <c r="O109" s="235">
        <v>3500</v>
      </c>
      <c r="Q109">
        <v>2018</v>
      </c>
      <c r="R109">
        <v>4</v>
      </c>
      <c r="T109" s="226"/>
      <c r="U109" s="226"/>
      <c r="V109" s="226"/>
      <c r="W109" s="226"/>
      <c r="X109" s="226"/>
      <c r="Y109" s="226"/>
      <c r="Z109" s="226"/>
      <c r="AA109" s="233">
        <f t="shared" si="48"/>
        <v>10.332000000000001</v>
      </c>
      <c r="AB109" s="233">
        <f t="shared" si="49"/>
        <v>12.739174193481931</v>
      </c>
      <c r="AC109" s="233">
        <f t="shared" si="50"/>
        <v>7.9248258065180703</v>
      </c>
      <c r="AD109">
        <v>2.95</v>
      </c>
      <c r="AE109" s="233">
        <f t="shared" si="51"/>
        <v>7.9374301675977676</v>
      </c>
      <c r="AF109" s="233">
        <f t="shared" si="52"/>
        <v>8.0830597168027865</v>
      </c>
      <c r="AG109" s="233">
        <f t="shared" si="53"/>
        <v>7.7918006183927488</v>
      </c>
      <c r="AH109">
        <v>6.5</v>
      </c>
      <c r="AI109" s="233">
        <f t="shared" si="54"/>
        <v>3.3601117318435763</v>
      </c>
      <c r="AJ109" s="233">
        <f t="shared" si="55"/>
        <v>6.3851512410714601</v>
      </c>
      <c r="AK109" s="233">
        <f t="shared" si="56"/>
        <v>0.33507222261569281</v>
      </c>
      <c r="AL109">
        <v>7</v>
      </c>
      <c r="AM109" s="233">
        <f t="shared" si="57"/>
        <v>48.104347826086951</v>
      </c>
      <c r="AN109" s="233">
        <f t="shared" si="58"/>
        <v>52.277593646348265</v>
      </c>
      <c r="AO109" s="233">
        <f t="shared" si="59"/>
        <v>43.931102005825636</v>
      </c>
      <c r="AP109" s="233">
        <f t="shared" si="60"/>
        <v>2.0655865921787711</v>
      </c>
      <c r="AQ109" s="233">
        <f t="shared" si="61"/>
        <v>3.1665882132978602</v>
      </c>
      <c r="AR109" s="233">
        <f t="shared" si="62"/>
        <v>0.96458497105968211</v>
      </c>
      <c r="AS109" s="235">
        <f t="shared" si="63"/>
        <v>33.105027932960894</v>
      </c>
      <c r="AT109" s="235">
        <f t="shared" si="64"/>
        <v>50.535961542150602</v>
      </c>
      <c r="AU109" s="235">
        <f t="shared" si="65"/>
        <v>15.67409432377119</v>
      </c>
      <c r="AV109">
        <v>100</v>
      </c>
      <c r="AW109" s="235">
        <f t="shared" si="66"/>
        <v>62.766666666666666</v>
      </c>
      <c r="AX109" s="235">
        <f t="shared" si="67"/>
        <v>80.98511149172171</v>
      </c>
      <c r="AY109" s="235">
        <f t="shared" si="68"/>
        <v>44.548221841611614</v>
      </c>
      <c r="AZ109" s="235">
        <f t="shared" si="69"/>
        <v>2941.6666666666665</v>
      </c>
      <c r="BA109" s="235">
        <f t="shared" si="70"/>
        <v>4966.9775952753826</v>
      </c>
      <c r="BB109" s="235">
        <f t="shared" si="71"/>
        <v>916.35573805795048</v>
      </c>
      <c r="BC109" s="235">
        <f t="shared" si="72"/>
        <v>53.18888888888889</v>
      </c>
      <c r="BD109" s="235">
        <f t="shared" si="73"/>
        <v>112.67052202318322</v>
      </c>
      <c r="BE109" s="235">
        <f t="shared" si="74"/>
        <v>-6.2927442454054372</v>
      </c>
      <c r="BF109" s="235">
        <f t="shared" si="75"/>
        <v>3577.2222222222222</v>
      </c>
      <c r="BG109" s="235">
        <f t="shared" si="76"/>
        <v>5636.1265941907786</v>
      </c>
      <c r="BH109" s="235">
        <f t="shared" si="77"/>
        <v>1518.3178502536657</v>
      </c>
      <c r="BI109">
        <v>5000</v>
      </c>
      <c r="BJ109" s="235">
        <f t="shared" si="78"/>
        <v>0</v>
      </c>
      <c r="BK109" s="235">
        <f t="shared" si="79"/>
        <v>0</v>
      </c>
      <c r="BL109" s="235">
        <f t="shared" si="80"/>
        <v>0</v>
      </c>
      <c r="BO109" s="235">
        <f t="shared" si="81"/>
        <v>43200</v>
      </c>
      <c r="CD109" s="533">
        <f t="shared" si="82"/>
        <v>9.1</v>
      </c>
      <c r="CE109" s="102">
        <f t="shared" si="83"/>
        <v>13.2</v>
      </c>
      <c r="CF109" s="102">
        <f t="shared" si="84"/>
        <v>115</v>
      </c>
      <c r="CG109" s="102">
        <f t="shared" si="85"/>
        <v>8.25</v>
      </c>
      <c r="CH109" s="102">
        <f t="shared" si="86"/>
        <v>5.6</v>
      </c>
      <c r="CI109" s="102" t="str">
        <f t="shared" si="87"/>
        <v/>
      </c>
      <c r="CJ109" s="102">
        <f t="shared" si="88"/>
        <v>5.6</v>
      </c>
      <c r="CK109" s="102">
        <f t="shared" si="89"/>
        <v>6.2</v>
      </c>
      <c r="CL109" s="102">
        <f t="shared" si="90"/>
        <v>40</v>
      </c>
      <c r="CM109" s="102">
        <f t="shared" si="91"/>
        <v>2800</v>
      </c>
      <c r="CN109" s="102">
        <f t="shared" si="92"/>
        <v>10</v>
      </c>
      <c r="CO109" s="102">
        <f t="shared" si="93"/>
        <v>3500</v>
      </c>
      <c r="CP109" s="102" t="str">
        <f t="shared" si="94"/>
        <v/>
      </c>
    </row>
    <row r="110" spans="2:94">
      <c r="B110" t="s">
        <v>252</v>
      </c>
      <c r="C110" s="231">
        <v>43229</v>
      </c>
      <c r="D110" s="233">
        <v>16.600000000000001</v>
      </c>
      <c r="E110" s="233">
        <v>8.1999999999999993</v>
      </c>
      <c r="F110" s="235">
        <v>84</v>
      </c>
      <c r="G110" s="233">
        <v>7.96</v>
      </c>
      <c r="H110" s="233">
        <v>2.8</v>
      </c>
      <c r="J110" s="233">
        <v>3.2</v>
      </c>
      <c r="K110" s="235">
        <v>14</v>
      </c>
      <c r="L110" s="235">
        <v>39</v>
      </c>
      <c r="M110" s="235">
        <v>1400</v>
      </c>
      <c r="N110" s="235">
        <v>35</v>
      </c>
      <c r="O110" s="235">
        <v>2000</v>
      </c>
      <c r="Q110">
        <v>2018</v>
      </c>
      <c r="R110">
        <v>5</v>
      </c>
      <c r="T110" s="226"/>
      <c r="U110" s="226"/>
      <c r="V110" s="226"/>
      <c r="W110" s="226"/>
      <c r="X110" s="226"/>
      <c r="Y110" s="226"/>
      <c r="Z110" s="226"/>
      <c r="AA110" s="233">
        <f t="shared" si="48"/>
        <v>10.332000000000001</v>
      </c>
      <c r="AB110" s="233">
        <f t="shared" si="49"/>
        <v>12.739174193481931</v>
      </c>
      <c r="AC110" s="233">
        <f t="shared" si="50"/>
        <v>7.9248258065180703</v>
      </c>
      <c r="AD110">
        <v>2.95</v>
      </c>
      <c r="AE110" s="233">
        <f t="shared" si="51"/>
        <v>7.9374301675977676</v>
      </c>
      <c r="AF110" s="233">
        <f t="shared" si="52"/>
        <v>8.0830597168027865</v>
      </c>
      <c r="AG110" s="233">
        <f t="shared" si="53"/>
        <v>7.7918006183927488</v>
      </c>
      <c r="AH110">
        <v>6.5</v>
      </c>
      <c r="AI110" s="233">
        <f t="shared" si="54"/>
        <v>3.3601117318435763</v>
      </c>
      <c r="AJ110" s="233">
        <f t="shared" si="55"/>
        <v>6.3851512410714601</v>
      </c>
      <c r="AK110" s="233">
        <f t="shared" si="56"/>
        <v>0.33507222261569281</v>
      </c>
      <c r="AL110">
        <v>7</v>
      </c>
      <c r="AM110" s="233">
        <f t="shared" si="57"/>
        <v>48.104347826086951</v>
      </c>
      <c r="AN110" s="233">
        <f t="shared" si="58"/>
        <v>52.277593646348265</v>
      </c>
      <c r="AO110" s="233">
        <f t="shared" si="59"/>
        <v>43.931102005825636</v>
      </c>
      <c r="AP110" s="233">
        <f t="shared" si="60"/>
        <v>2.0655865921787711</v>
      </c>
      <c r="AQ110" s="233">
        <f t="shared" si="61"/>
        <v>3.1665882132978602</v>
      </c>
      <c r="AR110" s="233">
        <f t="shared" si="62"/>
        <v>0.96458497105968211</v>
      </c>
      <c r="AS110" s="235">
        <f t="shared" si="63"/>
        <v>33.105027932960894</v>
      </c>
      <c r="AT110" s="235">
        <f t="shared" si="64"/>
        <v>50.535961542150602</v>
      </c>
      <c r="AU110" s="235">
        <f t="shared" si="65"/>
        <v>15.67409432377119</v>
      </c>
      <c r="AV110">
        <v>100</v>
      </c>
      <c r="AW110" s="235">
        <f t="shared" si="66"/>
        <v>62.766666666666666</v>
      </c>
      <c r="AX110" s="235">
        <f t="shared" si="67"/>
        <v>80.98511149172171</v>
      </c>
      <c r="AY110" s="235">
        <f t="shared" si="68"/>
        <v>44.548221841611614</v>
      </c>
      <c r="AZ110" s="235">
        <f t="shared" si="69"/>
        <v>2941.6666666666665</v>
      </c>
      <c r="BA110" s="235">
        <f t="shared" si="70"/>
        <v>4966.9775952753826</v>
      </c>
      <c r="BB110" s="235">
        <f t="shared" si="71"/>
        <v>916.35573805795048</v>
      </c>
      <c r="BC110" s="235">
        <f t="shared" si="72"/>
        <v>53.18888888888889</v>
      </c>
      <c r="BD110" s="235">
        <f t="shared" si="73"/>
        <v>112.67052202318322</v>
      </c>
      <c r="BE110" s="235">
        <f t="shared" si="74"/>
        <v>-6.2927442454054372</v>
      </c>
      <c r="BF110" s="235">
        <f t="shared" si="75"/>
        <v>3577.2222222222222</v>
      </c>
      <c r="BG110" s="235">
        <f t="shared" si="76"/>
        <v>5636.1265941907786</v>
      </c>
      <c r="BH110" s="235">
        <f t="shared" si="77"/>
        <v>1518.3178502536657</v>
      </c>
      <c r="BI110">
        <v>5000</v>
      </c>
      <c r="BJ110" s="235">
        <f t="shared" si="78"/>
        <v>0</v>
      </c>
      <c r="BK110" s="235">
        <f t="shared" si="79"/>
        <v>0</v>
      </c>
      <c r="BL110" s="235">
        <f t="shared" si="80"/>
        <v>0</v>
      </c>
      <c r="BO110" s="235">
        <f t="shared" si="81"/>
        <v>43229</v>
      </c>
      <c r="CD110" s="533">
        <f t="shared" si="82"/>
        <v>16.600000000000001</v>
      </c>
      <c r="CE110" s="102">
        <f t="shared" si="83"/>
        <v>8.1999999999999993</v>
      </c>
      <c r="CF110" s="102">
        <f t="shared" si="84"/>
        <v>84</v>
      </c>
      <c r="CG110" s="102">
        <f t="shared" si="85"/>
        <v>7.96</v>
      </c>
      <c r="CH110" s="102">
        <f t="shared" si="86"/>
        <v>2.8</v>
      </c>
      <c r="CI110" s="102" t="str">
        <f t="shared" si="87"/>
        <v/>
      </c>
      <c r="CJ110" s="102">
        <f t="shared" si="88"/>
        <v>3.2</v>
      </c>
      <c r="CK110" s="102">
        <f t="shared" si="89"/>
        <v>14</v>
      </c>
      <c r="CL110" s="102">
        <f t="shared" si="90"/>
        <v>39</v>
      </c>
      <c r="CM110" s="102">
        <f t="shared" si="91"/>
        <v>1400</v>
      </c>
      <c r="CN110" s="102">
        <f t="shared" si="92"/>
        <v>35</v>
      </c>
      <c r="CO110" s="102">
        <f t="shared" si="93"/>
        <v>2000</v>
      </c>
      <c r="CP110" s="102" t="str">
        <f t="shared" si="94"/>
        <v/>
      </c>
    </row>
    <row r="111" spans="2:94">
      <c r="B111" t="s">
        <v>252</v>
      </c>
      <c r="C111" s="231">
        <v>43270</v>
      </c>
      <c r="D111" s="233">
        <v>19.600000000000001</v>
      </c>
      <c r="E111" s="233">
        <v>7.9</v>
      </c>
      <c r="F111" s="235">
        <v>86</v>
      </c>
      <c r="G111" s="233">
        <v>7.7</v>
      </c>
      <c r="H111" s="233">
        <v>0.84</v>
      </c>
      <c r="J111" s="233">
        <v>2.1</v>
      </c>
      <c r="K111" s="235">
        <v>36</v>
      </c>
      <c r="L111" s="235">
        <v>58</v>
      </c>
      <c r="M111" s="235">
        <v>1400</v>
      </c>
      <c r="N111" s="235">
        <v>30</v>
      </c>
      <c r="O111" s="235">
        <v>2000</v>
      </c>
      <c r="Q111">
        <v>2018</v>
      </c>
      <c r="R111">
        <v>6</v>
      </c>
      <c r="T111" s="226"/>
      <c r="U111" s="226"/>
      <c r="V111" s="226"/>
      <c r="W111" s="226"/>
      <c r="X111" s="226"/>
      <c r="Y111" s="226"/>
      <c r="Z111" s="226"/>
      <c r="AA111" s="233">
        <f t="shared" si="48"/>
        <v>10.332000000000001</v>
      </c>
      <c r="AB111" s="233">
        <f t="shared" si="49"/>
        <v>12.739174193481931</v>
      </c>
      <c r="AC111" s="233">
        <f t="shared" si="50"/>
        <v>7.9248258065180703</v>
      </c>
      <c r="AD111">
        <v>2.95</v>
      </c>
      <c r="AE111" s="233">
        <f t="shared" si="51"/>
        <v>7.9374301675977676</v>
      </c>
      <c r="AF111" s="233">
        <f t="shared" si="52"/>
        <v>8.0830597168027865</v>
      </c>
      <c r="AG111" s="233">
        <f t="shared" si="53"/>
        <v>7.7918006183927488</v>
      </c>
      <c r="AH111">
        <v>6.5</v>
      </c>
      <c r="AI111" s="233">
        <f t="shared" si="54"/>
        <v>3.3601117318435763</v>
      </c>
      <c r="AJ111" s="233">
        <f t="shared" si="55"/>
        <v>6.3851512410714601</v>
      </c>
      <c r="AK111" s="233">
        <f t="shared" si="56"/>
        <v>0.33507222261569281</v>
      </c>
      <c r="AL111">
        <v>7</v>
      </c>
      <c r="AM111" s="233">
        <f t="shared" si="57"/>
        <v>48.104347826086951</v>
      </c>
      <c r="AN111" s="233">
        <f t="shared" si="58"/>
        <v>52.277593646348265</v>
      </c>
      <c r="AO111" s="233">
        <f t="shared" si="59"/>
        <v>43.931102005825636</v>
      </c>
      <c r="AP111" s="233">
        <f t="shared" si="60"/>
        <v>2.0655865921787711</v>
      </c>
      <c r="AQ111" s="233">
        <f t="shared" si="61"/>
        <v>3.1665882132978602</v>
      </c>
      <c r="AR111" s="233">
        <f t="shared" si="62"/>
        <v>0.96458497105968211</v>
      </c>
      <c r="AS111" s="235">
        <f t="shared" si="63"/>
        <v>33.105027932960894</v>
      </c>
      <c r="AT111" s="235">
        <f t="shared" si="64"/>
        <v>50.535961542150602</v>
      </c>
      <c r="AU111" s="235">
        <f t="shared" si="65"/>
        <v>15.67409432377119</v>
      </c>
      <c r="AV111">
        <v>100</v>
      </c>
      <c r="AW111" s="235">
        <f t="shared" si="66"/>
        <v>62.766666666666666</v>
      </c>
      <c r="AX111" s="235">
        <f t="shared" si="67"/>
        <v>80.98511149172171</v>
      </c>
      <c r="AY111" s="235">
        <f t="shared" si="68"/>
        <v>44.548221841611614</v>
      </c>
      <c r="AZ111" s="235">
        <f t="shared" si="69"/>
        <v>2941.6666666666665</v>
      </c>
      <c r="BA111" s="235">
        <f t="shared" si="70"/>
        <v>4966.9775952753826</v>
      </c>
      <c r="BB111" s="235">
        <f t="shared" si="71"/>
        <v>916.35573805795048</v>
      </c>
      <c r="BC111" s="235">
        <f t="shared" si="72"/>
        <v>53.18888888888889</v>
      </c>
      <c r="BD111" s="235">
        <f t="shared" si="73"/>
        <v>112.67052202318322</v>
      </c>
      <c r="BE111" s="235">
        <f t="shared" si="74"/>
        <v>-6.2927442454054372</v>
      </c>
      <c r="BF111" s="235">
        <f t="shared" si="75"/>
        <v>3577.2222222222222</v>
      </c>
      <c r="BG111" s="235">
        <f t="shared" si="76"/>
        <v>5636.1265941907786</v>
      </c>
      <c r="BH111" s="235">
        <f t="shared" si="77"/>
        <v>1518.3178502536657</v>
      </c>
      <c r="BI111">
        <v>5000</v>
      </c>
      <c r="BJ111" s="235">
        <f t="shared" si="78"/>
        <v>0</v>
      </c>
      <c r="BK111" s="235">
        <f t="shared" si="79"/>
        <v>0</v>
      </c>
      <c r="BL111" s="235">
        <f t="shared" si="80"/>
        <v>0</v>
      </c>
      <c r="BO111" s="235">
        <f t="shared" si="81"/>
        <v>43270</v>
      </c>
      <c r="CD111" s="533">
        <f t="shared" si="82"/>
        <v>19.600000000000001</v>
      </c>
      <c r="CE111" s="102">
        <f t="shared" si="83"/>
        <v>7.9</v>
      </c>
      <c r="CF111" s="102">
        <f t="shared" si="84"/>
        <v>86</v>
      </c>
      <c r="CG111" s="102">
        <f t="shared" si="85"/>
        <v>7.7</v>
      </c>
      <c r="CH111" s="102">
        <f t="shared" si="86"/>
        <v>0.84</v>
      </c>
      <c r="CI111" s="102" t="str">
        <f t="shared" si="87"/>
        <v/>
      </c>
      <c r="CJ111" s="102">
        <f t="shared" si="88"/>
        <v>2.1</v>
      </c>
      <c r="CK111" s="102">
        <f t="shared" si="89"/>
        <v>36</v>
      </c>
      <c r="CL111" s="102">
        <f t="shared" si="90"/>
        <v>58</v>
      </c>
      <c r="CM111" s="102">
        <f t="shared" si="91"/>
        <v>1400</v>
      </c>
      <c r="CN111" s="102">
        <f t="shared" si="92"/>
        <v>30</v>
      </c>
      <c r="CO111" s="102">
        <f t="shared" si="93"/>
        <v>2000</v>
      </c>
      <c r="CP111" s="102" t="str">
        <f t="shared" si="94"/>
        <v/>
      </c>
    </row>
    <row r="112" spans="2:94">
      <c r="B112" t="s">
        <v>252</v>
      </c>
      <c r="C112" s="231">
        <v>43297</v>
      </c>
      <c r="D112" s="233">
        <v>21.9</v>
      </c>
      <c r="E112" s="233">
        <v>7.2</v>
      </c>
      <c r="F112" s="235">
        <v>82</v>
      </c>
      <c r="G112" s="233">
        <v>7.48</v>
      </c>
      <c r="H112" s="233">
        <v>0.9</v>
      </c>
      <c r="J112" s="233">
        <v>2.5</v>
      </c>
      <c r="K112" s="235">
        <v>38</v>
      </c>
      <c r="L112" s="235">
        <v>59</v>
      </c>
      <c r="M112" s="235">
        <v>1000</v>
      </c>
      <c r="N112" s="235">
        <v>38</v>
      </c>
      <c r="O112" s="235">
        <v>1300</v>
      </c>
      <c r="Q112">
        <v>2018</v>
      </c>
      <c r="R112">
        <v>7</v>
      </c>
      <c r="T112" s="226"/>
      <c r="U112" s="226"/>
      <c r="V112" s="226"/>
      <c r="W112" s="226"/>
      <c r="X112" s="226"/>
      <c r="Y112" s="226"/>
      <c r="Z112" s="226"/>
      <c r="AA112" s="233">
        <f t="shared" si="48"/>
        <v>10.332000000000001</v>
      </c>
      <c r="AB112" s="233">
        <f t="shared" si="49"/>
        <v>12.739174193481931</v>
      </c>
      <c r="AC112" s="233">
        <f t="shared" si="50"/>
        <v>7.9248258065180703</v>
      </c>
      <c r="AD112">
        <v>2.95</v>
      </c>
      <c r="AE112" s="233">
        <f t="shared" si="51"/>
        <v>7.9374301675977676</v>
      </c>
      <c r="AF112" s="233">
        <f t="shared" si="52"/>
        <v>8.0830597168027865</v>
      </c>
      <c r="AG112" s="233">
        <f t="shared" si="53"/>
        <v>7.7918006183927488</v>
      </c>
      <c r="AH112">
        <v>6.5</v>
      </c>
      <c r="AI112" s="233">
        <f t="shared" si="54"/>
        <v>3.3601117318435763</v>
      </c>
      <c r="AJ112" s="233">
        <f t="shared" si="55"/>
        <v>6.3851512410714601</v>
      </c>
      <c r="AK112" s="233">
        <f t="shared" si="56"/>
        <v>0.33507222261569281</v>
      </c>
      <c r="AL112">
        <v>7</v>
      </c>
      <c r="AM112" s="233">
        <f t="shared" si="57"/>
        <v>48.104347826086951</v>
      </c>
      <c r="AN112" s="233">
        <f t="shared" si="58"/>
        <v>52.277593646348265</v>
      </c>
      <c r="AO112" s="233">
        <f t="shared" si="59"/>
        <v>43.931102005825636</v>
      </c>
      <c r="AP112" s="233">
        <f t="shared" si="60"/>
        <v>2.0655865921787711</v>
      </c>
      <c r="AQ112" s="233">
        <f t="shared" si="61"/>
        <v>3.1665882132978602</v>
      </c>
      <c r="AR112" s="233">
        <f t="shared" si="62"/>
        <v>0.96458497105968211</v>
      </c>
      <c r="AS112" s="235">
        <f t="shared" si="63"/>
        <v>33.105027932960894</v>
      </c>
      <c r="AT112" s="235">
        <f t="shared" si="64"/>
        <v>50.535961542150602</v>
      </c>
      <c r="AU112" s="235">
        <f t="shared" si="65"/>
        <v>15.67409432377119</v>
      </c>
      <c r="AV112">
        <v>100</v>
      </c>
      <c r="AW112" s="235">
        <f t="shared" si="66"/>
        <v>62.766666666666666</v>
      </c>
      <c r="AX112" s="235">
        <f t="shared" si="67"/>
        <v>80.98511149172171</v>
      </c>
      <c r="AY112" s="235">
        <f t="shared" si="68"/>
        <v>44.548221841611614</v>
      </c>
      <c r="AZ112" s="235">
        <f t="shared" si="69"/>
        <v>2941.6666666666665</v>
      </c>
      <c r="BA112" s="235">
        <f t="shared" si="70"/>
        <v>4966.9775952753826</v>
      </c>
      <c r="BB112" s="235">
        <f t="shared" si="71"/>
        <v>916.35573805795048</v>
      </c>
      <c r="BC112" s="235">
        <f t="shared" si="72"/>
        <v>53.18888888888889</v>
      </c>
      <c r="BD112" s="235">
        <f t="shared" si="73"/>
        <v>112.67052202318322</v>
      </c>
      <c r="BE112" s="235">
        <f t="shared" si="74"/>
        <v>-6.2927442454054372</v>
      </c>
      <c r="BF112" s="235">
        <f t="shared" si="75"/>
        <v>3577.2222222222222</v>
      </c>
      <c r="BG112" s="235">
        <f t="shared" si="76"/>
        <v>5636.1265941907786</v>
      </c>
      <c r="BH112" s="235">
        <f t="shared" si="77"/>
        <v>1518.3178502536657</v>
      </c>
      <c r="BI112">
        <v>5000</v>
      </c>
      <c r="BJ112" s="235">
        <f t="shared" si="78"/>
        <v>0</v>
      </c>
      <c r="BK112" s="235">
        <f t="shared" si="79"/>
        <v>0</v>
      </c>
      <c r="BL112" s="235">
        <f t="shared" si="80"/>
        <v>0</v>
      </c>
      <c r="BO112" s="235">
        <f t="shared" si="81"/>
        <v>43297</v>
      </c>
      <c r="CD112" s="533">
        <f t="shared" si="82"/>
        <v>21.9</v>
      </c>
      <c r="CE112" s="102">
        <f t="shared" si="83"/>
        <v>7.2</v>
      </c>
      <c r="CF112" s="102">
        <f t="shared" si="84"/>
        <v>82</v>
      </c>
      <c r="CG112" s="102">
        <f t="shared" si="85"/>
        <v>7.48</v>
      </c>
      <c r="CH112" s="102">
        <f t="shared" si="86"/>
        <v>0.9</v>
      </c>
      <c r="CI112" s="102" t="str">
        <f t="shared" si="87"/>
        <v/>
      </c>
      <c r="CJ112" s="102">
        <f t="shared" si="88"/>
        <v>2.5</v>
      </c>
      <c r="CK112" s="102">
        <f t="shared" si="89"/>
        <v>38</v>
      </c>
      <c r="CL112" s="102">
        <f t="shared" si="90"/>
        <v>59</v>
      </c>
      <c r="CM112" s="102">
        <f t="shared" si="91"/>
        <v>1000</v>
      </c>
      <c r="CN112" s="102">
        <f t="shared" si="92"/>
        <v>38</v>
      </c>
      <c r="CO112" s="102">
        <f t="shared" si="93"/>
        <v>1300</v>
      </c>
      <c r="CP112" s="102" t="str">
        <f t="shared" si="94"/>
        <v/>
      </c>
    </row>
    <row r="113" spans="2:94">
      <c r="B113" t="s">
        <v>252</v>
      </c>
      <c r="C113" s="231">
        <v>43333</v>
      </c>
      <c r="D113" s="233">
        <v>19.899999999999999</v>
      </c>
      <c r="E113" s="233">
        <v>6.7</v>
      </c>
      <c r="F113" s="235">
        <v>73</v>
      </c>
      <c r="G113" s="233">
        <v>7.43</v>
      </c>
      <c r="H113" s="233">
        <v>1.2</v>
      </c>
      <c r="J113" s="233">
        <v>2.4</v>
      </c>
      <c r="K113" s="235">
        <v>46</v>
      </c>
      <c r="L113" s="235">
        <v>61</v>
      </c>
      <c r="M113" s="235">
        <v>910</v>
      </c>
      <c r="N113" s="235">
        <v>34</v>
      </c>
      <c r="O113" s="235">
        <v>1300</v>
      </c>
      <c r="Q113">
        <v>2018</v>
      </c>
      <c r="R113">
        <v>8</v>
      </c>
      <c r="T113" s="226"/>
      <c r="U113" s="226"/>
      <c r="V113" s="226"/>
      <c r="W113" s="226"/>
      <c r="X113" s="226"/>
      <c r="Y113" s="226"/>
      <c r="Z113" s="226"/>
      <c r="AA113" s="233">
        <f t="shared" si="48"/>
        <v>10.332000000000001</v>
      </c>
      <c r="AB113" s="233">
        <f t="shared" si="49"/>
        <v>12.739174193481931</v>
      </c>
      <c r="AC113" s="233">
        <f t="shared" si="50"/>
        <v>7.9248258065180703</v>
      </c>
      <c r="AD113">
        <v>2.95</v>
      </c>
      <c r="AE113" s="233">
        <f t="shared" si="51"/>
        <v>7.9374301675977676</v>
      </c>
      <c r="AF113" s="233">
        <f t="shared" si="52"/>
        <v>8.0830597168027865</v>
      </c>
      <c r="AG113" s="233">
        <f t="shared" si="53"/>
        <v>7.7918006183927488</v>
      </c>
      <c r="AH113">
        <v>6.5</v>
      </c>
      <c r="AI113" s="233">
        <f t="shared" si="54"/>
        <v>3.3601117318435763</v>
      </c>
      <c r="AJ113" s="233">
        <f t="shared" si="55"/>
        <v>6.3851512410714601</v>
      </c>
      <c r="AK113" s="233">
        <f t="shared" si="56"/>
        <v>0.33507222261569281</v>
      </c>
      <c r="AL113">
        <v>7</v>
      </c>
      <c r="AM113" s="233">
        <f t="shared" si="57"/>
        <v>48.104347826086951</v>
      </c>
      <c r="AN113" s="233">
        <f t="shared" si="58"/>
        <v>52.277593646348265</v>
      </c>
      <c r="AO113" s="233">
        <f t="shared" si="59"/>
        <v>43.931102005825636</v>
      </c>
      <c r="AP113" s="233">
        <f t="shared" si="60"/>
        <v>2.0655865921787711</v>
      </c>
      <c r="AQ113" s="233">
        <f t="shared" si="61"/>
        <v>3.1665882132978602</v>
      </c>
      <c r="AR113" s="233">
        <f t="shared" si="62"/>
        <v>0.96458497105968211</v>
      </c>
      <c r="AS113" s="235">
        <f t="shared" si="63"/>
        <v>33.105027932960894</v>
      </c>
      <c r="AT113" s="235">
        <f t="shared" si="64"/>
        <v>50.535961542150602</v>
      </c>
      <c r="AU113" s="235">
        <f t="shared" si="65"/>
        <v>15.67409432377119</v>
      </c>
      <c r="AV113">
        <v>100</v>
      </c>
      <c r="AW113" s="235">
        <f t="shared" si="66"/>
        <v>62.766666666666666</v>
      </c>
      <c r="AX113" s="235">
        <f t="shared" si="67"/>
        <v>80.98511149172171</v>
      </c>
      <c r="AY113" s="235">
        <f t="shared" si="68"/>
        <v>44.548221841611614</v>
      </c>
      <c r="AZ113" s="235">
        <f t="shared" si="69"/>
        <v>2941.6666666666665</v>
      </c>
      <c r="BA113" s="235">
        <f t="shared" si="70"/>
        <v>4966.9775952753826</v>
      </c>
      <c r="BB113" s="235">
        <f t="shared" si="71"/>
        <v>916.35573805795048</v>
      </c>
      <c r="BC113" s="235">
        <f t="shared" si="72"/>
        <v>53.18888888888889</v>
      </c>
      <c r="BD113" s="235">
        <f t="shared" si="73"/>
        <v>112.67052202318322</v>
      </c>
      <c r="BE113" s="235">
        <f t="shared" si="74"/>
        <v>-6.2927442454054372</v>
      </c>
      <c r="BF113" s="235">
        <f t="shared" si="75"/>
        <v>3577.2222222222222</v>
      </c>
      <c r="BG113" s="235">
        <f t="shared" si="76"/>
        <v>5636.1265941907786</v>
      </c>
      <c r="BH113" s="235">
        <f t="shared" si="77"/>
        <v>1518.3178502536657</v>
      </c>
      <c r="BI113">
        <v>5000</v>
      </c>
      <c r="BJ113" s="235">
        <f t="shared" si="78"/>
        <v>0</v>
      </c>
      <c r="BK113" s="235">
        <f t="shared" si="79"/>
        <v>0</v>
      </c>
      <c r="BL113" s="235">
        <f t="shared" si="80"/>
        <v>0</v>
      </c>
      <c r="BO113" s="235">
        <f t="shared" si="81"/>
        <v>43333</v>
      </c>
      <c r="CD113" s="533">
        <f t="shared" si="82"/>
        <v>19.899999999999999</v>
      </c>
      <c r="CE113" s="102">
        <f t="shared" si="83"/>
        <v>6.7</v>
      </c>
      <c r="CF113" s="102">
        <f t="shared" si="84"/>
        <v>73</v>
      </c>
      <c r="CG113" s="102">
        <f t="shared" si="85"/>
        <v>7.43</v>
      </c>
      <c r="CH113" s="102">
        <f t="shared" si="86"/>
        <v>1.2</v>
      </c>
      <c r="CI113" s="102" t="str">
        <f t="shared" si="87"/>
        <v/>
      </c>
      <c r="CJ113" s="102">
        <f t="shared" si="88"/>
        <v>2.4</v>
      </c>
      <c r="CK113" s="102">
        <f t="shared" si="89"/>
        <v>46</v>
      </c>
      <c r="CL113" s="102">
        <f t="shared" si="90"/>
        <v>61</v>
      </c>
      <c r="CM113" s="102">
        <f t="shared" si="91"/>
        <v>910</v>
      </c>
      <c r="CN113" s="102">
        <f t="shared" si="92"/>
        <v>34</v>
      </c>
      <c r="CO113" s="102">
        <f t="shared" si="93"/>
        <v>1300</v>
      </c>
      <c r="CP113" s="102" t="str">
        <f t="shared" si="94"/>
        <v/>
      </c>
    </row>
    <row r="114" spans="2:94">
      <c r="B114" t="s">
        <v>252</v>
      </c>
      <c r="C114" s="231">
        <v>43361</v>
      </c>
      <c r="D114" s="233">
        <v>16.2</v>
      </c>
      <c r="E114" s="233">
        <v>7.6</v>
      </c>
      <c r="F114" s="235">
        <v>78</v>
      </c>
      <c r="G114" s="233">
        <v>7.65</v>
      </c>
      <c r="H114" s="233">
        <v>1.1000000000000001</v>
      </c>
      <c r="J114" s="233">
        <v>1.7</v>
      </c>
      <c r="K114" s="235">
        <v>40</v>
      </c>
      <c r="L114" s="235">
        <v>60</v>
      </c>
      <c r="M114" s="235">
        <v>1100</v>
      </c>
      <c r="N114" s="235">
        <v>25</v>
      </c>
      <c r="O114" s="235">
        <v>1500</v>
      </c>
      <c r="Q114">
        <v>2018</v>
      </c>
      <c r="R114">
        <v>9</v>
      </c>
      <c r="T114" s="226"/>
      <c r="U114" s="226"/>
      <c r="V114" s="226"/>
      <c r="W114" s="226"/>
      <c r="X114" s="226"/>
      <c r="Y114" s="226"/>
      <c r="Z114" s="226"/>
      <c r="AA114" s="233">
        <f t="shared" si="48"/>
        <v>10.332000000000001</v>
      </c>
      <c r="AB114" s="233">
        <f t="shared" si="49"/>
        <v>12.739174193481931</v>
      </c>
      <c r="AC114" s="233">
        <f t="shared" si="50"/>
        <v>7.9248258065180703</v>
      </c>
      <c r="AD114">
        <v>2.95</v>
      </c>
      <c r="AE114" s="233">
        <f t="shared" si="51"/>
        <v>7.9374301675977676</v>
      </c>
      <c r="AF114" s="233">
        <f t="shared" si="52"/>
        <v>8.0830597168027865</v>
      </c>
      <c r="AG114" s="233">
        <f t="shared" si="53"/>
        <v>7.7918006183927488</v>
      </c>
      <c r="AH114">
        <v>6.5</v>
      </c>
      <c r="AI114" s="233">
        <f t="shared" si="54"/>
        <v>3.3601117318435763</v>
      </c>
      <c r="AJ114" s="233">
        <f t="shared" si="55"/>
        <v>6.3851512410714601</v>
      </c>
      <c r="AK114" s="233">
        <f t="shared" si="56"/>
        <v>0.33507222261569281</v>
      </c>
      <c r="AL114">
        <v>7</v>
      </c>
      <c r="AM114" s="233">
        <f t="shared" si="57"/>
        <v>48.104347826086951</v>
      </c>
      <c r="AN114" s="233">
        <f t="shared" si="58"/>
        <v>52.277593646348265</v>
      </c>
      <c r="AO114" s="233">
        <f t="shared" si="59"/>
        <v>43.931102005825636</v>
      </c>
      <c r="AP114" s="233">
        <f t="shared" si="60"/>
        <v>2.0655865921787711</v>
      </c>
      <c r="AQ114" s="233">
        <f t="shared" si="61"/>
        <v>3.1665882132978602</v>
      </c>
      <c r="AR114" s="233">
        <f t="shared" si="62"/>
        <v>0.96458497105968211</v>
      </c>
      <c r="AS114" s="235">
        <f t="shared" si="63"/>
        <v>33.105027932960894</v>
      </c>
      <c r="AT114" s="235">
        <f t="shared" si="64"/>
        <v>50.535961542150602</v>
      </c>
      <c r="AU114" s="235">
        <f t="shared" si="65"/>
        <v>15.67409432377119</v>
      </c>
      <c r="AV114">
        <v>100</v>
      </c>
      <c r="AW114" s="235">
        <f t="shared" si="66"/>
        <v>62.766666666666666</v>
      </c>
      <c r="AX114" s="235">
        <f t="shared" si="67"/>
        <v>80.98511149172171</v>
      </c>
      <c r="AY114" s="235">
        <f t="shared" si="68"/>
        <v>44.548221841611614</v>
      </c>
      <c r="AZ114" s="235">
        <f t="shared" si="69"/>
        <v>2941.6666666666665</v>
      </c>
      <c r="BA114" s="235">
        <f t="shared" si="70"/>
        <v>4966.9775952753826</v>
      </c>
      <c r="BB114" s="235">
        <f t="shared" si="71"/>
        <v>916.35573805795048</v>
      </c>
      <c r="BC114" s="235">
        <f t="shared" si="72"/>
        <v>53.18888888888889</v>
      </c>
      <c r="BD114" s="235">
        <f t="shared" si="73"/>
        <v>112.67052202318322</v>
      </c>
      <c r="BE114" s="235">
        <f t="shared" si="74"/>
        <v>-6.2927442454054372</v>
      </c>
      <c r="BF114" s="235">
        <f t="shared" si="75"/>
        <v>3577.2222222222222</v>
      </c>
      <c r="BG114" s="235">
        <f t="shared" si="76"/>
        <v>5636.1265941907786</v>
      </c>
      <c r="BH114" s="235">
        <f t="shared" si="77"/>
        <v>1518.3178502536657</v>
      </c>
      <c r="BI114">
        <v>5000</v>
      </c>
      <c r="BJ114" s="235">
        <f t="shared" si="78"/>
        <v>0</v>
      </c>
      <c r="BK114" s="235">
        <f t="shared" si="79"/>
        <v>0</v>
      </c>
      <c r="BL114" s="235">
        <f t="shared" si="80"/>
        <v>0</v>
      </c>
      <c r="BO114" s="235">
        <f t="shared" si="81"/>
        <v>43361</v>
      </c>
      <c r="CD114" s="533">
        <f t="shared" si="82"/>
        <v>16.2</v>
      </c>
      <c r="CE114" s="102">
        <f t="shared" si="83"/>
        <v>7.6</v>
      </c>
      <c r="CF114" s="102">
        <f t="shared" si="84"/>
        <v>78</v>
      </c>
      <c r="CG114" s="102">
        <f t="shared" si="85"/>
        <v>7.65</v>
      </c>
      <c r="CH114" s="102">
        <f t="shared" si="86"/>
        <v>1.1000000000000001</v>
      </c>
      <c r="CI114" s="102" t="str">
        <f t="shared" si="87"/>
        <v/>
      </c>
      <c r="CJ114" s="102">
        <f t="shared" si="88"/>
        <v>1.7</v>
      </c>
      <c r="CK114" s="102">
        <f t="shared" si="89"/>
        <v>40</v>
      </c>
      <c r="CL114" s="102">
        <f t="shared" si="90"/>
        <v>60</v>
      </c>
      <c r="CM114" s="102">
        <f t="shared" si="91"/>
        <v>1100</v>
      </c>
      <c r="CN114" s="102">
        <f t="shared" si="92"/>
        <v>25</v>
      </c>
      <c r="CO114" s="102">
        <f t="shared" si="93"/>
        <v>1500</v>
      </c>
      <c r="CP114" s="102" t="str">
        <f t="shared" si="94"/>
        <v/>
      </c>
    </row>
    <row r="115" spans="2:94">
      <c r="B115" t="s">
        <v>252</v>
      </c>
      <c r="C115" s="231">
        <v>43389</v>
      </c>
      <c r="D115" s="233">
        <v>13.5</v>
      </c>
      <c r="E115" s="233">
        <v>10.5</v>
      </c>
      <c r="F115" s="235">
        <v>101</v>
      </c>
      <c r="G115" s="233">
        <v>7.55</v>
      </c>
      <c r="H115" s="233">
        <v>1.1000000000000001</v>
      </c>
      <c r="J115" s="233">
        <v>1.8</v>
      </c>
      <c r="K115" s="235">
        <v>4.0999999999999996</v>
      </c>
      <c r="L115" s="235">
        <v>58</v>
      </c>
      <c r="M115" s="235">
        <v>2800</v>
      </c>
      <c r="N115" s="235">
        <v>24</v>
      </c>
      <c r="O115" s="235">
        <v>3000</v>
      </c>
      <c r="Q115">
        <v>2018</v>
      </c>
      <c r="R115">
        <v>10</v>
      </c>
      <c r="T115" s="226"/>
      <c r="U115" s="226"/>
      <c r="V115" s="226"/>
      <c r="W115" s="226"/>
      <c r="X115" s="226"/>
      <c r="Y115" s="226"/>
      <c r="Z115" s="226"/>
      <c r="AA115" s="233">
        <f t="shared" si="48"/>
        <v>10.332000000000001</v>
      </c>
      <c r="AB115" s="233">
        <f t="shared" si="49"/>
        <v>12.739174193481931</v>
      </c>
      <c r="AC115" s="233">
        <f t="shared" si="50"/>
        <v>7.9248258065180703</v>
      </c>
      <c r="AD115">
        <v>2.95</v>
      </c>
      <c r="AE115" s="233">
        <f t="shared" si="51"/>
        <v>7.9374301675977676</v>
      </c>
      <c r="AF115" s="233">
        <f t="shared" si="52"/>
        <v>8.0830597168027865</v>
      </c>
      <c r="AG115" s="233">
        <f t="shared" si="53"/>
        <v>7.7918006183927488</v>
      </c>
      <c r="AH115">
        <v>6.5</v>
      </c>
      <c r="AI115" s="233">
        <f t="shared" si="54"/>
        <v>3.3601117318435763</v>
      </c>
      <c r="AJ115" s="233">
        <f t="shared" si="55"/>
        <v>6.3851512410714601</v>
      </c>
      <c r="AK115" s="233">
        <f t="shared" si="56"/>
        <v>0.33507222261569281</v>
      </c>
      <c r="AL115">
        <v>7</v>
      </c>
      <c r="AM115" s="233">
        <f t="shared" si="57"/>
        <v>48.104347826086951</v>
      </c>
      <c r="AN115" s="233">
        <f t="shared" si="58"/>
        <v>52.277593646348265</v>
      </c>
      <c r="AO115" s="233">
        <f t="shared" si="59"/>
        <v>43.931102005825636</v>
      </c>
      <c r="AP115" s="233">
        <f t="shared" si="60"/>
        <v>2.0655865921787711</v>
      </c>
      <c r="AQ115" s="233">
        <f t="shared" si="61"/>
        <v>3.1665882132978602</v>
      </c>
      <c r="AR115" s="233">
        <f t="shared" si="62"/>
        <v>0.96458497105968211</v>
      </c>
      <c r="AS115" s="235">
        <f t="shared" si="63"/>
        <v>33.105027932960894</v>
      </c>
      <c r="AT115" s="235">
        <f t="shared" si="64"/>
        <v>50.535961542150602</v>
      </c>
      <c r="AU115" s="235">
        <f t="shared" si="65"/>
        <v>15.67409432377119</v>
      </c>
      <c r="AV115">
        <v>100</v>
      </c>
      <c r="AW115" s="235">
        <f t="shared" si="66"/>
        <v>62.766666666666666</v>
      </c>
      <c r="AX115" s="235">
        <f t="shared" si="67"/>
        <v>80.98511149172171</v>
      </c>
      <c r="AY115" s="235">
        <f t="shared" si="68"/>
        <v>44.548221841611614</v>
      </c>
      <c r="AZ115" s="235">
        <f t="shared" si="69"/>
        <v>2941.6666666666665</v>
      </c>
      <c r="BA115" s="235">
        <f t="shared" si="70"/>
        <v>4966.9775952753826</v>
      </c>
      <c r="BB115" s="235">
        <f t="shared" si="71"/>
        <v>916.35573805795048</v>
      </c>
      <c r="BC115" s="235">
        <f t="shared" si="72"/>
        <v>53.18888888888889</v>
      </c>
      <c r="BD115" s="235">
        <f t="shared" si="73"/>
        <v>112.67052202318322</v>
      </c>
      <c r="BE115" s="235">
        <f t="shared" si="74"/>
        <v>-6.2927442454054372</v>
      </c>
      <c r="BF115" s="235">
        <f t="shared" si="75"/>
        <v>3577.2222222222222</v>
      </c>
      <c r="BG115" s="235">
        <f t="shared" si="76"/>
        <v>5636.1265941907786</v>
      </c>
      <c r="BH115" s="235">
        <f t="shared" si="77"/>
        <v>1518.3178502536657</v>
      </c>
      <c r="BI115">
        <v>5000</v>
      </c>
      <c r="BJ115" s="235">
        <f t="shared" si="78"/>
        <v>0</v>
      </c>
      <c r="BK115" s="235">
        <f t="shared" si="79"/>
        <v>0</v>
      </c>
      <c r="BL115" s="235">
        <f t="shared" si="80"/>
        <v>0</v>
      </c>
      <c r="BO115" s="235">
        <f t="shared" si="81"/>
        <v>43389</v>
      </c>
      <c r="CD115" s="533">
        <f t="shared" si="82"/>
        <v>13.5</v>
      </c>
      <c r="CE115" s="102">
        <f t="shared" si="83"/>
        <v>10.5</v>
      </c>
      <c r="CF115" s="102">
        <f t="shared" si="84"/>
        <v>101</v>
      </c>
      <c r="CG115" s="102">
        <f t="shared" si="85"/>
        <v>7.55</v>
      </c>
      <c r="CH115" s="102">
        <f t="shared" si="86"/>
        <v>1.1000000000000001</v>
      </c>
      <c r="CI115" s="102" t="str">
        <f t="shared" si="87"/>
        <v/>
      </c>
      <c r="CJ115" s="102">
        <f t="shared" si="88"/>
        <v>1.8</v>
      </c>
      <c r="CK115" s="102">
        <f t="shared" si="89"/>
        <v>4.0999999999999996</v>
      </c>
      <c r="CL115" s="102">
        <f t="shared" si="90"/>
        <v>58</v>
      </c>
      <c r="CM115" s="102">
        <f t="shared" si="91"/>
        <v>2800</v>
      </c>
      <c r="CN115" s="102">
        <f t="shared" si="92"/>
        <v>24</v>
      </c>
      <c r="CO115" s="102">
        <f t="shared" si="93"/>
        <v>3000</v>
      </c>
      <c r="CP115" s="102" t="str">
        <f t="shared" si="94"/>
        <v/>
      </c>
    </row>
    <row r="116" spans="2:94">
      <c r="B116" t="s">
        <v>252</v>
      </c>
      <c r="C116" s="231">
        <v>43424</v>
      </c>
      <c r="D116" s="233">
        <v>7.3</v>
      </c>
      <c r="E116" s="233">
        <v>9.6</v>
      </c>
      <c r="F116" s="235">
        <v>80</v>
      </c>
      <c r="G116" s="233">
        <v>7.59</v>
      </c>
      <c r="H116" s="233">
        <v>1.5</v>
      </c>
      <c r="J116" s="233">
        <v>3.1</v>
      </c>
      <c r="K116" s="235">
        <v>36</v>
      </c>
      <c r="L116" s="235">
        <v>59</v>
      </c>
      <c r="M116" s="235">
        <v>4200</v>
      </c>
      <c r="N116" s="235">
        <v>46</v>
      </c>
      <c r="O116" s="235">
        <v>4400</v>
      </c>
      <c r="Q116">
        <v>2018</v>
      </c>
      <c r="R116">
        <v>11</v>
      </c>
      <c r="T116" s="226"/>
      <c r="U116" s="226"/>
      <c r="V116" s="226"/>
      <c r="W116" s="226"/>
      <c r="X116" s="226"/>
      <c r="Y116" s="226"/>
      <c r="Z116" s="226"/>
      <c r="AA116" s="233">
        <f t="shared" si="48"/>
        <v>10.332000000000001</v>
      </c>
      <c r="AB116" s="233">
        <f t="shared" si="49"/>
        <v>12.739174193481931</v>
      </c>
      <c r="AC116" s="233">
        <f t="shared" si="50"/>
        <v>7.9248258065180703</v>
      </c>
      <c r="AD116">
        <v>2.95</v>
      </c>
      <c r="AE116" s="233">
        <f t="shared" si="51"/>
        <v>7.9374301675977676</v>
      </c>
      <c r="AF116" s="233">
        <f t="shared" si="52"/>
        <v>8.0830597168027865</v>
      </c>
      <c r="AG116" s="233">
        <f t="shared" si="53"/>
        <v>7.7918006183927488</v>
      </c>
      <c r="AH116">
        <v>6.5</v>
      </c>
      <c r="AI116" s="233">
        <f t="shared" si="54"/>
        <v>3.3601117318435763</v>
      </c>
      <c r="AJ116" s="233">
        <f t="shared" si="55"/>
        <v>6.3851512410714601</v>
      </c>
      <c r="AK116" s="233">
        <f t="shared" si="56"/>
        <v>0.33507222261569281</v>
      </c>
      <c r="AL116">
        <v>7</v>
      </c>
      <c r="AM116" s="233">
        <f t="shared" si="57"/>
        <v>48.104347826086951</v>
      </c>
      <c r="AN116" s="233">
        <f t="shared" si="58"/>
        <v>52.277593646348265</v>
      </c>
      <c r="AO116" s="233">
        <f t="shared" si="59"/>
        <v>43.931102005825636</v>
      </c>
      <c r="AP116" s="233">
        <f t="shared" si="60"/>
        <v>2.0655865921787711</v>
      </c>
      <c r="AQ116" s="233">
        <f t="shared" si="61"/>
        <v>3.1665882132978602</v>
      </c>
      <c r="AR116" s="233">
        <f t="shared" si="62"/>
        <v>0.96458497105968211</v>
      </c>
      <c r="AS116" s="235">
        <f t="shared" si="63"/>
        <v>33.105027932960894</v>
      </c>
      <c r="AT116" s="235">
        <f t="shared" si="64"/>
        <v>50.535961542150602</v>
      </c>
      <c r="AU116" s="235">
        <f t="shared" si="65"/>
        <v>15.67409432377119</v>
      </c>
      <c r="AV116">
        <v>100</v>
      </c>
      <c r="AW116" s="235">
        <f t="shared" si="66"/>
        <v>62.766666666666666</v>
      </c>
      <c r="AX116" s="235">
        <f t="shared" si="67"/>
        <v>80.98511149172171</v>
      </c>
      <c r="AY116" s="235">
        <f t="shared" si="68"/>
        <v>44.548221841611614</v>
      </c>
      <c r="AZ116" s="235">
        <f t="shared" si="69"/>
        <v>2941.6666666666665</v>
      </c>
      <c r="BA116" s="235">
        <f t="shared" si="70"/>
        <v>4966.9775952753826</v>
      </c>
      <c r="BB116" s="235">
        <f t="shared" si="71"/>
        <v>916.35573805795048</v>
      </c>
      <c r="BC116" s="235">
        <f t="shared" si="72"/>
        <v>53.18888888888889</v>
      </c>
      <c r="BD116" s="235">
        <f t="shared" si="73"/>
        <v>112.67052202318322</v>
      </c>
      <c r="BE116" s="235">
        <f t="shared" si="74"/>
        <v>-6.2927442454054372</v>
      </c>
      <c r="BF116" s="235">
        <f t="shared" si="75"/>
        <v>3577.2222222222222</v>
      </c>
      <c r="BG116" s="235">
        <f t="shared" si="76"/>
        <v>5636.1265941907786</v>
      </c>
      <c r="BH116" s="235">
        <f t="shared" si="77"/>
        <v>1518.3178502536657</v>
      </c>
      <c r="BI116">
        <v>5000</v>
      </c>
      <c r="BJ116" s="235">
        <f t="shared" si="78"/>
        <v>0</v>
      </c>
      <c r="BK116" s="235">
        <f t="shared" si="79"/>
        <v>0</v>
      </c>
      <c r="BL116" s="235">
        <f t="shared" si="80"/>
        <v>0</v>
      </c>
      <c r="BO116" s="235">
        <f t="shared" si="81"/>
        <v>43424</v>
      </c>
      <c r="CD116" s="533">
        <f t="shared" si="82"/>
        <v>7.3</v>
      </c>
      <c r="CE116" s="102">
        <f t="shared" si="83"/>
        <v>9.6</v>
      </c>
      <c r="CF116" s="102">
        <f t="shared" si="84"/>
        <v>80</v>
      </c>
      <c r="CG116" s="102">
        <f t="shared" si="85"/>
        <v>7.59</v>
      </c>
      <c r="CH116" s="102">
        <f t="shared" si="86"/>
        <v>1.5</v>
      </c>
      <c r="CI116" s="102" t="str">
        <f t="shared" si="87"/>
        <v/>
      </c>
      <c r="CJ116" s="102">
        <f t="shared" si="88"/>
        <v>3.1</v>
      </c>
      <c r="CK116" s="102">
        <f t="shared" si="89"/>
        <v>36</v>
      </c>
      <c r="CL116" s="102">
        <f t="shared" si="90"/>
        <v>59</v>
      </c>
      <c r="CM116" s="102">
        <f t="shared" si="91"/>
        <v>4200</v>
      </c>
      <c r="CN116" s="102">
        <f t="shared" si="92"/>
        <v>46</v>
      </c>
      <c r="CO116" s="102">
        <f t="shared" si="93"/>
        <v>4400</v>
      </c>
      <c r="CP116" s="102" t="str">
        <f t="shared" si="94"/>
        <v/>
      </c>
    </row>
    <row r="117" spans="2:94">
      <c r="B117" t="s">
        <v>252</v>
      </c>
      <c r="C117" s="231">
        <v>43447</v>
      </c>
      <c r="D117" s="233">
        <v>4.3</v>
      </c>
      <c r="E117" s="233">
        <v>11.4</v>
      </c>
      <c r="F117" s="235">
        <v>88</v>
      </c>
      <c r="G117" s="233">
        <v>7.57</v>
      </c>
      <c r="H117" s="233">
        <v>2.8</v>
      </c>
      <c r="J117" s="233">
        <v>2.2000000000000002</v>
      </c>
      <c r="K117" s="235">
        <v>38</v>
      </c>
      <c r="L117" s="235">
        <v>58</v>
      </c>
      <c r="M117" s="235">
        <v>12000</v>
      </c>
      <c r="N117" s="235">
        <v>65</v>
      </c>
      <c r="O117" s="235">
        <v>12000</v>
      </c>
      <c r="Q117">
        <v>2018</v>
      </c>
      <c r="R117">
        <v>12</v>
      </c>
      <c r="T117" s="226"/>
      <c r="U117" s="226"/>
      <c r="V117" s="226"/>
      <c r="W117" s="226"/>
      <c r="X117" s="226"/>
      <c r="Y117" s="226"/>
      <c r="Z117" s="226"/>
      <c r="AA117" s="233">
        <f t="shared" si="48"/>
        <v>10.332000000000001</v>
      </c>
      <c r="AB117" s="233">
        <f t="shared" si="49"/>
        <v>12.739174193481931</v>
      </c>
      <c r="AC117" s="233">
        <f t="shared" si="50"/>
        <v>7.9248258065180703</v>
      </c>
      <c r="AD117">
        <v>2.95</v>
      </c>
      <c r="AE117" s="233">
        <f t="shared" si="51"/>
        <v>7.9374301675977676</v>
      </c>
      <c r="AF117" s="233">
        <f t="shared" si="52"/>
        <v>8.0830597168027865</v>
      </c>
      <c r="AG117" s="233">
        <f t="shared" si="53"/>
        <v>7.7918006183927488</v>
      </c>
      <c r="AH117">
        <v>6.5</v>
      </c>
      <c r="AI117" s="233">
        <f t="shared" si="54"/>
        <v>3.3601117318435763</v>
      </c>
      <c r="AJ117" s="233">
        <f t="shared" si="55"/>
        <v>6.3851512410714601</v>
      </c>
      <c r="AK117" s="233">
        <f t="shared" si="56"/>
        <v>0.33507222261569281</v>
      </c>
      <c r="AL117">
        <v>7</v>
      </c>
      <c r="AM117" s="233">
        <f t="shared" si="57"/>
        <v>48.104347826086951</v>
      </c>
      <c r="AN117" s="233">
        <f t="shared" si="58"/>
        <v>52.277593646348265</v>
      </c>
      <c r="AO117" s="233">
        <f t="shared" si="59"/>
        <v>43.931102005825636</v>
      </c>
      <c r="AP117" s="233">
        <f t="shared" si="60"/>
        <v>2.0655865921787711</v>
      </c>
      <c r="AQ117" s="233">
        <f t="shared" si="61"/>
        <v>3.1665882132978602</v>
      </c>
      <c r="AR117" s="233">
        <f t="shared" si="62"/>
        <v>0.96458497105968211</v>
      </c>
      <c r="AS117" s="235">
        <f t="shared" si="63"/>
        <v>33.105027932960894</v>
      </c>
      <c r="AT117" s="235">
        <f t="shared" si="64"/>
        <v>50.535961542150602</v>
      </c>
      <c r="AU117" s="235">
        <f t="shared" si="65"/>
        <v>15.67409432377119</v>
      </c>
      <c r="AV117">
        <v>100</v>
      </c>
      <c r="AW117" s="235">
        <f t="shared" si="66"/>
        <v>62.766666666666666</v>
      </c>
      <c r="AX117" s="235">
        <f t="shared" si="67"/>
        <v>80.98511149172171</v>
      </c>
      <c r="AY117" s="235">
        <f t="shared" si="68"/>
        <v>44.548221841611614</v>
      </c>
      <c r="AZ117" s="235">
        <f t="shared" si="69"/>
        <v>2941.6666666666665</v>
      </c>
      <c r="BA117" s="235">
        <f t="shared" si="70"/>
        <v>4966.9775952753826</v>
      </c>
      <c r="BB117" s="235">
        <f t="shared" si="71"/>
        <v>916.35573805795048</v>
      </c>
      <c r="BC117" s="235">
        <f t="shared" si="72"/>
        <v>53.18888888888889</v>
      </c>
      <c r="BD117" s="235">
        <f t="shared" si="73"/>
        <v>112.67052202318322</v>
      </c>
      <c r="BE117" s="235">
        <f t="shared" si="74"/>
        <v>-6.2927442454054372</v>
      </c>
      <c r="BF117" s="235">
        <f t="shared" si="75"/>
        <v>3577.2222222222222</v>
      </c>
      <c r="BG117" s="235">
        <f t="shared" si="76"/>
        <v>5636.1265941907786</v>
      </c>
      <c r="BH117" s="235">
        <f t="shared" si="77"/>
        <v>1518.3178502536657</v>
      </c>
      <c r="BI117">
        <v>5000</v>
      </c>
      <c r="BJ117" s="235">
        <f t="shared" si="78"/>
        <v>0</v>
      </c>
      <c r="BK117" s="235">
        <f t="shared" si="79"/>
        <v>0</v>
      </c>
      <c r="BL117" s="235">
        <f t="shared" si="80"/>
        <v>0</v>
      </c>
      <c r="BO117" s="235">
        <f t="shared" si="81"/>
        <v>43447</v>
      </c>
      <c r="CD117" s="533">
        <f t="shared" si="82"/>
        <v>4.3</v>
      </c>
      <c r="CE117" s="102">
        <f t="shared" si="83"/>
        <v>11.4</v>
      </c>
      <c r="CF117" s="102">
        <f t="shared" si="84"/>
        <v>88</v>
      </c>
      <c r="CG117" s="102">
        <f t="shared" si="85"/>
        <v>7.57</v>
      </c>
      <c r="CH117" s="102">
        <f t="shared" si="86"/>
        <v>2.8</v>
      </c>
      <c r="CI117" s="102" t="str">
        <f t="shared" si="87"/>
        <v/>
      </c>
      <c r="CJ117" s="102">
        <f t="shared" si="88"/>
        <v>2.2000000000000002</v>
      </c>
      <c r="CK117" s="102">
        <f t="shared" si="89"/>
        <v>38</v>
      </c>
      <c r="CL117" s="102">
        <f t="shared" si="90"/>
        <v>58</v>
      </c>
      <c r="CM117" s="102">
        <f t="shared" si="91"/>
        <v>12000</v>
      </c>
      <c r="CN117" s="102">
        <f t="shared" si="92"/>
        <v>65</v>
      </c>
      <c r="CO117" s="102">
        <f t="shared" si="93"/>
        <v>12000</v>
      </c>
      <c r="CP117" s="102" t="str">
        <f t="shared" si="94"/>
        <v/>
      </c>
    </row>
    <row r="118" spans="2:94">
      <c r="B118" t="s">
        <v>252</v>
      </c>
      <c r="C118" s="231">
        <v>43475</v>
      </c>
      <c r="D118" s="233">
        <v>2.6</v>
      </c>
      <c r="E118" s="233">
        <v>13.3</v>
      </c>
      <c r="F118" s="235">
        <v>98</v>
      </c>
      <c r="G118" s="233">
        <v>7.79</v>
      </c>
      <c r="H118" s="233">
        <v>3</v>
      </c>
      <c r="J118" s="233">
        <v>4.4000000000000004</v>
      </c>
      <c r="K118" s="235">
        <v>34</v>
      </c>
      <c r="L118" s="235">
        <v>56</v>
      </c>
      <c r="M118" s="235">
        <v>7000</v>
      </c>
      <c r="N118" s="235">
        <v>140</v>
      </c>
      <c r="O118" s="235">
        <v>7200</v>
      </c>
      <c r="Q118">
        <v>2019</v>
      </c>
      <c r="R118">
        <v>1</v>
      </c>
      <c r="T118" s="226"/>
      <c r="U118" s="226"/>
      <c r="V118" s="226"/>
      <c r="W118" s="226"/>
      <c r="X118" s="226"/>
      <c r="Y118" s="226"/>
      <c r="Z118" s="226"/>
      <c r="AA118" s="233">
        <f t="shared" si="48"/>
        <v>10.332000000000001</v>
      </c>
      <c r="AB118" s="233">
        <f t="shared" si="49"/>
        <v>12.739174193481931</v>
      </c>
      <c r="AC118" s="233">
        <f t="shared" si="50"/>
        <v>7.9248258065180703</v>
      </c>
      <c r="AD118">
        <v>2.95</v>
      </c>
      <c r="AE118" s="233">
        <f t="shared" si="51"/>
        <v>7.9374301675977676</v>
      </c>
      <c r="AF118" s="233">
        <f t="shared" si="52"/>
        <v>8.0830597168027865</v>
      </c>
      <c r="AG118" s="233">
        <f t="shared" si="53"/>
        <v>7.7918006183927488</v>
      </c>
      <c r="AH118">
        <v>6.5</v>
      </c>
      <c r="AI118" s="233">
        <f t="shared" si="54"/>
        <v>3.3601117318435763</v>
      </c>
      <c r="AJ118" s="233">
        <f t="shared" si="55"/>
        <v>6.3851512410714601</v>
      </c>
      <c r="AK118" s="233">
        <f t="shared" si="56"/>
        <v>0.33507222261569281</v>
      </c>
      <c r="AL118">
        <v>7</v>
      </c>
      <c r="AM118" s="233">
        <f t="shared" si="57"/>
        <v>48.104347826086951</v>
      </c>
      <c r="AN118" s="233">
        <f t="shared" si="58"/>
        <v>52.277593646348265</v>
      </c>
      <c r="AO118" s="233">
        <f t="shared" si="59"/>
        <v>43.931102005825636</v>
      </c>
      <c r="AP118" s="233">
        <f t="shared" si="60"/>
        <v>2.0655865921787711</v>
      </c>
      <c r="AQ118" s="233">
        <f t="shared" si="61"/>
        <v>3.1665882132978602</v>
      </c>
      <c r="AR118" s="233">
        <f t="shared" si="62"/>
        <v>0.96458497105968211</v>
      </c>
      <c r="AS118" s="235">
        <f t="shared" si="63"/>
        <v>33.105027932960894</v>
      </c>
      <c r="AT118" s="235">
        <f t="shared" si="64"/>
        <v>50.535961542150602</v>
      </c>
      <c r="AU118" s="235">
        <f t="shared" si="65"/>
        <v>15.67409432377119</v>
      </c>
      <c r="AV118">
        <v>100</v>
      </c>
      <c r="AW118" s="235">
        <f t="shared" si="66"/>
        <v>62.766666666666666</v>
      </c>
      <c r="AX118" s="235">
        <f t="shared" si="67"/>
        <v>80.98511149172171</v>
      </c>
      <c r="AY118" s="235">
        <f t="shared" si="68"/>
        <v>44.548221841611614</v>
      </c>
      <c r="AZ118" s="235">
        <f t="shared" si="69"/>
        <v>2941.6666666666665</v>
      </c>
      <c r="BA118" s="235">
        <f t="shared" si="70"/>
        <v>4966.9775952753826</v>
      </c>
      <c r="BB118" s="235">
        <f t="shared" si="71"/>
        <v>916.35573805795048</v>
      </c>
      <c r="BC118" s="235">
        <f t="shared" si="72"/>
        <v>53.18888888888889</v>
      </c>
      <c r="BD118" s="235">
        <f t="shared" si="73"/>
        <v>112.67052202318322</v>
      </c>
      <c r="BE118" s="235">
        <f t="shared" si="74"/>
        <v>-6.2927442454054372</v>
      </c>
      <c r="BF118" s="235">
        <f t="shared" si="75"/>
        <v>3577.2222222222222</v>
      </c>
      <c r="BG118" s="235">
        <f t="shared" si="76"/>
        <v>5636.1265941907786</v>
      </c>
      <c r="BH118" s="235">
        <f t="shared" si="77"/>
        <v>1518.3178502536657</v>
      </c>
      <c r="BI118">
        <v>5000</v>
      </c>
      <c r="BJ118" s="235">
        <f t="shared" si="78"/>
        <v>0</v>
      </c>
      <c r="BK118" s="235">
        <f t="shared" si="79"/>
        <v>0</v>
      </c>
      <c r="BL118" s="235">
        <f t="shared" si="80"/>
        <v>0</v>
      </c>
      <c r="BO118" s="235">
        <f t="shared" si="81"/>
        <v>43475</v>
      </c>
      <c r="CD118" s="533">
        <f t="shared" si="82"/>
        <v>2.6</v>
      </c>
      <c r="CE118" s="102">
        <f t="shared" si="83"/>
        <v>13.3</v>
      </c>
      <c r="CF118" s="102">
        <f t="shared" si="84"/>
        <v>98</v>
      </c>
      <c r="CG118" s="102">
        <f t="shared" si="85"/>
        <v>7.79</v>
      </c>
      <c r="CH118" s="102">
        <f t="shared" si="86"/>
        <v>3</v>
      </c>
      <c r="CI118" s="102" t="str">
        <f t="shared" si="87"/>
        <v/>
      </c>
      <c r="CJ118" s="102">
        <f t="shared" si="88"/>
        <v>4.4000000000000004</v>
      </c>
      <c r="CK118" s="102">
        <f t="shared" si="89"/>
        <v>34</v>
      </c>
      <c r="CL118" s="102">
        <f t="shared" si="90"/>
        <v>56</v>
      </c>
      <c r="CM118" s="102">
        <f t="shared" si="91"/>
        <v>7000</v>
      </c>
      <c r="CN118" s="102">
        <f t="shared" si="92"/>
        <v>140</v>
      </c>
      <c r="CO118" s="102">
        <f t="shared" si="93"/>
        <v>7200</v>
      </c>
      <c r="CP118" s="102" t="str">
        <f t="shared" si="94"/>
        <v/>
      </c>
    </row>
    <row r="119" spans="2:94">
      <c r="B119" t="s">
        <v>252</v>
      </c>
      <c r="C119" s="231">
        <v>43515</v>
      </c>
      <c r="D119" s="233">
        <v>5.6</v>
      </c>
      <c r="E119" s="233">
        <v>12.7</v>
      </c>
      <c r="F119" s="235">
        <v>101</v>
      </c>
      <c r="G119" s="233">
        <v>8.08</v>
      </c>
      <c r="H119" s="233">
        <v>5.3</v>
      </c>
      <c r="J119" s="233">
        <v>3.7</v>
      </c>
      <c r="K119" s="235">
        <v>3.1</v>
      </c>
      <c r="L119" s="235">
        <v>58</v>
      </c>
      <c r="M119" s="235">
        <v>6000</v>
      </c>
      <c r="N119" s="235" t="s">
        <v>148</v>
      </c>
      <c r="O119" s="235">
        <v>6400</v>
      </c>
      <c r="Q119">
        <v>2019</v>
      </c>
      <c r="R119">
        <v>2</v>
      </c>
      <c r="T119" s="226"/>
      <c r="U119" s="226"/>
      <c r="V119" s="226"/>
      <c r="W119" s="226"/>
      <c r="X119" s="226"/>
      <c r="Y119" s="226"/>
      <c r="Z119" s="226"/>
      <c r="AA119" s="233">
        <f t="shared" si="48"/>
        <v>10.332000000000001</v>
      </c>
      <c r="AB119" s="233">
        <f t="shared" si="49"/>
        <v>12.739174193481931</v>
      </c>
      <c r="AC119" s="233">
        <f t="shared" si="50"/>
        <v>7.9248258065180703</v>
      </c>
      <c r="AD119">
        <v>2.95</v>
      </c>
      <c r="AE119" s="233">
        <f t="shared" si="51"/>
        <v>7.9374301675977676</v>
      </c>
      <c r="AF119" s="233">
        <f t="shared" si="52"/>
        <v>8.0830597168027865</v>
      </c>
      <c r="AG119" s="233">
        <f t="shared" si="53"/>
        <v>7.7918006183927488</v>
      </c>
      <c r="AH119">
        <v>6.5</v>
      </c>
      <c r="AI119" s="233">
        <f t="shared" si="54"/>
        <v>3.3601117318435763</v>
      </c>
      <c r="AJ119" s="233">
        <f t="shared" si="55"/>
        <v>6.3851512410714601</v>
      </c>
      <c r="AK119" s="233">
        <f t="shared" si="56"/>
        <v>0.33507222261569281</v>
      </c>
      <c r="AL119">
        <v>7</v>
      </c>
      <c r="AM119" s="233">
        <f t="shared" si="57"/>
        <v>48.104347826086951</v>
      </c>
      <c r="AN119" s="233">
        <f t="shared" si="58"/>
        <v>52.277593646348265</v>
      </c>
      <c r="AO119" s="233">
        <f t="shared" si="59"/>
        <v>43.931102005825636</v>
      </c>
      <c r="AP119" s="233">
        <f t="shared" si="60"/>
        <v>2.0655865921787711</v>
      </c>
      <c r="AQ119" s="233">
        <f t="shared" si="61"/>
        <v>3.1665882132978602</v>
      </c>
      <c r="AR119" s="233">
        <f t="shared" si="62"/>
        <v>0.96458497105968211</v>
      </c>
      <c r="AS119" s="235">
        <f t="shared" si="63"/>
        <v>33.105027932960894</v>
      </c>
      <c r="AT119" s="235">
        <f t="shared" si="64"/>
        <v>50.535961542150602</v>
      </c>
      <c r="AU119" s="235">
        <f t="shared" si="65"/>
        <v>15.67409432377119</v>
      </c>
      <c r="AV119">
        <v>100</v>
      </c>
      <c r="AW119" s="235">
        <f t="shared" si="66"/>
        <v>62.766666666666666</v>
      </c>
      <c r="AX119" s="235">
        <f t="shared" si="67"/>
        <v>80.98511149172171</v>
      </c>
      <c r="AY119" s="235">
        <f t="shared" si="68"/>
        <v>44.548221841611614</v>
      </c>
      <c r="AZ119" s="235">
        <f t="shared" si="69"/>
        <v>2941.6666666666665</v>
      </c>
      <c r="BA119" s="235">
        <f t="shared" si="70"/>
        <v>4966.9775952753826</v>
      </c>
      <c r="BB119" s="235">
        <f t="shared" si="71"/>
        <v>916.35573805795048</v>
      </c>
      <c r="BC119" s="235">
        <f t="shared" si="72"/>
        <v>53.18888888888889</v>
      </c>
      <c r="BD119" s="235">
        <f t="shared" si="73"/>
        <v>112.67052202318322</v>
      </c>
      <c r="BE119" s="235">
        <f t="shared" si="74"/>
        <v>-6.2927442454054372</v>
      </c>
      <c r="BF119" s="235">
        <f t="shared" si="75"/>
        <v>3577.2222222222222</v>
      </c>
      <c r="BG119" s="235">
        <f t="shared" si="76"/>
        <v>5636.1265941907786</v>
      </c>
      <c r="BH119" s="235">
        <f t="shared" si="77"/>
        <v>1518.3178502536657</v>
      </c>
      <c r="BI119">
        <v>5000</v>
      </c>
      <c r="BJ119" s="235">
        <f t="shared" si="78"/>
        <v>0</v>
      </c>
      <c r="BK119" s="235">
        <f t="shared" si="79"/>
        <v>0</v>
      </c>
      <c r="BL119" s="235">
        <f t="shared" si="80"/>
        <v>0</v>
      </c>
      <c r="BO119" s="235">
        <f t="shared" si="81"/>
        <v>43515</v>
      </c>
      <c r="CD119" s="533">
        <f t="shared" si="82"/>
        <v>5.6</v>
      </c>
      <c r="CE119" s="102">
        <f t="shared" si="83"/>
        <v>12.7</v>
      </c>
      <c r="CF119" s="102">
        <f t="shared" si="84"/>
        <v>101</v>
      </c>
      <c r="CG119" s="102">
        <f t="shared" si="85"/>
        <v>8.08</v>
      </c>
      <c r="CH119" s="102">
        <f t="shared" si="86"/>
        <v>5.3</v>
      </c>
      <c r="CI119" s="102" t="str">
        <f t="shared" si="87"/>
        <v/>
      </c>
      <c r="CJ119" s="102">
        <f t="shared" si="88"/>
        <v>3.7</v>
      </c>
      <c r="CK119" s="102">
        <f t="shared" si="89"/>
        <v>3.1</v>
      </c>
      <c r="CL119" s="102">
        <f t="shared" si="90"/>
        <v>58</v>
      </c>
      <c r="CM119" s="102">
        <f t="shared" si="91"/>
        <v>6000</v>
      </c>
      <c r="CN119" s="102">
        <f t="shared" si="92"/>
        <v>10</v>
      </c>
      <c r="CO119" s="102">
        <f t="shared" si="93"/>
        <v>6400</v>
      </c>
      <c r="CP119" s="102" t="str">
        <f t="shared" si="94"/>
        <v/>
      </c>
    </row>
    <row r="120" spans="2:94">
      <c r="B120" t="s">
        <v>252</v>
      </c>
      <c r="C120" s="231">
        <v>43536</v>
      </c>
      <c r="D120" s="233">
        <v>4.4000000000000004</v>
      </c>
      <c r="E120" s="233">
        <v>13.8</v>
      </c>
      <c r="F120" s="235">
        <v>107</v>
      </c>
      <c r="G120" s="233">
        <v>8.1300000000000008</v>
      </c>
      <c r="H120" s="233">
        <v>6.4</v>
      </c>
      <c r="J120" s="233">
        <v>4.5999999999999996</v>
      </c>
      <c r="K120" s="235">
        <v>11</v>
      </c>
      <c r="L120" s="235">
        <v>59</v>
      </c>
      <c r="M120" s="235">
        <v>6500</v>
      </c>
      <c r="N120" s="235">
        <v>10</v>
      </c>
      <c r="O120" s="235">
        <v>7100</v>
      </c>
      <c r="Q120">
        <v>2019</v>
      </c>
      <c r="R120">
        <v>3</v>
      </c>
      <c r="T120" s="226"/>
      <c r="U120" s="226"/>
      <c r="V120" s="226"/>
      <c r="W120" s="226"/>
      <c r="X120" s="226"/>
      <c r="Y120" s="226"/>
      <c r="Z120" s="226"/>
      <c r="AA120" s="233">
        <f t="shared" si="48"/>
        <v>10.332000000000001</v>
      </c>
      <c r="AB120" s="233">
        <f t="shared" si="49"/>
        <v>12.739174193481931</v>
      </c>
      <c r="AC120" s="233">
        <f t="shared" si="50"/>
        <v>7.9248258065180703</v>
      </c>
      <c r="AD120">
        <v>2.95</v>
      </c>
      <c r="AE120" s="233">
        <f t="shared" si="51"/>
        <v>7.9374301675977676</v>
      </c>
      <c r="AF120" s="233">
        <f t="shared" si="52"/>
        <v>8.0830597168027865</v>
      </c>
      <c r="AG120" s="233">
        <f t="shared" si="53"/>
        <v>7.7918006183927488</v>
      </c>
      <c r="AH120">
        <v>6.5</v>
      </c>
      <c r="AI120" s="233">
        <f t="shared" si="54"/>
        <v>3.3601117318435763</v>
      </c>
      <c r="AJ120" s="233">
        <f t="shared" si="55"/>
        <v>6.3851512410714601</v>
      </c>
      <c r="AK120" s="233">
        <f t="shared" si="56"/>
        <v>0.33507222261569281</v>
      </c>
      <c r="AL120">
        <v>7</v>
      </c>
      <c r="AM120" s="233">
        <f t="shared" si="57"/>
        <v>48.104347826086951</v>
      </c>
      <c r="AN120" s="233">
        <f t="shared" si="58"/>
        <v>52.277593646348265</v>
      </c>
      <c r="AO120" s="233">
        <f t="shared" si="59"/>
        <v>43.931102005825636</v>
      </c>
      <c r="AP120" s="233">
        <f t="shared" si="60"/>
        <v>2.0655865921787711</v>
      </c>
      <c r="AQ120" s="233">
        <f t="shared" si="61"/>
        <v>3.1665882132978602</v>
      </c>
      <c r="AR120" s="233">
        <f t="shared" si="62"/>
        <v>0.96458497105968211</v>
      </c>
      <c r="AS120" s="235">
        <f t="shared" si="63"/>
        <v>33.105027932960894</v>
      </c>
      <c r="AT120" s="235">
        <f t="shared" si="64"/>
        <v>50.535961542150602</v>
      </c>
      <c r="AU120" s="235">
        <f t="shared" si="65"/>
        <v>15.67409432377119</v>
      </c>
      <c r="AV120">
        <v>100</v>
      </c>
      <c r="AW120" s="235">
        <f t="shared" si="66"/>
        <v>62.766666666666666</v>
      </c>
      <c r="AX120" s="235">
        <f t="shared" si="67"/>
        <v>80.98511149172171</v>
      </c>
      <c r="AY120" s="235">
        <f t="shared" si="68"/>
        <v>44.548221841611614</v>
      </c>
      <c r="AZ120" s="235">
        <f t="shared" si="69"/>
        <v>2941.6666666666665</v>
      </c>
      <c r="BA120" s="235">
        <f t="shared" si="70"/>
        <v>4966.9775952753826</v>
      </c>
      <c r="BB120" s="235">
        <f t="shared" si="71"/>
        <v>916.35573805795048</v>
      </c>
      <c r="BC120" s="235">
        <f t="shared" si="72"/>
        <v>53.18888888888889</v>
      </c>
      <c r="BD120" s="235">
        <f t="shared" si="73"/>
        <v>112.67052202318322</v>
      </c>
      <c r="BE120" s="235">
        <f t="shared" si="74"/>
        <v>-6.2927442454054372</v>
      </c>
      <c r="BF120" s="235">
        <f t="shared" si="75"/>
        <v>3577.2222222222222</v>
      </c>
      <c r="BG120" s="235">
        <f t="shared" si="76"/>
        <v>5636.1265941907786</v>
      </c>
      <c r="BH120" s="235">
        <f t="shared" si="77"/>
        <v>1518.3178502536657</v>
      </c>
      <c r="BI120">
        <v>5000</v>
      </c>
      <c r="BJ120" s="235">
        <f t="shared" si="78"/>
        <v>0</v>
      </c>
      <c r="BK120" s="235">
        <f t="shared" si="79"/>
        <v>0</v>
      </c>
      <c r="BL120" s="235">
        <f t="shared" si="80"/>
        <v>0</v>
      </c>
      <c r="BO120" s="235">
        <f t="shared" si="81"/>
        <v>43536</v>
      </c>
      <c r="CD120" s="533">
        <f t="shared" si="82"/>
        <v>4.4000000000000004</v>
      </c>
      <c r="CE120" s="102">
        <f t="shared" si="83"/>
        <v>13.8</v>
      </c>
      <c r="CF120" s="102">
        <f t="shared" si="84"/>
        <v>107</v>
      </c>
      <c r="CG120" s="102">
        <f t="shared" si="85"/>
        <v>8.1300000000000008</v>
      </c>
      <c r="CH120" s="102">
        <f t="shared" si="86"/>
        <v>6.4</v>
      </c>
      <c r="CI120" s="102" t="str">
        <f t="shared" si="87"/>
        <v/>
      </c>
      <c r="CJ120" s="102">
        <f t="shared" si="88"/>
        <v>4.5999999999999996</v>
      </c>
      <c r="CK120" s="102">
        <f t="shared" si="89"/>
        <v>11</v>
      </c>
      <c r="CL120" s="102">
        <f t="shared" si="90"/>
        <v>59</v>
      </c>
      <c r="CM120" s="102">
        <f t="shared" si="91"/>
        <v>6500</v>
      </c>
      <c r="CN120" s="102">
        <f t="shared" si="92"/>
        <v>10</v>
      </c>
      <c r="CO120" s="102">
        <f t="shared" si="93"/>
        <v>7100</v>
      </c>
      <c r="CP120" s="102" t="str">
        <f t="shared" si="94"/>
        <v/>
      </c>
    </row>
    <row r="121" spans="2:94">
      <c r="B121" t="s">
        <v>252</v>
      </c>
      <c r="C121" s="231">
        <v>43571</v>
      </c>
      <c r="D121" s="233">
        <v>8.3000000000000007</v>
      </c>
      <c r="E121" s="233">
        <v>14</v>
      </c>
      <c r="F121" s="235">
        <v>119</v>
      </c>
      <c r="G121" s="233">
        <v>8.11</v>
      </c>
      <c r="H121" s="233">
        <v>2.4</v>
      </c>
      <c r="J121" s="233">
        <v>4.0999999999999996</v>
      </c>
      <c r="K121" s="235">
        <v>3.9</v>
      </c>
      <c r="L121" s="235">
        <v>21</v>
      </c>
      <c r="M121" s="235">
        <v>2200</v>
      </c>
      <c r="N121" s="235">
        <v>22</v>
      </c>
      <c r="O121" s="235">
        <v>3100</v>
      </c>
      <c r="Q121">
        <v>2019</v>
      </c>
      <c r="R121">
        <v>4</v>
      </c>
      <c r="T121" s="226"/>
      <c r="U121" s="226"/>
      <c r="V121" s="226"/>
      <c r="W121" s="226"/>
      <c r="X121" s="226"/>
      <c r="Y121" s="226"/>
      <c r="Z121" s="226"/>
      <c r="AA121" s="233">
        <f t="shared" si="48"/>
        <v>10.332000000000001</v>
      </c>
      <c r="AB121" s="233">
        <f t="shared" si="49"/>
        <v>12.739174193481931</v>
      </c>
      <c r="AC121" s="233">
        <f t="shared" si="50"/>
        <v>7.9248258065180703</v>
      </c>
      <c r="AD121">
        <v>2.95</v>
      </c>
      <c r="AE121" s="233">
        <f t="shared" si="51"/>
        <v>7.9374301675977676</v>
      </c>
      <c r="AF121" s="233">
        <f t="shared" si="52"/>
        <v>8.0830597168027865</v>
      </c>
      <c r="AG121" s="233">
        <f t="shared" si="53"/>
        <v>7.7918006183927488</v>
      </c>
      <c r="AH121">
        <v>6.5</v>
      </c>
      <c r="AI121" s="233">
        <f t="shared" si="54"/>
        <v>3.3601117318435763</v>
      </c>
      <c r="AJ121" s="233">
        <f t="shared" si="55"/>
        <v>6.3851512410714601</v>
      </c>
      <c r="AK121" s="233">
        <f t="shared" si="56"/>
        <v>0.33507222261569281</v>
      </c>
      <c r="AL121">
        <v>7</v>
      </c>
      <c r="AM121" s="233">
        <f t="shared" si="57"/>
        <v>48.104347826086951</v>
      </c>
      <c r="AN121" s="233">
        <f t="shared" si="58"/>
        <v>52.277593646348265</v>
      </c>
      <c r="AO121" s="233">
        <f t="shared" si="59"/>
        <v>43.931102005825636</v>
      </c>
      <c r="AP121" s="233">
        <f t="shared" si="60"/>
        <v>2.0655865921787711</v>
      </c>
      <c r="AQ121" s="233">
        <f t="shared" si="61"/>
        <v>3.1665882132978602</v>
      </c>
      <c r="AR121" s="233">
        <f t="shared" si="62"/>
        <v>0.96458497105968211</v>
      </c>
      <c r="AS121" s="235">
        <f t="shared" si="63"/>
        <v>33.105027932960894</v>
      </c>
      <c r="AT121" s="235">
        <f t="shared" si="64"/>
        <v>50.535961542150602</v>
      </c>
      <c r="AU121" s="235">
        <f t="shared" si="65"/>
        <v>15.67409432377119</v>
      </c>
      <c r="AV121">
        <v>100</v>
      </c>
      <c r="AW121" s="235">
        <f t="shared" si="66"/>
        <v>62.766666666666666</v>
      </c>
      <c r="AX121" s="235">
        <f t="shared" si="67"/>
        <v>80.98511149172171</v>
      </c>
      <c r="AY121" s="235">
        <f t="shared" si="68"/>
        <v>44.548221841611614</v>
      </c>
      <c r="AZ121" s="235">
        <f t="shared" si="69"/>
        <v>2941.6666666666665</v>
      </c>
      <c r="BA121" s="235">
        <f t="shared" si="70"/>
        <v>4966.9775952753826</v>
      </c>
      <c r="BB121" s="235">
        <f t="shared" si="71"/>
        <v>916.35573805795048</v>
      </c>
      <c r="BC121" s="235">
        <f t="shared" si="72"/>
        <v>53.18888888888889</v>
      </c>
      <c r="BD121" s="235">
        <f t="shared" si="73"/>
        <v>112.67052202318322</v>
      </c>
      <c r="BE121" s="235">
        <f t="shared" si="74"/>
        <v>-6.2927442454054372</v>
      </c>
      <c r="BF121" s="235">
        <f t="shared" si="75"/>
        <v>3577.2222222222222</v>
      </c>
      <c r="BG121" s="235">
        <f t="shared" si="76"/>
        <v>5636.1265941907786</v>
      </c>
      <c r="BH121" s="235">
        <f t="shared" si="77"/>
        <v>1518.3178502536657</v>
      </c>
      <c r="BI121">
        <v>5000</v>
      </c>
      <c r="BJ121" s="235">
        <f t="shared" si="78"/>
        <v>0</v>
      </c>
      <c r="BK121" s="235">
        <f t="shared" si="79"/>
        <v>0</v>
      </c>
      <c r="BL121" s="235">
        <f t="shared" si="80"/>
        <v>0</v>
      </c>
      <c r="BO121" s="235">
        <f t="shared" si="81"/>
        <v>43571</v>
      </c>
      <c r="CD121" s="533">
        <f t="shared" si="82"/>
        <v>8.3000000000000007</v>
      </c>
      <c r="CE121" s="102">
        <f t="shared" si="83"/>
        <v>14</v>
      </c>
      <c r="CF121" s="102">
        <f t="shared" si="84"/>
        <v>119</v>
      </c>
      <c r="CG121" s="102">
        <f t="shared" si="85"/>
        <v>8.11</v>
      </c>
      <c r="CH121" s="102">
        <f t="shared" si="86"/>
        <v>2.4</v>
      </c>
      <c r="CI121" s="102" t="str">
        <f t="shared" si="87"/>
        <v/>
      </c>
      <c r="CJ121" s="102">
        <f t="shared" si="88"/>
        <v>4.0999999999999996</v>
      </c>
      <c r="CK121" s="102">
        <f t="shared" si="89"/>
        <v>3.9</v>
      </c>
      <c r="CL121" s="102">
        <f t="shared" si="90"/>
        <v>21</v>
      </c>
      <c r="CM121" s="102">
        <f t="shared" si="91"/>
        <v>2200</v>
      </c>
      <c r="CN121" s="102">
        <f t="shared" si="92"/>
        <v>22</v>
      </c>
      <c r="CO121" s="102">
        <f t="shared" si="93"/>
        <v>3100</v>
      </c>
      <c r="CP121" s="102" t="str">
        <f t="shared" si="94"/>
        <v/>
      </c>
    </row>
    <row r="122" spans="2:94">
      <c r="B122" t="s">
        <v>252</v>
      </c>
      <c r="C122" s="231">
        <v>43600</v>
      </c>
      <c r="D122" s="233">
        <v>14.2</v>
      </c>
      <c r="E122" s="233">
        <v>9.6</v>
      </c>
      <c r="F122" s="235">
        <v>94</v>
      </c>
      <c r="G122" s="233">
        <v>7.98</v>
      </c>
      <c r="H122" s="233">
        <v>2.2999999999999998</v>
      </c>
      <c r="J122" s="233">
        <v>3.8</v>
      </c>
      <c r="K122" s="235">
        <v>19</v>
      </c>
      <c r="L122" s="235">
        <v>47</v>
      </c>
      <c r="M122" s="235">
        <v>1300</v>
      </c>
      <c r="N122" s="235">
        <v>48</v>
      </c>
      <c r="O122" s="235">
        <v>2000</v>
      </c>
      <c r="Q122">
        <v>2019</v>
      </c>
      <c r="R122">
        <v>5</v>
      </c>
      <c r="T122" s="226"/>
      <c r="U122" s="226"/>
      <c r="V122" s="226"/>
      <c r="W122" s="226"/>
      <c r="X122" s="226"/>
      <c r="Y122" s="226"/>
      <c r="Z122" s="226"/>
      <c r="AA122" s="233">
        <f t="shared" si="48"/>
        <v>10.332000000000001</v>
      </c>
      <c r="AB122" s="233">
        <f t="shared" si="49"/>
        <v>12.739174193481931</v>
      </c>
      <c r="AC122" s="233">
        <f t="shared" si="50"/>
        <v>7.9248258065180703</v>
      </c>
      <c r="AD122">
        <v>2.95</v>
      </c>
      <c r="AE122" s="233">
        <f t="shared" si="51"/>
        <v>7.9374301675977676</v>
      </c>
      <c r="AF122" s="233">
        <f t="shared" si="52"/>
        <v>8.0830597168027865</v>
      </c>
      <c r="AG122" s="233">
        <f t="shared" si="53"/>
        <v>7.7918006183927488</v>
      </c>
      <c r="AH122">
        <v>6.5</v>
      </c>
      <c r="AI122" s="233">
        <f t="shared" si="54"/>
        <v>3.3601117318435763</v>
      </c>
      <c r="AJ122" s="233">
        <f t="shared" si="55"/>
        <v>6.3851512410714601</v>
      </c>
      <c r="AK122" s="233">
        <f t="shared" si="56"/>
        <v>0.33507222261569281</v>
      </c>
      <c r="AL122">
        <v>7</v>
      </c>
      <c r="AM122" s="233">
        <f t="shared" si="57"/>
        <v>48.104347826086951</v>
      </c>
      <c r="AN122" s="233">
        <f t="shared" si="58"/>
        <v>52.277593646348265</v>
      </c>
      <c r="AO122" s="233">
        <f t="shared" si="59"/>
        <v>43.931102005825636</v>
      </c>
      <c r="AP122" s="233">
        <f t="shared" si="60"/>
        <v>2.0655865921787711</v>
      </c>
      <c r="AQ122" s="233">
        <f t="shared" si="61"/>
        <v>3.1665882132978602</v>
      </c>
      <c r="AR122" s="233">
        <f t="shared" si="62"/>
        <v>0.96458497105968211</v>
      </c>
      <c r="AS122" s="235">
        <f t="shared" si="63"/>
        <v>33.105027932960894</v>
      </c>
      <c r="AT122" s="235">
        <f t="shared" si="64"/>
        <v>50.535961542150602</v>
      </c>
      <c r="AU122" s="235">
        <f t="shared" si="65"/>
        <v>15.67409432377119</v>
      </c>
      <c r="AV122">
        <v>100</v>
      </c>
      <c r="AW122" s="235">
        <f t="shared" si="66"/>
        <v>62.766666666666666</v>
      </c>
      <c r="AX122" s="235">
        <f t="shared" si="67"/>
        <v>80.98511149172171</v>
      </c>
      <c r="AY122" s="235">
        <f t="shared" si="68"/>
        <v>44.548221841611614</v>
      </c>
      <c r="AZ122" s="235">
        <f t="shared" si="69"/>
        <v>2941.6666666666665</v>
      </c>
      <c r="BA122" s="235">
        <f t="shared" si="70"/>
        <v>4966.9775952753826</v>
      </c>
      <c r="BB122" s="235">
        <f t="shared" si="71"/>
        <v>916.35573805795048</v>
      </c>
      <c r="BC122" s="235">
        <f t="shared" si="72"/>
        <v>53.18888888888889</v>
      </c>
      <c r="BD122" s="235">
        <f t="shared" si="73"/>
        <v>112.67052202318322</v>
      </c>
      <c r="BE122" s="235">
        <f t="shared" si="74"/>
        <v>-6.2927442454054372</v>
      </c>
      <c r="BF122" s="235">
        <f t="shared" si="75"/>
        <v>3577.2222222222222</v>
      </c>
      <c r="BG122" s="235">
        <f t="shared" si="76"/>
        <v>5636.1265941907786</v>
      </c>
      <c r="BH122" s="235">
        <f t="shared" si="77"/>
        <v>1518.3178502536657</v>
      </c>
      <c r="BI122">
        <v>5000</v>
      </c>
      <c r="BJ122" s="235">
        <f t="shared" si="78"/>
        <v>0</v>
      </c>
      <c r="BK122" s="235">
        <f t="shared" si="79"/>
        <v>0</v>
      </c>
      <c r="BL122" s="235">
        <f t="shared" si="80"/>
        <v>0</v>
      </c>
      <c r="BO122" s="235">
        <f t="shared" si="81"/>
        <v>43600</v>
      </c>
      <c r="CD122" s="533">
        <f t="shared" si="82"/>
        <v>14.2</v>
      </c>
      <c r="CE122" s="102">
        <f t="shared" si="83"/>
        <v>9.6</v>
      </c>
      <c r="CF122" s="102">
        <f t="shared" si="84"/>
        <v>94</v>
      </c>
      <c r="CG122" s="102">
        <f t="shared" si="85"/>
        <v>7.98</v>
      </c>
      <c r="CH122" s="102">
        <f t="shared" si="86"/>
        <v>2.2999999999999998</v>
      </c>
      <c r="CI122" s="102" t="str">
        <f t="shared" si="87"/>
        <v/>
      </c>
      <c r="CJ122" s="102">
        <f t="shared" si="88"/>
        <v>3.8</v>
      </c>
      <c r="CK122" s="102">
        <f t="shared" si="89"/>
        <v>19</v>
      </c>
      <c r="CL122" s="102">
        <f t="shared" si="90"/>
        <v>47</v>
      </c>
      <c r="CM122" s="102">
        <f t="shared" si="91"/>
        <v>1300</v>
      </c>
      <c r="CN122" s="102">
        <f t="shared" si="92"/>
        <v>48</v>
      </c>
      <c r="CO122" s="102">
        <f t="shared" si="93"/>
        <v>2000</v>
      </c>
      <c r="CP122" s="102" t="str">
        <f t="shared" si="94"/>
        <v/>
      </c>
    </row>
    <row r="123" spans="2:94">
      <c r="B123" t="s">
        <v>252</v>
      </c>
      <c r="C123" s="231">
        <v>43635</v>
      </c>
      <c r="D123" s="233">
        <v>21.1</v>
      </c>
      <c r="E123" s="233">
        <v>7.7</v>
      </c>
      <c r="F123" s="235">
        <v>86</v>
      </c>
      <c r="G123" s="233">
        <v>7.68</v>
      </c>
      <c r="H123" s="233">
        <v>1.1000000000000001</v>
      </c>
      <c r="J123" s="233">
        <v>2</v>
      </c>
      <c r="K123" s="235">
        <v>36</v>
      </c>
      <c r="L123" s="235">
        <v>62</v>
      </c>
      <c r="M123" s="235">
        <v>1500</v>
      </c>
      <c r="N123" s="235">
        <v>77</v>
      </c>
      <c r="O123" s="235">
        <v>2100</v>
      </c>
      <c r="Q123">
        <v>2019</v>
      </c>
      <c r="R123">
        <v>6</v>
      </c>
      <c r="T123" s="226"/>
      <c r="U123" s="226"/>
      <c r="V123" s="226"/>
      <c r="W123" s="226"/>
      <c r="X123" s="226"/>
      <c r="Y123" s="226"/>
      <c r="Z123" s="226"/>
      <c r="AA123" s="233">
        <f t="shared" si="48"/>
        <v>10.332000000000001</v>
      </c>
      <c r="AB123" s="233">
        <f t="shared" si="49"/>
        <v>12.739174193481931</v>
      </c>
      <c r="AC123" s="233">
        <f t="shared" si="50"/>
        <v>7.9248258065180703</v>
      </c>
      <c r="AD123">
        <v>2.95</v>
      </c>
      <c r="AE123" s="233">
        <f t="shared" si="51"/>
        <v>7.9374301675977676</v>
      </c>
      <c r="AF123" s="233">
        <f t="shared" si="52"/>
        <v>8.0830597168027865</v>
      </c>
      <c r="AG123" s="233">
        <f t="shared" si="53"/>
        <v>7.7918006183927488</v>
      </c>
      <c r="AH123">
        <v>6.5</v>
      </c>
      <c r="AI123" s="233">
        <f t="shared" si="54"/>
        <v>3.3601117318435763</v>
      </c>
      <c r="AJ123" s="233">
        <f t="shared" si="55"/>
        <v>6.3851512410714601</v>
      </c>
      <c r="AK123" s="233">
        <f t="shared" si="56"/>
        <v>0.33507222261569281</v>
      </c>
      <c r="AL123">
        <v>7</v>
      </c>
      <c r="AM123" s="233">
        <f t="shared" si="57"/>
        <v>48.104347826086951</v>
      </c>
      <c r="AN123" s="233">
        <f t="shared" si="58"/>
        <v>52.277593646348265</v>
      </c>
      <c r="AO123" s="233">
        <f t="shared" si="59"/>
        <v>43.931102005825636</v>
      </c>
      <c r="AP123" s="233">
        <f t="shared" si="60"/>
        <v>2.0655865921787711</v>
      </c>
      <c r="AQ123" s="233">
        <f t="shared" si="61"/>
        <v>3.1665882132978602</v>
      </c>
      <c r="AR123" s="233">
        <f t="shared" si="62"/>
        <v>0.96458497105968211</v>
      </c>
      <c r="AS123" s="235">
        <f t="shared" si="63"/>
        <v>33.105027932960894</v>
      </c>
      <c r="AT123" s="235">
        <f t="shared" si="64"/>
        <v>50.535961542150602</v>
      </c>
      <c r="AU123" s="235">
        <f t="shared" si="65"/>
        <v>15.67409432377119</v>
      </c>
      <c r="AV123">
        <v>100</v>
      </c>
      <c r="AW123" s="235">
        <f t="shared" si="66"/>
        <v>62.766666666666666</v>
      </c>
      <c r="AX123" s="235">
        <f t="shared" si="67"/>
        <v>80.98511149172171</v>
      </c>
      <c r="AY123" s="235">
        <f t="shared" si="68"/>
        <v>44.548221841611614</v>
      </c>
      <c r="AZ123" s="235">
        <f t="shared" si="69"/>
        <v>2941.6666666666665</v>
      </c>
      <c r="BA123" s="235">
        <f t="shared" si="70"/>
        <v>4966.9775952753826</v>
      </c>
      <c r="BB123" s="235">
        <f t="shared" si="71"/>
        <v>916.35573805795048</v>
      </c>
      <c r="BC123" s="235">
        <f t="shared" si="72"/>
        <v>53.18888888888889</v>
      </c>
      <c r="BD123" s="235">
        <f t="shared" si="73"/>
        <v>112.67052202318322</v>
      </c>
      <c r="BE123" s="235">
        <f t="shared" si="74"/>
        <v>-6.2927442454054372</v>
      </c>
      <c r="BF123" s="235">
        <f t="shared" si="75"/>
        <v>3577.2222222222222</v>
      </c>
      <c r="BG123" s="235">
        <f t="shared" si="76"/>
        <v>5636.1265941907786</v>
      </c>
      <c r="BH123" s="235">
        <f t="shared" si="77"/>
        <v>1518.3178502536657</v>
      </c>
      <c r="BI123">
        <v>5000</v>
      </c>
      <c r="BJ123" s="235">
        <f t="shared" si="78"/>
        <v>0</v>
      </c>
      <c r="BK123" s="235">
        <f t="shared" si="79"/>
        <v>0</v>
      </c>
      <c r="BL123" s="235">
        <f t="shared" si="80"/>
        <v>0</v>
      </c>
      <c r="BO123" s="235">
        <f t="shared" si="81"/>
        <v>43635</v>
      </c>
      <c r="CD123" s="533">
        <f t="shared" si="82"/>
        <v>21.1</v>
      </c>
      <c r="CE123" s="102">
        <f t="shared" si="83"/>
        <v>7.7</v>
      </c>
      <c r="CF123" s="102">
        <f t="shared" si="84"/>
        <v>86</v>
      </c>
      <c r="CG123" s="102">
        <f t="shared" si="85"/>
        <v>7.68</v>
      </c>
      <c r="CH123" s="102">
        <f t="shared" si="86"/>
        <v>1.1000000000000001</v>
      </c>
      <c r="CI123" s="102" t="str">
        <f t="shared" si="87"/>
        <v/>
      </c>
      <c r="CJ123" s="102">
        <f t="shared" si="88"/>
        <v>2</v>
      </c>
      <c r="CK123" s="102">
        <f t="shared" si="89"/>
        <v>36</v>
      </c>
      <c r="CL123" s="102">
        <f t="shared" si="90"/>
        <v>62</v>
      </c>
      <c r="CM123" s="102">
        <f t="shared" si="91"/>
        <v>1500</v>
      </c>
      <c r="CN123" s="102">
        <f t="shared" si="92"/>
        <v>77</v>
      </c>
      <c r="CO123" s="102">
        <f t="shared" si="93"/>
        <v>2100</v>
      </c>
      <c r="CP123" s="102" t="str">
        <f t="shared" si="94"/>
        <v/>
      </c>
    </row>
    <row r="124" spans="2:94">
      <c r="B124" t="s">
        <v>252</v>
      </c>
      <c r="C124" s="231">
        <v>43662</v>
      </c>
      <c r="D124" s="233">
        <v>19.600000000000001</v>
      </c>
      <c r="E124" s="233">
        <v>7.1</v>
      </c>
      <c r="F124" s="235">
        <v>77</v>
      </c>
      <c r="G124" s="233">
        <v>7.7</v>
      </c>
      <c r="H124" s="233">
        <v>0.82</v>
      </c>
      <c r="J124" s="233">
        <v>1.2</v>
      </c>
      <c r="K124" s="235">
        <v>34</v>
      </c>
      <c r="L124" s="235">
        <v>50</v>
      </c>
      <c r="M124" s="235">
        <v>700</v>
      </c>
      <c r="N124" s="235">
        <v>35</v>
      </c>
      <c r="O124" s="235">
        <v>1000</v>
      </c>
      <c r="Q124">
        <v>2019</v>
      </c>
      <c r="R124">
        <v>7</v>
      </c>
      <c r="T124" s="226"/>
      <c r="U124" s="226"/>
      <c r="V124" s="226"/>
      <c r="W124" s="226"/>
      <c r="X124" s="226"/>
      <c r="Y124" s="226"/>
      <c r="Z124" s="226"/>
      <c r="AA124" s="233">
        <f t="shared" si="48"/>
        <v>10.332000000000001</v>
      </c>
      <c r="AB124" s="233">
        <f t="shared" si="49"/>
        <v>12.739174193481931</v>
      </c>
      <c r="AC124" s="233">
        <f t="shared" si="50"/>
        <v>7.9248258065180703</v>
      </c>
      <c r="AD124">
        <v>2.95</v>
      </c>
      <c r="AE124" s="233">
        <f t="shared" si="51"/>
        <v>7.9374301675977676</v>
      </c>
      <c r="AF124" s="233">
        <f t="shared" si="52"/>
        <v>8.0830597168027865</v>
      </c>
      <c r="AG124" s="233">
        <f t="shared" si="53"/>
        <v>7.7918006183927488</v>
      </c>
      <c r="AH124">
        <v>6.5</v>
      </c>
      <c r="AI124" s="233">
        <f t="shared" si="54"/>
        <v>3.3601117318435763</v>
      </c>
      <c r="AJ124" s="233">
        <f t="shared" si="55"/>
        <v>6.3851512410714601</v>
      </c>
      <c r="AK124" s="233">
        <f t="shared" si="56"/>
        <v>0.33507222261569281</v>
      </c>
      <c r="AL124">
        <v>7</v>
      </c>
      <c r="AM124" s="233">
        <f t="shared" si="57"/>
        <v>48.104347826086951</v>
      </c>
      <c r="AN124" s="233">
        <f t="shared" si="58"/>
        <v>52.277593646348265</v>
      </c>
      <c r="AO124" s="233">
        <f t="shared" si="59"/>
        <v>43.931102005825636</v>
      </c>
      <c r="AP124" s="233">
        <f t="shared" si="60"/>
        <v>2.0655865921787711</v>
      </c>
      <c r="AQ124" s="233">
        <f t="shared" si="61"/>
        <v>3.1665882132978602</v>
      </c>
      <c r="AR124" s="233">
        <f t="shared" si="62"/>
        <v>0.96458497105968211</v>
      </c>
      <c r="AS124" s="235">
        <f t="shared" si="63"/>
        <v>33.105027932960894</v>
      </c>
      <c r="AT124" s="235">
        <f t="shared" si="64"/>
        <v>50.535961542150602</v>
      </c>
      <c r="AU124" s="235">
        <f t="shared" si="65"/>
        <v>15.67409432377119</v>
      </c>
      <c r="AV124">
        <v>100</v>
      </c>
      <c r="AW124" s="235">
        <f t="shared" si="66"/>
        <v>62.766666666666666</v>
      </c>
      <c r="AX124" s="235">
        <f t="shared" si="67"/>
        <v>80.98511149172171</v>
      </c>
      <c r="AY124" s="235">
        <f t="shared" si="68"/>
        <v>44.548221841611614</v>
      </c>
      <c r="AZ124" s="235">
        <f t="shared" si="69"/>
        <v>2941.6666666666665</v>
      </c>
      <c r="BA124" s="235">
        <f t="shared" si="70"/>
        <v>4966.9775952753826</v>
      </c>
      <c r="BB124" s="235">
        <f t="shared" si="71"/>
        <v>916.35573805795048</v>
      </c>
      <c r="BC124" s="235">
        <f t="shared" si="72"/>
        <v>53.18888888888889</v>
      </c>
      <c r="BD124" s="235">
        <f t="shared" si="73"/>
        <v>112.67052202318322</v>
      </c>
      <c r="BE124" s="235">
        <f t="shared" si="74"/>
        <v>-6.2927442454054372</v>
      </c>
      <c r="BF124" s="235">
        <f t="shared" si="75"/>
        <v>3577.2222222222222</v>
      </c>
      <c r="BG124" s="235">
        <f t="shared" si="76"/>
        <v>5636.1265941907786</v>
      </c>
      <c r="BH124" s="235">
        <f t="shared" si="77"/>
        <v>1518.3178502536657</v>
      </c>
      <c r="BI124">
        <v>5000</v>
      </c>
      <c r="BJ124" s="235">
        <f t="shared" si="78"/>
        <v>0</v>
      </c>
      <c r="BK124" s="235">
        <f t="shared" si="79"/>
        <v>0</v>
      </c>
      <c r="BL124" s="235">
        <f t="shared" si="80"/>
        <v>0</v>
      </c>
      <c r="BO124" s="235">
        <f t="shared" si="81"/>
        <v>43662</v>
      </c>
      <c r="CD124" s="533">
        <f t="shared" si="82"/>
        <v>19.600000000000001</v>
      </c>
      <c r="CE124" s="102">
        <f t="shared" si="83"/>
        <v>7.1</v>
      </c>
      <c r="CF124" s="102">
        <f t="shared" si="84"/>
        <v>77</v>
      </c>
      <c r="CG124" s="102">
        <f t="shared" si="85"/>
        <v>7.7</v>
      </c>
      <c r="CH124" s="102">
        <f t="shared" si="86"/>
        <v>0.82</v>
      </c>
      <c r="CI124" s="102" t="str">
        <f t="shared" si="87"/>
        <v/>
      </c>
      <c r="CJ124" s="102">
        <f t="shared" si="88"/>
        <v>1.2</v>
      </c>
      <c r="CK124" s="102">
        <f t="shared" si="89"/>
        <v>34</v>
      </c>
      <c r="CL124" s="102">
        <f t="shared" si="90"/>
        <v>50</v>
      </c>
      <c r="CM124" s="102">
        <f t="shared" si="91"/>
        <v>700</v>
      </c>
      <c r="CN124" s="102">
        <f t="shared" si="92"/>
        <v>35</v>
      </c>
      <c r="CO124" s="102">
        <f t="shared" si="93"/>
        <v>1000</v>
      </c>
      <c r="CP124" s="102" t="str">
        <f t="shared" si="94"/>
        <v/>
      </c>
    </row>
    <row r="125" spans="2:94">
      <c r="B125" t="s">
        <v>252</v>
      </c>
      <c r="C125" s="231">
        <v>43698</v>
      </c>
      <c r="D125" s="233">
        <v>18.399999999999999</v>
      </c>
      <c r="E125" s="233">
        <v>7.4</v>
      </c>
      <c r="F125" s="235">
        <v>79</v>
      </c>
      <c r="G125" s="233">
        <v>7.71</v>
      </c>
      <c r="H125" s="233">
        <v>1.2</v>
      </c>
      <c r="J125" s="233">
        <v>3.7</v>
      </c>
      <c r="K125" s="235">
        <v>47</v>
      </c>
      <c r="L125" s="235">
        <v>71</v>
      </c>
      <c r="M125" s="235">
        <v>740</v>
      </c>
      <c r="N125" s="235">
        <v>23</v>
      </c>
      <c r="O125" s="235">
        <v>1100</v>
      </c>
      <c r="Q125">
        <v>2019</v>
      </c>
      <c r="R125">
        <v>8</v>
      </c>
      <c r="T125" s="226"/>
      <c r="U125" s="226"/>
      <c r="V125" s="226"/>
      <c r="W125" s="226"/>
      <c r="X125" s="226"/>
      <c r="Y125" s="226"/>
      <c r="Z125" s="226"/>
      <c r="AA125" s="233">
        <f t="shared" si="48"/>
        <v>10.332000000000001</v>
      </c>
      <c r="AB125" s="233">
        <f t="shared" si="49"/>
        <v>12.739174193481931</v>
      </c>
      <c r="AC125" s="233">
        <f t="shared" si="50"/>
        <v>7.9248258065180703</v>
      </c>
      <c r="AD125">
        <v>2.95</v>
      </c>
      <c r="AE125" s="233">
        <f t="shared" si="51"/>
        <v>7.9374301675977676</v>
      </c>
      <c r="AF125" s="233">
        <f t="shared" si="52"/>
        <v>8.0830597168027865</v>
      </c>
      <c r="AG125" s="233">
        <f t="shared" si="53"/>
        <v>7.7918006183927488</v>
      </c>
      <c r="AH125">
        <v>6.5</v>
      </c>
      <c r="AI125" s="233">
        <f t="shared" si="54"/>
        <v>3.3601117318435763</v>
      </c>
      <c r="AJ125" s="233">
        <f t="shared" si="55"/>
        <v>6.3851512410714601</v>
      </c>
      <c r="AK125" s="233">
        <f t="shared" si="56"/>
        <v>0.33507222261569281</v>
      </c>
      <c r="AL125">
        <v>7</v>
      </c>
      <c r="AM125" s="233">
        <f t="shared" si="57"/>
        <v>48.104347826086951</v>
      </c>
      <c r="AN125" s="233">
        <f t="shared" si="58"/>
        <v>52.277593646348265</v>
      </c>
      <c r="AO125" s="233">
        <f t="shared" si="59"/>
        <v>43.931102005825636</v>
      </c>
      <c r="AP125" s="233">
        <f t="shared" si="60"/>
        <v>2.0655865921787711</v>
      </c>
      <c r="AQ125" s="233">
        <f t="shared" si="61"/>
        <v>3.1665882132978602</v>
      </c>
      <c r="AR125" s="233">
        <f t="shared" si="62"/>
        <v>0.96458497105968211</v>
      </c>
      <c r="AS125" s="235">
        <f t="shared" si="63"/>
        <v>33.105027932960894</v>
      </c>
      <c r="AT125" s="235">
        <f t="shared" si="64"/>
        <v>50.535961542150602</v>
      </c>
      <c r="AU125" s="235">
        <f t="shared" si="65"/>
        <v>15.67409432377119</v>
      </c>
      <c r="AV125">
        <v>100</v>
      </c>
      <c r="AW125" s="235">
        <f t="shared" si="66"/>
        <v>62.766666666666666</v>
      </c>
      <c r="AX125" s="235">
        <f t="shared" si="67"/>
        <v>80.98511149172171</v>
      </c>
      <c r="AY125" s="235">
        <f t="shared" si="68"/>
        <v>44.548221841611614</v>
      </c>
      <c r="AZ125" s="235">
        <f t="shared" si="69"/>
        <v>2941.6666666666665</v>
      </c>
      <c r="BA125" s="235">
        <f t="shared" si="70"/>
        <v>4966.9775952753826</v>
      </c>
      <c r="BB125" s="235">
        <f t="shared" si="71"/>
        <v>916.35573805795048</v>
      </c>
      <c r="BC125" s="235">
        <f t="shared" si="72"/>
        <v>53.18888888888889</v>
      </c>
      <c r="BD125" s="235">
        <f t="shared" si="73"/>
        <v>112.67052202318322</v>
      </c>
      <c r="BE125" s="235">
        <f t="shared" si="74"/>
        <v>-6.2927442454054372</v>
      </c>
      <c r="BF125" s="235">
        <f t="shared" si="75"/>
        <v>3577.2222222222222</v>
      </c>
      <c r="BG125" s="235">
        <f t="shared" si="76"/>
        <v>5636.1265941907786</v>
      </c>
      <c r="BH125" s="235">
        <f t="shared" si="77"/>
        <v>1518.3178502536657</v>
      </c>
      <c r="BI125">
        <v>5000</v>
      </c>
      <c r="BJ125" s="235">
        <f t="shared" si="78"/>
        <v>0</v>
      </c>
      <c r="BK125" s="235">
        <f t="shared" si="79"/>
        <v>0</v>
      </c>
      <c r="BL125" s="235">
        <f t="shared" si="80"/>
        <v>0</v>
      </c>
      <c r="BO125" s="235">
        <f t="shared" si="81"/>
        <v>43698</v>
      </c>
      <c r="CD125" s="533">
        <f t="shared" si="82"/>
        <v>18.399999999999999</v>
      </c>
      <c r="CE125" s="102">
        <f t="shared" si="83"/>
        <v>7.4</v>
      </c>
      <c r="CF125" s="102">
        <f t="shared" si="84"/>
        <v>79</v>
      </c>
      <c r="CG125" s="102">
        <f t="shared" si="85"/>
        <v>7.71</v>
      </c>
      <c r="CH125" s="102">
        <f t="shared" si="86"/>
        <v>1.2</v>
      </c>
      <c r="CI125" s="102" t="str">
        <f t="shared" si="87"/>
        <v/>
      </c>
      <c r="CJ125" s="102">
        <f t="shared" si="88"/>
        <v>3.7</v>
      </c>
      <c r="CK125" s="102">
        <f t="shared" si="89"/>
        <v>47</v>
      </c>
      <c r="CL125" s="102">
        <f t="shared" si="90"/>
        <v>71</v>
      </c>
      <c r="CM125" s="102">
        <f t="shared" si="91"/>
        <v>740</v>
      </c>
      <c r="CN125" s="102">
        <f t="shared" si="92"/>
        <v>23</v>
      </c>
      <c r="CO125" s="102">
        <f t="shared" si="93"/>
        <v>1100</v>
      </c>
      <c r="CP125" s="102" t="str">
        <f t="shared" si="94"/>
        <v/>
      </c>
    </row>
    <row r="126" spans="2:94">
      <c r="B126" t="s">
        <v>252</v>
      </c>
      <c r="C126" s="231">
        <v>43725</v>
      </c>
      <c r="D126" s="233">
        <v>14</v>
      </c>
      <c r="E126" s="233">
        <v>8.4</v>
      </c>
      <c r="F126" s="235">
        <v>82</v>
      </c>
      <c r="G126" s="233">
        <v>7.84</v>
      </c>
      <c r="H126" s="233">
        <v>0.96</v>
      </c>
      <c r="J126" s="233">
        <v>3.27</v>
      </c>
      <c r="K126" s="235">
        <v>45</v>
      </c>
      <c r="L126" s="235">
        <v>63</v>
      </c>
      <c r="M126" s="235">
        <v>1300</v>
      </c>
      <c r="N126" s="235">
        <v>21</v>
      </c>
      <c r="O126" s="235">
        <v>1700</v>
      </c>
      <c r="Q126">
        <v>2019</v>
      </c>
      <c r="R126">
        <v>9</v>
      </c>
      <c r="T126" s="226"/>
      <c r="U126" s="226"/>
      <c r="V126" s="226"/>
      <c r="W126" s="226"/>
      <c r="X126" s="226"/>
      <c r="Y126" s="226"/>
      <c r="Z126" s="226"/>
      <c r="AA126" s="233">
        <f t="shared" si="48"/>
        <v>10.332000000000001</v>
      </c>
      <c r="AB126" s="233">
        <f t="shared" si="49"/>
        <v>12.739174193481931</v>
      </c>
      <c r="AC126" s="233">
        <f t="shared" si="50"/>
        <v>7.9248258065180703</v>
      </c>
      <c r="AD126">
        <v>2.95</v>
      </c>
      <c r="AE126" s="233">
        <f t="shared" si="51"/>
        <v>7.9374301675977676</v>
      </c>
      <c r="AF126" s="233">
        <f t="shared" si="52"/>
        <v>8.0830597168027865</v>
      </c>
      <c r="AG126" s="233">
        <f t="shared" si="53"/>
        <v>7.7918006183927488</v>
      </c>
      <c r="AH126">
        <v>6.5</v>
      </c>
      <c r="AI126" s="233">
        <f t="shared" si="54"/>
        <v>3.3601117318435763</v>
      </c>
      <c r="AJ126" s="233">
        <f t="shared" si="55"/>
        <v>6.3851512410714601</v>
      </c>
      <c r="AK126" s="233">
        <f t="shared" si="56"/>
        <v>0.33507222261569281</v>
      </c>
      <c r="AL126">
        <v>7</v>
      </c>
      <c r="AM126" s="233">
        <f t="shared" si="57"/>
        <v>48.104347826086951</v>
      </c>
      <c r="AN126" s="233">
        <f t="shared" si="58"/>
        <v>52.277593646348265</v>
      </c>
      <c r="AO126" s="233">
        <f t="shared" si="59"/>
        <v>43.931102005825636</v>
      </c>
      <c r="AP126" s="233">
        <f t="shared" si="60"/>
        <v>2.0655865921787711</v>
      </c>
      <c r="AQ126" s="233">
        <f t="shared" si="61"/>
        <v>3.1665882132978602</v>
      </c>
      <c r="AR126" s="233">
        <f t="shared" si="62"/>
        <v>0.96458497105968211</v>
      </c>
      <c r="AS126" s="235">
        <f t="shared" si="63"/>
        <v>33.105027932960894</v>
      </c>
      <c r="AT126" s="235">
        <f t="shared" si="64"/>
        <v>50.535961542150602</v>
      </c>
      <c r="AU126" s="235">
        <f t="shared" si="65"/>
        <v>15.67409432377119</v>
      </c>
      <c r="AV126">
        <v>100</v>
      </c>
      <c r="AW126" s="235">
        <f t="shared" si="66"/>
        <v>62.766666666666666</v>
      </c>
      <c r="AX126" s="235">
        <f t="shared" si="67"/>
        <v>80.98511149172171</v>
      </c>
      <c r="AY126" s="235">
        <f t="shared" si="68"/>
        <v>44.548221841611614</v>
      </c>
      <c r="AZ126" s="235">
        <f t="shared" si="69"/>
        <v>2941.6666666666665</v>
      </c>
      <c r="BA126" s="235">
        <f t="shared" si="70"/>
        <v>4966.9775952753826</v>
      </c>
      <c r="BB126" s="235">
        <f t="shared" si="71"/>
        <v>916.35573805795048</v>
      </c>
      <c r="BC126" s="235">
        <f t="shared" si="72"/>
        <v>53.18888888888889</v>
      </c>
      <c r="BD126" s="235">
        <f t="shared" si="73"/>
        <v>112.67052202318322</v>
      </c>
      <c r="BE126" s="235">
        <f t="shared" si="74"/>
        <v>-6.2927442454054372</v>
      </c>
      <c r="BF126" s="235">
        <f t="shared" si="75"/>
        <v>3577.2222222222222</v>
      </c>
      <c r="BG126" s="235">
        <f t="shared" si="76"/>
        <v>5636.1265941907786</v>
      </c>
      <c r="BH126" s="235">
        <f t="shared" si="77"/>
        <v>1518.3178502536657</v>
      </c>
      <c r="BI126">
        <v>5000</v>
      </c>
      <c r="BJ126" s="235">
        <f t="shared" si="78"/>
        <v>0</v>
      </c>
      <c r="BK126" s="235">
        <f t="shared" si="79"/>
        <v>0</v>
      </c>
      <c r="BL126" s="235">
        <f t="shared" si="80"/>
        <v>0</v>
      </c>
      <c r="BO126" s="235">
        <f t="shared" si="81"/>
        <v>43725</v>
      </c>
      <c r="CD126" s="533">
        <f t="shared" si="82"/>
        <v>14</v>
      </c>
      <c r="CE126" s="102">
        <f t="shared" si="83"/>
        <v>8.4</v>
      </c>
      <c r="CF126" s="102">
        <f t="shared" si="84"/>
        <v>82</v>
      </c>
      <c r="CG126" s="102">
        <f t="shared" si="85"/>
        <v>7.84</v>
      </c>
      <c r="CH126" s="102">
        <f t="shared" si="86"/>
        <v>0.96</v>
      </c>
      <c r="CI126" s="102" t="str">
        <f t="shared" si="87"/>
        <v/>
      </c>
      <c r="CJ126" s="102">
        <f t="shared" si="88"/>
        <v>3.27</v>
      </c>
      <c r="CK126" s="102">
        <f t="shared" si="89"/>
        <v>45</v>
      </c>
      <c r="CL126" s="102">
        <f t="shared" si="90"/>
        <v>63</v>
      </c>
      <c r="CM126" s="102">
        <f t="shared" si="91"/>
        <v>1300</v>
      </c>
      <c r="CN126" s="102">
        <f t="shared" si="92"/>
        <v>21</v>
      </c>
      <c r="CO126" s="102">
        <f t="shared" si="93"/>
        <v>1700</v>
      </c>
      <c r="CP126" s="102" t="str">
        <f t="shared" si="94"/>
        <v/>
      </c>
    </row>
    <row r="127" spans="2:94">
      <c r="B127" t="s">
        <v>252</v>
      </c>
      <c r="C127" s="231">
        <v>43748</v>
      </c>
      <c r="D127" s="233">
        <v>9.6999999999999993</v>
      </c>
      <c r="E127" s="233">
        <v>9.6999999999999993</v>
      </c>
      <c r="F127" s="235">
        <v>86</v>
      </c>
      <c r="G127" s="233">
        <v>7.84</v>
      </c>
      <c r="H127" s="233">
        <v>1.3</v>
      </c>
      <c r="J127" s="233">
        <v>2.2999999999999998</v>
      </c>
      <c r="K127" s="235">
        <v>27</v>
      </c>
      <c r="L127" s="235">
        <v>37</v>
      </c>
      <c r="M127" s="235">
        <v>2000</v>
      </c>
      <c r="N127" s="235">
        <v>21</v>
      </c>
      <c r="O127" s="235">
        <v>2500</v>
      </c>
      <c r="Q127">
        <v>2019</v>
      </c>
      <c r="R127">
        <v>10</v>
      </c>
      <c r="T127" s="226"/>
      <c r="U127" s="226"/>
      <c r="V127" s="226"/>
      <c r="W127" s="226"/>
      <c r="X127" s="226"/>
      <c r="Y127" s="226"/>
      <c r="Z127" s="226"/>
      <c r="AA127" s="233">
        <f t="shared" si="48"/>
        <v>10.332000000000001</v>
      </c>
      <c r="AB127" s="233">
        <f t="shared" si="49"/>
        <v>12.739174193481931</v>
      </c>
      <c r="AC127" s="233">
        <f t="shared" si="50"/>
        <v>7.9248258065180703</v>
      </c>
      <c r="AD127">
        <v>2.95</v>
      </c>
      <c r="AE127" s="233">
        <f t="shared" si="51"/>
        <v>7.9374301675977676</v>
      </c>
      <c r="AF127" s="233">
        <f t="shared" si="52"/>
        <v>8.0830597168027865</v>
      </c>
      <c r="AG127" s="233">
        <f t="shared" si="53"/>
        <v>7.7918006183927488</v>
      </c>
      <c r="AH127">
        <v>6.5</v>
      </c>
      <c r="AI127" s="233">
        <f t="shared" si="54"/>
        <v>3.3601117318435763</v>
      </c>
      <c r="AJ127" s="233">
        <f t="shared" si="55"/>
        <v>6.3851512410714601</v>
      </c>
      <c r="AK127" s="233">
        <f t="shared" si="56"/>
        <v>0.33507222261569281</v>
      </c>
      <c r="AL127">
        <v>7</v>
      </c>
      <c r="AM127" s="233">
        <f t="shared" si="57"/>
        <v>48.104347826086951</v>
      </c>
      <c r="AN127" s="233">
        <f t="shared" si="58"/>
        <v>52.277593646348265</v>
      </c>
      <c r="AO127" s="233">
        <f t="shared" si="59"/>
        <v>43.931102005825636</v>
      </c>
      <c r="AP127" s="233">
        <f t="shared" si="60"/>
        <v>2.0655865921787711</v>
      </c>
      <c r="AQ127" s="233">
        <f t="shared" si="61"/>
        <v>3.1665882132978602</v>
      </c>
      <c r="AR127" s="233">
        <f t="shared" si="62"/>
        <v>0.96458497105968211</v>
      </c>
      <c r="AS127" s="235">
        <f t="shared" si="63"/>
        <v>33.105027932960894</v>
      </c>
      <c r="AT127" s="235">
        <f t="shared" si="64"/>
        <v>50.535961542150602</v>
      </c>
      <c r="AU127" s="235">
        <f t="shared" si="65"/>
        <v>15.67409432377119</v>
      </c>
      <c r="AV127">
        <v>100</v>
      </c>
      <c r="AW127" s="235">
        <f t="shared" si="66"/>
        <v>62.766666666666666</v>
      </c>
      <c r="AX127" s="235">
        <f t="shared" si="67"/>
        <v>80.98511149172171</v>
      </c>
      <c r="AY127" s="235">
        <f t="shared" si="68"/>
        <v>44.548221841611614</v>
      </c>
      <c r="AZ127" s="235">
        <f t="shared" si="69"/>
        <v>2941.6666666666665</v>
      </c>
      <c r="BA127" s="235">
        <f t="shared" si="70"/>
        <v>4966.9775952753826</v>
      </c>
      <c r="BB127" s="235">
        <f t="shared" si="71"/>
        <v>916.35573805795048</v>
      </c>
      <c r="BC127" s="235">
        <f t="shared" si="72"/>
        <v>53.18888888888889</v>
      </c>
      <c r="BD127" s="235">
        <f t="shared" si="73"/>
        <v>112.67052202318322</v>
      </c>
      <c r="BE127" s="235">
        <f t="shared" si="74"/>
        <v>-6.2927442454054372</v>
      </c>
      <c r="BF127" s="235">
        <f t="shared" si="75"/>
        <v>3577.2222222222222</v>
      </c>
      <c r="BG127" s="235">
        <f t="shared" si="76"/>
        <v>5636.1265941907786</v>
      </c>
      <c r="BH127" s="235">
        <f t="shared" si="77"/>
        <v>1518.3178502536657</v>
      </c>
      <c r="BI127">
        <v>5000</v>
      </c>
      <c r="BJ127" s="235">
        <f t="shared" si="78"/>
        <v>0</v>
      </c>
      <c r="BK127" s="235">
        <f t="shared" si="79"/>
        <v>0</v>
      </c>
      <c r="BL127" s="235">
        <f t="shared" si="80"/>
        <v>0</v>
      </c>
      <c r="BO127" s="235">
        <f t="shared" si="81"/>
        <v>43748</v>
      </c>
      <c r="CD127" s="533">
        <f t="shared" si="82"/>
        <v>9.6999999999999993</v>
      </c>
      <c r="CE127" s="102">
        <f t="shared" si="83"/>
        <v>9.6999999999999993</v>
      </c>
      <c r="CF127" s="102">
        <f t="shared" si="84"/>
        <v>86</v>
      </c>
      <c r="CG127" s="102">
        <f t="shared" si="85"/>
        <v>7.84</v>
      </c>
      <c r="CH127" s="102">
        <f t="shared" si="86"/>
        <v>1.3</v>
      </c>
      <c r="CI127" s="102" t="str">
        <f t="shared" si="87"/>
        <v/>
      </c>
      <c r="CJ127" s="102">
        <f t="shared" si="88"/>
        <v>2.2999999999999998</v>
      </c>
      <c r="CK127" s="102">
        <f t="shared" si="89"/>
        <v>27</v>
      </c>
      <c r="CL127" s="102">
        <f t="shared" si="90"/>
        <v>37</v>
      </c>
      <c r="CM127" s="102">
        <f t="shared" si="91"/>
        <v>2000</v>
      </c>
      <c r="CN127" s="102">
        <f t="shared" si="92"/>
        <v>21</v>
      </c>
      <c r="CO127" s="102">
        <f t="shared" si="93"/>
        <v>2500</v>
      </c>
      <c r="CP127" s="102" t="str">
        <f t="shared" si="94"/>
        <v/>
      </c>
    </row>
    <row r="128" spans="2:94">
      <c r="B128" t="s">
        <v>252</v>
      </c>
      <c r="C128" s="231">
        <v>43782</v>
      </c>
      <c r="D128" s="233">
        <v>6.3</v>
      </c>
      <c r="E128" s="233">
        <v>10.8</v>
      </c>
      <c r="F128" s="235">
        <v>88</v>
      </c>
      <c r="G128" s="233">
        <v>7.92</v>
      </c>
      <c r="H128" s="233">
        <v>1.75</v>
      </c>
      <c r="J128" s="233">
        <v>1.6</v>
      </c>
      <c r="K128" s="235">
        <v>30</v>
      </c>
      <c r="L128" s="235">
        <v>54</v>
      </c>
      <c r="M128" s="235">
        <v>7800</v>
      </c>
      <c r="N128" s="235">
        <v>29</v>
      </c>
      <c r="O128" s="235">
        <v>7500</v>
      </c>
      <c r="Q128">
        <v>2019</v>
      </c>
      <c r="R128">
        <v>11</v>
      </c>
      <c r="T128" s="226"/>
      <c r="U128" s="226"/>
      <c r="V128" s="226"/>
      <c r="W128" s="226"/>
      <c r="X128" s="226"/>
      <c r="Y128" s="226"/>
      <c r="Z128" s="226"/>
      <c r="AA128" s="233">
        <f t="shared" si="48"/>
        <v>10.332000000000001</v>
      </c>
      <c r="AB128" s="233">
        <f t="shared" si="49"/>
        <v>12.739174193481931</v>
      </c>
      <c r="AC128" s="233">
        <f t="shared" si="50"/>
        <v>7.9248258065180703</v>
      </c>
      <c r="AD128">
        <v>2.95</v>
      </c>
      <c r="AE128" s="233">
        <f t="shared" si="51"/>
        <v>7.9374301675977676</v>
      </c>
      <c r="AF128" s="233">
        <f t="shared" si="52"/>
        <v>8.0830597168027865</v>
      </c>
      <c r="AG128" s="233">
        <f t="shared" si="53"/>
        <v>7.7918006183927488</v>
      </c>
      <c r="AH128">
        <v>6.5</v>
      </c>
      <c r="AI128" s="233">
        <f t="shared" si="54"/>
        <v>3.3601117318435763</v>
      </c>
      <c r="AJ128" s="233">
        <f t="shared" si="55"/>
        <v>6.3851512410714601</v>
      </c>
      <c r="AK128" s="233">
        <f t="shared" si="56"/>
        <v>0.33507222261569281</v>
      </c>
      <c r="AL128">
        <v>7</v>
      </c>
      <c r="AM128" s="233">
        <f t="shared" si="57"/>
        <v>48.104347826086951</v>
      </c>
      <c r="AN128" s="233">
        <f t="shared" si="58"/>
        <v>52.277593646348265</v>
      </c>
      <c r="AO128" s="233">
        <f t="shared" si="59"/>
        <v>43.931102005825636</v>
      </c>
      <c r="AP128" s="233">
        <f t="shared" si="60"/>
        <v>2.0655865921787711</v>
      </c>
      <c r="AQ128" s="233">
        <f t="shared" si="61"/>
        <v>3.1665882132978602</v>
      </c>
      <c r="AR128" s="233">
        <f t="shared" si="62"/>
        <v>0.96458497105968211</v>
      </c>
      <c r="AS128" s="235">
        <f t="shared" si="63"/>
        <v>33.105027932960894</v>
      </c>
      <c r="AT128" s="235">
        <f t="shared" si="64"/>
        <v>50.535961542150602</v>
      </c>
      <c r="AU128" s="235">
        <f t="shared" si="65"/>
        <v>15.67409432377119</v>
      </c>
      <c r="AV128">
        <v>100</v>
      </c>
      <c r="AW128" s="235">
        <f t="shared" si="66"/>
        <v>62.766666666666666</v>
      </c>
      <c r="AX128" s="235">
        <f t="shared" si="67"/>
        <v>80.98511149172171</v>
      </c>
      <c r="AY128" s="235">
        <f t="shared" si="68"/>
        <v>44.548221841611614</v>
      </c>
      <c r="AZ128" s="235">
        <f t="shared" si="69"/>
        <v>2941.6666666666665</v>
      </c>
      <c r="BA128" s="235">
        <f t="shared" si="70"/>
        <v>4966.9775952753826</v>
      </c>
      <c r="BB128" s="235">
        <f t="shared" si="71"/>
        <v>916.35573805795048</v>
      </c>
      <c r="BC128" s="235">
        <f t="shared" si="72"/>
        <v>53.18888888888889</v>
      </c>
      <c r="BD128" s="235">
        <f t="shared" si="73"/>
        <v>112.67052202318322</v>
      </c>
      <c r="BE128" s="235">
        <f t="shared" si="74"/>
        <v>-6.2927442454054372</v>
      </c>
      <c r="BF128" s="235">
        <f t="shared" si="75"/>
        <v>3577.2222222222222</v>
      </c>
      <c r="BG128" s="235">
        <f t="shared" si="76"/>
        <v>5636.1265941907786</v>
      </c>
      <c r="BH128" s="235">
        <f t="shared" si="77"/>
        <v>1518.3178502536657</v>
      </c>
      <c r="BI128">
        <v>5000</v>
      </c>
      <c r="BJ128" s="235">
        <f t="shared" si="78"/>
        <v>0</v>
      </c>
      <c r="BK128" s="235">
        <f t="shared" si="79"/>
        <v>0</v>
      </c>
      <c r="BL128" s="235">
        <f t="shared" si="80"/>
        <v>0</v>
      </c>
      <c r="BO128" s="235">
        <f t="shared" si="81"/>
        <v>43782</v>
      </c>
      <c r="CD128" s="533">
        <f t="shared" si="82"/>
        <v>6.3</v>
      </c>
      <c r="CE128" s="102">
        <f t="shared" si="83"/>
        <v>10.8</v>
      </c>
      <c r="CF128" s="102">
        <f t="shared" si="84"/>
        <v>88</v>
      </c>
      <c r="CG128" s="102">
        <f t="shared" si="85"/>
        <v>7.92</v>
      </c>
      <c r="CH128" s="102">
        <f t="shared" si="86"/>
        <v>1.75</v>
      </c>
      <c r="CI128" s="102" t="str">
        <f t="shared" si="87"/>
        <v/>
      </c>
      <c r="CJ128" s="102">
        <f t="shared" si="88"/>
        <v>1.6</v>
      </c>
      <c r="CK128" s="102">
        <f t="shared" si="89"/>
        <v>30</v>
      </c>
      <c r="CL128" s="102">
        <f t="shared" si="90"/>
        <v>54</v>
      </c>
      <c r="CM128" s="102">
        <f t="shared" si="91"/>
        <v>7800</v>
      </c>
      <c r="CN128" s="102">
        <f t="shared" si="92"/>
        <v>29</v>
      </c>
      <c r="CO128" s="102">
        <f t="shared" si="93"/>
        <v>7500</v>
      </c>
      <c r="CP128" s="102" t="str">
        <f t="shared" si="94"/>
        <v/>
      </c>
    </row>
    <row r="129" spans="2:94">
      <c r="B129" t="s">
        <v>252</v>
      </c>
      <c r="C129" s="231">
        <v>43812</v>
      </c>
      <c r="D129" s="233">
        <v>5.0999999999999996</v>
      </c>
      <c r="E129" s="233">
        <v>12.1</v>
      </c>
      <c r="F129" s="235">
        <v>95</v>
      </c>
      <c r="G129" s="233">
        <v>7.88</v>
      </c>
      <c r="H129" s="233">
        <v>17.399999999999999</v>
      </c>
      <c r="J129" s="233">
        <v>2.2999999999999998</v>
      </c>
      <c r="K129" s="235">
        <v>50</v>
      </c>
      <c r="L129" s="235">
        <v>110</v>
      </c>
      <c r="M129" s="235">
        <v>12000</v>
      </c>
      <c r="N129" s="235">
        <v>41</v>
      </c>
      <c r="O129" s="235">
        <v>12000</v>
      </c>
      <c r="Q129">
        <v>2019</v>
      </c>
      <c r="R129">
        <v>12</v>
      </c>
      <c r="T129" s="226"/>
      <c r="U129" s="226"/>
      <c r="V129" s="226"/>
      <c r="W129" s="226"/>
      <c r="X129" s="226"/>
      <c r="Y129" s="226"/>
      <c r="Z129" s="226"/>
      <c r="AA129" s="233">
        <f t="shared" si="48"/>
        <v>10.332000000000001</v>
      </c>
      <c r="AB129" s="233">
        <f t="shared" si="49"/>
        <v>12.739174193481931</v>
      </c>
      <c r="AC129" s="233">
        <f t="shared" si="50"/>
        <v>7.9248258065180703</v>
      </c>
      <c r="AD129">
        <v>2.95</v>
      </c>
      <c r="AE129" s="233">
        <f t="shared" si="51"/>
        <v>7.9374301675977676</v>
      </c>
      <c r="AF129" s="233">
        <f t="shared" si="52"/>
        <v>8.0830597168027865</v>
      </c>
      <c r="AG129" s="233">
        <f t="shared" si="53"/>
        <v>7.7918006183927488</v>
      </c>
      <c r="AH129">
        <v>6.5</v>
      </c>
      <c r="AI129" s="233">
        <f t="shared" si="54"/>
        <v>3.3601117318435763</v>
      </c>
      <c r="AJ129" s="233">
        <f t="shared" si="55"/>
        <v>6.3851512410714601</v>
      </c>
      <c r="AK129" s="233">
        <f t="shared" si="56"/>
        <v>0.33507222261569281</v>
      </c>
      <c r="AL129">
        <v>7</v>
      </c>
      <c r="AM129" s="233">
        <f t="shared" si="57"/>
        <v>48.104347826086951</v>
      </c>
      <c r="AN129" s="233">
        <f t="shared" si="58"/>
        <v>52.277593646348265</v>
      </c>
      <c r="AO129" s="233">
        <f t="shared" si="59"/>
        <v>43.931102005825636</v>
      </c>
      <c r="AP129" s="233">
        <f t="shared" si="60"/>
        <v>2.0655865921787711</v>
      </c>
      <c r="AQ129" s="233">
        <f t="shared" si="61"/>
        <v>3.1665882132978602</v>
      </c>
      <c r="AR129" s="233">
        <f t="shared" si="62"/>
        <v>0.96458497105968211</v>
      </c>
      <c r="AS129" s="235">
        <f t="shared" si="63"/>
        <v>33.105027932960894</v>
      </c>
      <c r="AT129" s="235">
        <f t="shared" si="64"/>
        <v>50.535961542150602</v>
      </c>
      <c r="AU129" s="235">
        <f t="shared" si="65"/>
        <v>15.67409432377119</v>
      </c>
      <c r="AV129">
        <v>100</v>
      </c>
      <c r="AW129" s="235">
        <f t="shared" si="66"/>
        <v>62.766666666666666</v>
      </c>
      <c r="AX129" s="235">
        <f t="shared" si="67"/>
        <v>80.98511149172171</v>
      </c>
      <c r="AY129" s="235">
        <f t="shared" si="68"/>
        <v>44.548221841611614</v>
      </c>
      <c r="AZ129" s="235">
        <f t="shared" si="69"/>
        <v>2941.6666666666665</v>
      </c>
      <c r="BA129" s="235">
        <f t="shared" si="70"/>
        <v>4966.9775952753826</v>
      </c>
      <c r="BB129" s="235">
        <f t="shared" si="71"/>
        <v>916.35573805795048</v>
      </c>
      <c r="BC129" s="235">
        <f t="shared" si="72"/>
        <v>53.18888888888889</v>
      </c>
      <c r="BD129" s="235">
        <f t="shared" si="73"/>
        <v>112.67052202318322</v>
      </c>
      <c r="BE129" s="235">
        <f t="shared" si="74"/>
        <v>-6.2927442454054372</v>
      </c>
      <c r="BF129" s="235">
        <f t="shared" si="75"/>
        <v>3577.2222222222222</v>
      </c>
      <c r="BG129" s="235">
        <f t="shared" si="76"/>
        <v>5636.1265941907786</v>
      </c>
      <c r="BH129" s="235">
        <f t="shared" si="77"/>
        <v>1518.3178502536657</v>
      </c>
      <c r="BI129">
        <v>5000</v>
      </c>
      <c r="BJ129" s="235">
        <f t="shared" si="78"/>
        <v>0</v>
      </c>
      <c r="BK129" s="235">
        <f t="shared" si="79"/>
        <v>0</v>
      </c>
      <c r="BL129" s="235">
        <f t="shared" si="80"/>
        <v>0</v>
      </c>
      <c r="BO129" s="235">
        <f t="shared" si="81"/>
        <v>43812</v>
      </c>
      <c r="CD129" s="533">
        <f t="shared" si="82"/>
        <v>5.0999999999999996</v>
      </c>
      <c r="CE129" s="102">
        <f t="shared" si="83"/>
        <v>12.1</v>
      </c>
      <c r="CF129" s="102">
        <f t="shared" si="84"/>
        <v>95</v>
      </c>
      <c r="CG129" s="102">
        <f t="shared" si="85"/>
        <v>7.88</v>
      </c>
      <c r="CH129" s="102">
        <f t="shared" si="86"/>
        <v>17.399999999999999</v>
      </c>
      <c r="CI129" s="102" t="str">
        <f t="shared" si="87"/>
        <v/>
      </c>
      <c r="CJ129" s="102">
        <f t="shared" si="88"/>
        <v>2.2999999999999998</v>
      </c>
      <c r="CK129" s="102">
        <f t="shared" si="89"/>
        <v>50</v>
      </c>
      <c r="CL129" s="102">
        <f t="shared" si="90"/>
        <v>110</v>
      </c>
      <c r="CM129" s="102">
        <f t="shared" si="91"/>
        <v>12000</v>
      </c>
      <c r="CN129" s="102">
        <f t="shared" si="92"/>
        <v>41</v>
      </c>
      <c r="CO129" s="102">
        <f t="shared" si="93"/>
        <v>12000</v>
      </c>
      <c r="CP129" s="102" t="str">
        <f t="shared" si="94"/>
        <v/>
      </c>
    </row>
    <row r="130" spans="2:94">
      <c r="B130" t="s">
        <v>252</v>
      </c>
      <c r="C130" s="231">
        <v>43844</v>
      </c>
      <c r="D130" s="233">
        <v>5.3</v>
      </c>
      <c r="E130" s="233">
        <v>12.3</v>
      </c>
      <c r="F130" s="235">
        <v>97</v>
      </c>
      <c r="G130" s="233">
        <v>7.93</v>
      </c>
      <c r="H130" s="233">
        <v>14</v>
      </c>
      <c r="J130" s="233">
        <v>2.2000000000000002</v>
      </c>
      <c r="K130" s="235">
        <v>40</v>
      </c>
      <c r="L130" s="235">
        <v>99</v>
      </c>
      <c r="M130" s="235">
        <v>8700</v>
      </c>
      <c r="N130" s="235">
        <v>49</v>
      </c>
      <c r="O130" s="235">
        <v>9000</v>
      </c>
      <c r="Q130">
        <v>2020</v>
      </c>
      <c r="R130">
        <v>1</v>
      </c>
      <c r="T130" s="226"/>
      <c r="U130" s="226"/>
      <c r="V130" s="226"/>
      <c r="W130" s="226"/>
      <c r="X130" s="226"/>
      <c r="Y130" s="226"/>
      <c r="Z130" s="226"/>
      <c r="AA130" s="233">
        <f t="shared" si="48"/>
        <v>10.332000000000001</v>
      </c>
      <c r="AB130" s="233">
        <f t="shared" si="49"/>
        <v>12.739174193481931</v>
      </c>
      <c r="AC130" s="233">
        <f t="shared" si="50"/>
        <v>7.9248258065180703</v>
      </c>
      <c r="AD130">
        <v>2.95</v>
      </c>
      <c r="AE130" s="233">
        <f t="shared" si="51"/>
        <v>7.9374301675977676</v>
      </c>
      <c r="AF130" s="233">
        <f t="shared" si="52"/>
        <v>8.0830597168027865</v>
      </c>
      <c r="AG130" s="233">
        <f t="shared" si="53"/>
        <v>7.7918006183927488</v>
      </c>
      <c r="AH130">
        <v>6.5</v>
      </c>
      <c r="AI130" s="233">
        <f t="shared" si="54"/>
        <v>3.3601117318435763</v>
      </c>
      <c r="AJ130" s="233">
        <f t="shared" si="55"/>
        <v>6.3851512410714601</v>
      </c>
      <c r="AK130" s="233">
        <f t="shared" si="56"/>
        <v>0.33507222261569281</v>
      </c>
      <c r="AL130">
        <v>7</v>
      </c>
      <c r="AM130" s="233">
        <f t="shared" si="57"/>
        <v>48.104347826086951</v>
      </c>
      <c r="AN130" s="233">
        <f t="shared" si="58"/>
        <v>52.277593646348265</v>
      </c>
      <c r="AO130" s="233">
        <f t="shared" si="59"/>
        <v>43.931102005825636</v>
      </c>
      <c r="AP130" s="233">
        <f t="shared" si="60"/>
        <v>2.0655865921787711</v>
      </c>
      <c r="AQ130" s="233">
        <f t="shared" si="61"/>
        <v>3.1665882132978602</v>
      </c>
      <c r="AR130" s="233">
        <f t="shared" si="62"/>
        <v>0.96458497105968211</v>
      </c>
      <c r="AS130" s="235">
        <f t="shared" si="63"/>
        <v>33.105027932960894</v>
      </c>
      <c r="AT130" s="235">
        <f t="shared" si="64"/>
        <v>50.535961542150602</v>
      </c>
      <c r="AU130" s="235">
        <f t="shared" si="65"/>
        <v>15.67409432377119</v>
      </c>
      <c r="AV130">
        <v>100</v>
      </c>
      <c r="AW130" s="235">
        <f t="shared" si="66"/>
        <v>62.766666666666666</v>
      </c>
      <c r="AX130" s="235">
        <f t="shared" si="67"/>
        <v>80.98511149172171</v>
      </c>
      <c r="AY130" s="235">
        <f t="shared" si="68"/>
        <v>44.548221841611614</v>
      </c>
      <c r="AZ130" s="235">
        <f t="shared" si="69"/>
        <v>2941.6666666666665</v>
      </c>
      <c r="BA130" s="235">
        <f t="shared" si="70"/>
        <v>4966.9775952753826</v>
      </c>
      <c r="BB130" s="235">
        <f t="shared" si="71"/>
        <v>916.35573805795048</v>
      </c>
      <c r="BC130" s="235">
        <f t="shared" si="72"/>
        <v>53.18888888888889</v>
      </c>
      <c r="BD130" s="235">
        <f t="shared" si="73"/>
        <v>112.67052202318322</v>
      </c>
      <c r="BE130" s="235">
        <f t="shared" si="74"/>
        <v>-6.2927442454054372</v>
      </c>
      <c r="BF130" s="235">
        <f t="shared" si="75"/>
        <v>3577.2222222222222</v>
      </c>
      <c r="BG130" s="235">
        <f t="shared" si="76"/>
        <v>5636.1265941907786</v>
      </c>
      <c r="BH130" s="235">
        <f t="shared" si="77"/>
        <v>1518.3178502536657</v>
      </c>
      <c r="BI130">
        <v>5000</v>
      </c>
      <c r="BJ130" s="235">
        <f t="shared" si="78"/>
        <v>0</v>
      </c>
      <c r="BK130" s="235">
        <f t="shared" si="79"/>
        <v>0</v>
      </c>
      <c r="BL130" s="235">
        <f t="shared" si="80"/>
        <v>0</v>
      </c>
      <c r="BO130" s="235">
        <f t="shared" si="81"/>
        <v>43844</v>
      </c>
      <c r="CD130" s="533">
        <f t="shared" si="82"/>
        <v>5.3</v>
      </c>
      <c r="CE130" s="102">
        <f t="shared" si="83"/>
        <v>12.3</v>
      </c>
      <c r="CF130" s="102">
        <f t="shared" si="84"/>
        <v>97</v>
      </c>
      <c r="CG130" s="102">
        <f t="shared" si="85"/>
        <v>7.93</v>
      </c>
      <c r="CH130" s="102">
        <f t="shared" si="86"/>
        <v>14</v>
      </c>
      <c r="CI130" s="102" t="str">
        <f t="shared" si="87"/>
        <v/>
      </c>
      <c r="CJ130" s="102">
        <f t="shared" si="88"/>
        <v>2.2000000000000002</v>
      </c>
      <c r="CK130" s="102">
        <f t="shared" si="89"/>
        <v>40</v>
      </c>
      <c r="CL130" s="102">
        <f t="shared" si="90"/>
        <v>99</v>
      </c>
      <c r="CM130" s="102">
        <f t="shared" si="91"/>
        <v>8700</v>
      </c>
      <c r="CN130" s="102">
        <f t="shared" si="92"/>
        <v>49</v>
      </c>
      <c r="CO130" s="102">
        <f t="shared" si="93"/>
        <v>9000</v>
      </c>
      <c r="CP130" s="102" t="str">
        <f t="shared" si="94"/>
        <v/>
      </c>
    </row>
    <row r="131" spans="2:94">
      <c r="B131" t="s">
        <v>252</v>
      </c>
      <c r="C131" s="231">
        <v>43879</v>
      </c>
      <c r="D131" s="233">
        <v>5.6</v>
      </c>
      <c r="E131" s="233">
        <v>12.1</v>
      </c>
      <c r="F131" s="235">
        <v>96</v>
      </c>
      <c r="G131" s="233">
        <v>7.85</v>
      </c>
      <c r="H131" s="233">
        <v>19</v>
      </c>
      <c r="J131" s="233">
        <v>3.1</v>
      </c>
      <c r="K131" s="235">
        <v>47</v>
      </c>
      <c r="L131" s="235">
        <v>120</v>
      </c>
      <c r="M131" s="235">
        <v>6500</v>
      </c>
      <c r="N131" s="235">
        <v>30</v>
      </c>
      <c r="O131" s="235">
        <v>6600</v>
      </c>
      <c r="Q131">
        <v>2020</v>
      </c>
      <c r="R131">
        <v>2</v>
      </c>
      <c r="T131" s="226"/>
      <c r="U131" s="226"/>
      <c r="V131" s="226"/>
      <c r="W131" s="226"/>
      <c r="X131" s="226"/>
      <c r="Y131" s="226"/>
      <c r="Z131" s="226"/>
      <c r="AA131" s="233">
        <f t="shared" si="48"/>
        <v>10.332000000000001</v>
      </c>
      <c r="AB131" s="233">
        <f t="shared" si="49"/>
        <v>12.739174193481931</v>
      </c>
      <c r="AC131" s="233">
        <f t="shared" si="50"/>
        <v>7.9248258065180703</v>
      </c>
      <c r="AD131">
        <v>2.95</v>
      </c>
      <c r="AE131" s="233">
        <f t="shared" si="51"/>
        <v>7.9374301675977676</v>
      </c>
      <c r="AF131" s="233">
        <f t="shared" si="52"/>
        <v>8.0830597168027865</v>
      </c>
      <c r="AG131" s="233">
        <f t="shared" si="53"/>
        <v>7.7918006183927488</v>
      </c>
      <c r="AH131">
        <v>6.5</v>
      </c>
      <c r="AI131" s="233">
        <f t="shared" si="54"/>
        <v>3.3601117318435763</v>
      </c>
      <c r="AJ131" s="233">
        <f t="shared" si="55"/>
        <v>6.3851512410714601</v>
      </c>
      <c r="AK131" s="233">
        <f t="shared" si="56"/>
        <v>0.33507222261569281</v>
      </c>
      <c r="AL131">
        <v>7</v>
      </c>
      <c r="AM131" s="233">
        <f t="shared" si="57"/>
        <v>48.104347826086951</v>
      </c>
      <c r="AN131" s="233">
        <f t="shared" si="58"/>
        <v>52.277593646348265</v>
      </c>
      <c r="AO131" s="233">
        <f t="shared" si="59"/>
        <v>43.931102005825636</v>
      </c>
      <c r="AP131" s="233">
        <f t="shared" si="60"/>
        <v>2.0655865921787711</v>
      </c>
      <c r="AQ131" s="233">
        <f t="shared" si="61"/>
        <v>3.1665882132978602</v>
      </c>
      <c r="AR131" s="233">
        <f t="shared" si="62"/>
        <v>0.96458497105968211</v>
      </c>
      <c r="AS131" s="235">
        <f t="shared" si="63"/>
        <v>33.105027932960894</v>
      </c>
      <c r="AT131" s="235">
        <f t="shared" si="64"/>
        <v>50.535961542150602</v>
      </c>
      <c r="AU131" s="235">
        <f t="shared" si="65"/>
        <v>15.67409432377119</v>
      </c>
      <c r="AV131">
        <v>100</v>
      </c>
      <c r="AW131" s="235">
        <f t="shared" si="66"/>
        <v>62.766666666666666</v>
      </c>
      <c r="AX131" s="235">
        <f t="shared" si="67"/>
        <v>80.98511149172171</v>
      </c>
      <c r="AY131" s="235">
        <f t="shared" si="68"/>
        <v>44.548221841611614</v>
      </c>
      <c r="AZ131" s="235">
        <f t="shared" si="69"/>
        <v>2941.6666666666665</v>
      </c>
      <c r="BA131" s="235">
        <f t="shared" si="70"/>
        <v>4966.9775952753826</v>
      </c>
      <c r="BB131" s="235">
        <f t="shared" si="71"/>
        <v>916.35573805795048</v>
      </c>
      <c r="BC131" s="235">
        <f t="shared" si="72"/>
        <v>53.18888888888889</v>
      </c>
      <c r="BD131" s="235">
        <f t="shared" si="73"/>
        <v>112.67052202318322</v>
      </c>
      <c r="BE131" s="235">
        <f t="shared" si="74"/>
        <v>-6.2927442454054372</v>
      </c>
      <c r="BF131" s="235">
        <f t="shared" si="75"/>
        <v>3577.2222222222222</v>
      </c>
      <c r="BG131" s="235">
        <f t="shared" si="76"/>
        <v>5636.1265941907786</v>
      </c>
      <c r="BH131" s="235">
        <f t="shared" si="77"/>
        <v>1518.3178502536657</v>
      </c>
      <c r="BI131">
        <v>5000</v>
      </c>
      <c r="BJ131" s="235">
        <f t="shared" si="78"/>
        <v>0</v>
      </c>
      <c r="BK131" s="235">
        <f t="shared" si="79"/>
        <v>0</v>
      </c>
      <c r="BL131" s="235">
        <f t="shared" si="80"/>
        <v>0</v>
      </c>
      <c r="BO131" s="235">
        <f t="shared" si="81"/>
        <v>43879</v>
      </c>
      <c r="CD131" s="533">
        <f t="shared" si="82"/>
        <v>5.6</v>
      </c>
      <c r="CE131" s="102">
        <f t="shared" si="83"/>
        <v>12.1</v>
      </c>
      <c r="CF131" s="102">
        <f t="shared" si="84"/>
        <v>96</v>
      </c>
      <c r="CG131" s="102">
        <f t="shared" si="85"/>
        <v>7.85</v>
      </c>
      <c r="CH131" s="102">
        <f t="shared" si="86"/>
        <v>19</v>
      </c>
      <c r="CI131" s="102" t="str">
        <f t="shared" si="87"/>
        <v/>
      </c>
      <c r="CJ131" s="102">
        <f t="shared" si="88"/>
        <v>3.1</v>
      </c>
      <c r="CK131" s="102">
        <f t="shared" si="89"/>
        <v>47</v>
      </c>
      <c r="CL131" s="102">
        <f t="shared" si="90"/>
        <v>120</v>
      </c>
      <c r="CM131" s="102">
        <f t="shared" si="91"/>
        <v>6500</v>
      </c>
      <c r="CN131" s="102">
        <f t="shared" si="92"/>
        <v>30</v>
      </c>
      <c r="CO131" s="102">
        <f t="shared" si="93"/>
        <v>6600</v>
      </c>
      <c r="CP131" s="102" t="str">
        <f t="shared" si="94"/>
        <v/>
      </c>
    </row>
    <row r="132" spans="2:94">
      <c r="B132" t="s">
        <v>252</v>
      </c>
      <c r="C132" s="231">
        <v>43907</v>
      </c>
      <c r="D132" s="233">
        <v>6</v>
      </c>
      <c r="E132" s="233">
        <v>12.7</v>
      </c>
      <c r="F132" s="235">
        <v>102</v>
      </c>
      <c r="G132" s="233">
        <v>7.96</v>
      </c>
      <c r="H132" s="233">
        <v>4.0999999999999996</v>
      </c>
      <c r="J132" s="233">
        <v>3.4</v>
      </c>
      <c r="K132" s="235">
        <v>9.9</v>
      </c>
      <c r="L132" s="235">
        <v>56</v>
      </c>
      <c r="M132" s="235">
        <v>4700</v>
      </c>
      <c r="N132" s="235">
        <v>27</v>
      </c>
      <c r="O132" s="235">
        <v>4500</v>
      </c>
      <c r="Q132">
        <v>2020</v>
      </c>
      <c r="R132">
        <v>3</v>
      </c>
      <c r="T132" s="226"/>
      <c r="U132" s="226"/>
      <c r="V132" s="226"/>
      <c r="W132" s="226"/>
      <c r="X132" s="226"/>
      <c r="Y132" s="226"/>
      <c r="Z132" s="226"/>
      <c r="AA132" s="233">
        <f t="shared" si="48"/>
        <v>10.332000000000001</v>
      </c>
      <c r="AB132" s="233">
        <f t="shared" si="49"/>
        <v>12.739174193481931</v>
      </c>
      <c r="AC132" s="233">
        <f t="shared" si="50"/>
        <v>7.9248258065180703</v>
      </c>
      <c r="AD132">
        <v>2.95</v>
      </c>
      <c r="AE132" s="233">
        <f t="shared" si="51"/>
        <v>7.9374301675977676</v>
      </c>
      <c r="AF132" s="233">
        <f t="shared" si="52"/>
        <v>8.0830597168027865</v>
      </c>
      <c r="AG132" s="233">
        <f t="shared" si="53"/>
        <v>7.7918006183927488</v>
      </c>
      <c r="AH132">
        <v>6.5</v>
      </c>
      <c r="AI132" s="233">
        <f t="shared" si="54"/>
        <v>3.3601117318435763</v>
      </c>
      <c r="AJ132" s="233">
        <f t="shared" si="55"/>
        <v>6.3851512410714601</v>
      </c>
      <c r="AK132" s="233">
        <f t="shared" si="56"/>
        <v>0.33507222261569281</v>
      </c>
      <c r="AL132">
        <v>7</v>
      </c>
      <c r="AM132" s="233">
        <f t="shared" si="57"/>
        <v>48.104347826086951</v>
      </c>
      <c r="AN132" s="233">
        <f t="shared" si="58"/>
        <v>52.277593646348265</v>
      </c>
      <c r="AO132" s="233">
        <f t="shared" si="59"/>
        <v>43.931102005825636</v>
      </c>
      <c r="AP132" s="233">
        <f t="shared" si="60"/>
        <v>2.0655865921787711</v>
      </c>
      <c r="AQ132" s="233">
        <f t="shared" si="61"/>
        <v>3.1665882132978602</v>
      </c>
      <c r="AR132" s="233">
        <f t="shared" si="62"/>
        <v>0.96458497105968211</v>
      </c>
      <c r="AS132" s="235">
        <f t="shared" si="63"/>
        <v>33.105027932960894</v>
      </c>
      <c r="AT132" s="235">
        <f t="shared" si="64"/>
        <v>50.535961542150602</v>
      </c>
      <c r="AU132" s="235">
        <f t="shared" si="65"/>
        <v>15.67409432377119</v>
      </c>
      <c r="AV132">
        <v>100</v>
      </c>
      <c r="AW132" s="235">
        <f t="shared" si="66"/>
        <v>62.766666666666666</v>
      </c>
      <c r="AX132" s="235">
        <f t="shared" si="67"/>
        <v>80.98511149172171</v>
      </c>
      <c r="AY132" s="235">
        <f t="shared" si="68"/>
        <v>44.548221841611614</v>
      </c>
      <c r="AZ132" s="235">
        <f t="shared" si="69"/>
        <v>2941.6666666666665</v>
      </c>
      <c r="BA132" s="235">
        <f t="shared" si="70"/>
        <v>4966.9775952753826</v>
      </c>
      <c r="BB132" s="235">
        <f t="shared" si="71"/>
        <v>916.35573805795048</v>
      </c>
      <c r="BC132" s="235">
        <f t="shared" si="72"/>
        <v>53.18888888888889</v>
      </c>
      <c r="BD132" s="235">
        <f t="shared" si="73"/>
        <v>112.67052202318322</v>
      </c>
      <c r="BE132" s="235">
        <f t="shared" si="74"/>
        <v>-6.2927442454054372</v>
      </c>
      <c r="BF132" s="235">
        <f t="shared" si="75"/>
        <v>3577.2222222222222</v>
      </c>
      <c r="BG132" s="235">
        <f t="shared" si="76"/>
        <v>5636.1265941907786</v>
      </c>
      <c r="BH132" s="235">
        <f t="shared" si="77"/>
        <v>1518.3178502536657</v>
      </c>
      <c r="BI132">
        <v>5000</v>
      </c>
      <c r="BJ132" s="235">
        <f t="shared" si="78"/>
        <v>0</v>
      </c>
      <c r="BK132" s="235">
        <f t="shared" si="79"/>
        <v>0</v>
      </c>
      <c r="BL132" s="235">
        <f t="shared" si="80"/>
        <v>0</v>
      </c>
      <c r="BO132" s="235">
        <f t="shared" si="81"/>
        <v>43907</v>
      </c>
      <c r="CD132" s="533">
        <f t="shared" si="82"/>
        <v>6</v>
      </c>
      <c r="CE132" s="102">
        <f t="shared" si="83"/>
        <v>12.7</v>
      </c>
      <c r="CF132" s="102">
        <f t="shared" si="84"/>
        <v>102</v>
      </c>
      <c r="CG132" s="102">
        <f t="shared" si="85"/>
        <v>7.96</v>
      </c>
      <c r="CH132" s="102">
        <f t="shared" si="86"/>
        <v>4.0999999999999996</v>
      </c>
      <c r="CI132" s="102" t="str">
        <f t="shared" si="87"/>
        <v/>
      </c>
      <c r="CJ132" s="102">
        <f t="shared" si="88"/>
        <v>3.4</v>
      </c>
      <c r="CK132" s="102">
        <f t="shared" si="89"/>
        <v>9.9</v>
      </c>
      <c r="CL132" s="102">
        <f t="shared" si="90"/>
        <v>56</v>
      </c>
      <c r="CM132" s="102">
        <f t="shared" si="91"/>
        <v>4700</v>
      </c>
      <c r="CN132" s="102">
        <f t="shared" si="92"/>
        <v>27</v>
      </c>
      <c r="CO132" s="102">
        <f t="shared" si="93"/>
        <v>4500</v>
      </c>
      <c r="CP132" s="102" t="str">
        <f t="shared" si="94"/>
        <v/>
      </c>
    </row>
    <row r="133" spans="2:94">
      <c r="B133" t="s">
        <v>252</v>
      </c>
      <c r="C133" s="231">
        <v>43942</v>
      </c>
      <c r="D133" s="233">
        <v>10.9</v>
      </c>
      <c r="E133" s="233">
        <v>10.5</v>
      </c>
      <c r="F133" s="235">
        <v>95</v>
      </c>
      <c r="G133" s="233">
        <v>8.0299999999999994</v>
      </c>
      <c r="H133" s="233">
        <v>3.5</v>
      </c>
      <c r="J133" s="233">
        <v>3.26</v>
      </c>
      <c r="K133" s="235">
        <v>2.8</v>
      </c>
      <c r="L133" s="235">
        <v>50</v>
      </c>
      <c r="M133" s="235">
        <v>2000</v>
      </c>
      <c r="N133" s="235">
        <v>22</v>
      </c>
      <c r="O133" s="235">
        <v>2600</v>
      </c>
      <c r="Q133">
        <v>2020</v>
      </c>
      <c r="R133">
        <v>4</v>
      </c>
      <c r="T133" s="226"/>
      <c r="U133" s="226"/>
      <c r="V133" s="226"/>
      <c r="W133" s="226"/>
      <c r="X133" s="226"/>
      <c r="Y133" s="226"/>
      <c r="Z133" s="226"/>
      <c r="AA133" s="233">
        <f t="shared" si="48"/>
        <v>10.332000000000001</v>
      </c>
      <c r="AB133" s="233">
        <f t="shared" si="49"/>
        <v>12.739174193481931</v>
      </c>
      <c r="AC133" s="233">
        <f t="shared" si="50"/>
        <v>7.9248258065180703</v>
      </c>
      <c r="AD133">
        <v>2.95</v>
      </c>
      <c r="AE133" s="233">
        <f t="shared" si="51"/>
        <v>7.9374301675977676</v>
      </c>
      <c r="AF133" s="233">
        <f t="shared" si="52"/>
        <v>8.0830597168027865</v>
      </c>
      <c r="AG133" s="233">
        <f t="shared" si="53"/>
        <v>7.7918006183927488</v>
      </c>
      <c r="AH133">
        <v>6.5</v>
      </c>
      <c r="AI133" s="233">
        <f t="shared" si="54"/>
        <v>3.3601117318435763</v>
      </c>
      <c r="AJ133" s="233">
        <f t="shared" si="55"/>
        <v>6.3851512410714601</v>
      </c>
      <c r="AK133" s="233">
        <f t="shared" si="56"/>
        <v>0.33507222261569281</v>
      </c>
      <c r="AL133">
        <v>7</v>
      </c>
      <c r="AM133" s="233">
        <f t="shared" si="57"/>
        <v>48.104347826086951</v>
      </c>
      <c r="AN133" s="233">
        <f t="shared" si="58"/>
        <v>52.277593646348265</v>
      </c>
      <c r="AO133" s="233">
        <f t="shared" si="59"/>
        <v>43.931102005825636</v>
      </c>
      <c r="AP133" s="233">
        <f t="shared" si="60"/>
        <v>2.0655865921787711</v>
      </c>
      <c r="AQ133" s="233">
        <f t="shared" si="61"/>
        <v>3.1665882132978602</v>
      </c>
      <c r="AR133" s="233">
        <f t="shared" si="62"/>
        <v>0.96458497105968211</v>
      </c>
      <c r="AS133" s="235">
        <f t="shared" si="63"/>
        <v>33.105027932960894</v>
      </c>
      <c r="AT133" s="235">
        <f t="shared" si="64"/>
        <v>50.535961542150602</v>
      </c>
      <c r="AU133" s="235">
        <f t="shared" si="65"/>
        <v>15.67409432377119</v>
      </c>
      <c r="AV133">
        <v>100</v>
      </c>
      <c r="AW133" s="235">
        <f t="shared" si="66"/>
        <v>62.766666666666666</v>
      </c>
      <c r="AX133" s="235">
        <f t="shared" si="67"/>
        <v>80.98511149172171</v>
      </c>
      <c r="AY133" s="235">
        <f t="shared" si="68"/>
        <v>44.548221841611614</v>
      </c>
      <c r="AZ133" s="235">
        <f t="shared" si="69"/>
        <v>2941.6666666666665</v>
      </c>
      <c r="BA133" s="235">
        <f t="shared" si="70"/>
        <v>4966.9775952753826</v>
      </c>
      <c r="BB133" s="235">
        <f t="shared" si="71"/>
        <v>916.35573805795048</v>
      </c>
      <c r="BC133" s="235">
        <f t="shared" si="72"/>
        <v>53.18888888888889</v>
      </c>
      <c r="BD133" s="235">
        <f t="shared" si="73"/>
        <v>112.67052202318322</v>
      </c>
      <c r="BE133" s="235">
        <f t="shared" si="74"/>
        <v>-6.2927442454054372</v>
      </c>
      <c r="BF133" s="235">
        <f t="shared" si="75"/>
        <v>3577.2222222222222</v>
      </c>
      <c r="BG133" s="235">
        <f t="shared" si="76"/>
        <v>5636.1265941907786</v>
      </c>
      <c r="BH133" s="235">
        <f t="shared" si="77"/>
        <v>1518.3178502536657</v>
      </c>
      <c r="BI133">
        <v>5000</v>
      </c>
      <c r="BJ133" s="235">
        <f t="shared" si="78"/>
        <v>0</v>
      </c>
      <c r="BK133" s="235">
        <f t="shared" si="79"/>
        <v>0</v>
      </c>
      <c r="BL133" s="235">
        <f t="shared" si="80"/>
        <v>0</v>
      </c>
      <c r="BO133" s="235">
        <f t="shared" si="81"/>
        <v>43942</v>
      </c>
      <c r="CD133" s="533">
        <f t="shared" si="82"/>
        <v>10.9</v>
      </c>
      <c r="CE133" s="102">
        <f t="shared" si="83"/>
        <v>10.5</v>
      </c>
      <c r="CF133" s="102">
        <f t="shared" si="84"/>
        <v>95</v>
      </c>
      <c r="CG133" s="102">
        <f t="shared" si="85"/>
        <v>8.0299999999999994</v>
      </c>
      <c r="CH133" s="102">
        <f t="shared" si="86"/>
        <v>3.5</v>
      </c>
      <c r="CI133" s="102" t="str">
        <f t="shared" si="87"/>
        <v/>
      </c>
      <c r="CJ133" s="102">
        <f t="shared" si="88"/>
        <v>3.26</v>
      </c>
      <c r="CK133" s="102">
        <f t="shared" si="89"/>
        <v>2.8</v>
      </c>
      <c r="CL133" s="102">
        <f t="shared" si="90"/>
        <v>50</v>
      </c>
      <c r="CM133" s="102">
        <f t="shared" si="91"/>
        <v>2000</v>
      </c>
      <c r="CN133" s="102">
        <f t="shared" si="92"/>
        <v>22</v>
      </c>
      <c r="CO133" s="102">
        <f t="shared" si="93"/>
        <v>2600</v>
      </c>
      <c r="CP133" s="102" t="str">
        <f t="shared" si="94"/>
        <v/>
      </c>
    </row>
    <row r="134" spans="2:94">
      <c r="B134" t="s">
        <v>252</v>
      </c>
      <c r="C134" s="231">
        <v>43969</v>
      </c>
      <c r="D134" s="233">
        <v>12</v>
      </c>
      <c r="E134" s="233">
        <v>9.6</v>
      </c>
      <c r="F134" s="235">
        <v>89</v>
      </c>
      <c r="G134" s="233">
        <v>8.08</v>
      </c>
      <c r="H134" s="233">
        <v>3.3</v>
      </c>
      <c r="J134" s="233">
        <v>4</v>
      </c>
      <c r="K134" s="235">
        <v>5.8</v>
      </c>
      <c r="L134" s="235">
        <v>48</v>
      </c>
      <c r="M134" s="235">
        <v>1300</v>
      </c>
      <c r="N134" s="235">
        <v>26</v>
      </c>
      <c r="O134" s="235">
        <v>2000</v>
      </c>
      <c r="Q134">
        <v>2020</v>
      </c>
      <c r="R134">
        <v>5</v>
      </c>
      <c r="T134" s="226"/>
      <c r="U134" s="226"/>
      <c r="V134" s="226"/>
      <c r="W134" s="226"/>
      <c r="X134" s="226"/>
      <c r="Y134" s="226"/>
      <c r="Z134" s="226"/>
      <c r="AA134" s="233">
        <f t="shared" si="48"/>
        <v>10.332000000000001</v>
      </c>
      <c r="AB134" s="233">
        <f t="shared" si="49"/>
        <v>12.739174193481931</v>
      </c>
      <c r="AC134" s="233">
        <f t="shared" si="50"/>
        <v>7.9248258065180703</v>
      </c>
      <c r="AD134">
        <v>2.95</v>
      </c>
      <c r="AE134" s="233">
        <f t="shared" si="51"/>
        <v>7.9374301675977676</v>
      </c>
      <c r="AF134" s="233">
        <f t="shared" si="52"/>
        <v>8.0830597168027865</v>
      </c>
      <c r="AG134" s="233">
        <f t="shared" si="53"/>
        <v>7.7918006183927488</v>
      </c>
      <c r="AH134">
        <v>6.5</v>
      </c>
      <c r="AI134" s="233">
        <f t="shared" si="54"/>
        <v>3.3601117318435763</v>
      </c>
      <c r="AJ134" s="233">
        <f t="shared" si="55"/>
        <v>6.3851512410714601</v>
      </c>
      <c r="AK134" s="233">
        <f t="shared" si="56"/>
        <v>0.33507222261569281</v>
      </c>
      <c r="AL134">
        <v>7</v>
      </c>
      <c r="AM134" s="233">
        <f t="shared" si="57"/>
        <v>48.104347826086951</v>
      </c>
      <c r="AN134" s="233">
        <f t="shared" si="58"/>
        <v>52.277593646348265</v>
      </c>
      <c r="AO134" s="233">
        <f t="shared" si="59"/>
        <v>43.931102005825636</v>
      </c>
      <c r="AP134" s="233">
        <f t="shared" si="60"/>
        <v>2.0655865921787711</v>
      </c>
      <c r="AQ134" s="233">
        <f t="shared" si="61"/>
        <v>3.1665882132978602</v>
      </c>
      <c r="AR134" s="233">
        <f t="shared" si="62"/>
        <v>0.96458497105968211</v>
      </c>
      <c r="AS134" s="235">
        <f t="shared" si="63"/>
        <v>33.105027932960894</v>
      </c>
      <c r="AT134" s="235">
        <f t="shared" si="64"/>
        <v>50.535961542150602</v>
      </c>
      <c r="AU134" s="235">
        <f t="shared" si="65"/>
        <v>15.67409432377119</v>
      </c>
      <c r="AV134">
        <v>100</v>
      </c>
      <c r="AW134" s="235">
        <f t="shared" si="66"/>
        <v>62.766666666666666</v>
      </c>
      <c r="AX134" s="235">
        <f t="shared" si="67"/>
        <v>80.98511149172171</v>
      </c>
      <c r="AY134" s="235">
        <f t="shared" si="68"/>
        <v>44.548221841611614</v>
      </c>
      <c r="AZ134" s="235">
        <f t="shared" si="69"/>
        <v>2941.6666666666665</v>
      </c>
      <c r="BA134" s="235">
        <f t="shared" si="70"/>
        <v>4966.9775952753826</v>
      </c>
      <c r="BB134" s="235">
        <f t="shared" si="71"/>
        <v>916.35573805795048</v>
      </c>
      <c r="BC134" s="235">
        <f t="shared" si="72"/>
        <v>53.18888888888889</v>
      </c>
      <c r="BD134" s="235">
        <f t="shared" si="73"/>
        <v>112.67052202318322</v>
      </c>
      <c r="BE134" s="235">
        <f t="shared" si="74"/>
        <v>-6.2927442454054372</v>
      </c>
      <c r="BF134" s="235">
        <f t="shared" si="75"/>
        <v>3577.2222222222222</v>
      </c>
      <c r="BG134" s="235">
        <f t="shared" si="76"/>
        <v>5636.1265941907786</v>
      </c>
      <c r="BH134" s="235">
        <f t="shared" si="77"/>
        <v>1518.3178502536657</v>
      </c>
      <c r="BI134">
        <v>5000</v>
      </c>
      <c r="BJ134" s="235">
        <f t="shared" si="78"/>
        <v>0</v>
      </c>
      <c r="BK134" s="235">
        <f t="shared" si="79"/>
        <v>0</v>
      </c>
      <c r="BL134" s="235">
        <f t="shared" si="80"/>
        <v>0</v>
      </c>
      <c r="BO134" s="235">
        <f t="shared" si="81"/>
        <v>43969</v>
      </c>
      <c r="CD134" s="533">
        <f t="shared" si="82"/>
        <v>12</v>
      </c>
      <c r="CE134" s="102">
        <f t="shared" si="83"/>
        <v>9.6</v>
      </c>
      <c r="CF134" s="102">
        <f t="shared" si="84"/>
        <v>89</v>
      </c>
      <c r="CG134" s="102">
        <f t="shared" si="85"/>
        <v>8.08</v>
      </c>
      <c r="CH134" s="102">
        <f t="shared" si="86"/>
        <v>3.3</v>
      </c>
      <c r="CI134" s="102" t="str">
        <f t="shared" si="87"/>
        <v/>
      </c>
      <c r="CJ134" s="102">
        <f t="shared" si="88"/>
        <v>4</v>
      </c>
      <c r="CK134" s="102">
        <f t="shared" si="89"/>
        <v>5.8</v>
      </c>
      <c r="CL134" s="102">
        <f t="shared" si="90"/>
        <v>48</v>
      </c>
      <c r="CM134" s="102">
        <f t="shared" si="91"/>
        <v>1300</v>
      </c>
      <c r="CN134" s="102">
        <f t="shared" si="92"/>
        <v>26</v>
      </c>
      <c r="CO134" s="102">
        <f t="shared" si="93"/>
        <v>2000</v>
      </c>
      <c r="CP134" s="102" t="str">
        <f t="shared" si="94"/>
        <v/>
      </c>
    </row>
    <row r="135" spans="2:94">
      <c r="B135" t="s">
        <v>252</v>
      </c>
      <c r="C135" s="231">
        <v>43992</v>
      </c>
      <c r="D135" s="233">
        <v>18.100000000000001</v>
      </c>
      <c r="E135" s="233">
        <v>7.5</v>
      </c>
      <c r="F135" s="235">
        <v>79</v>
      </c>
      <c r="G135" s="233">
        <v>7.84</v>
      </c>
      <c r="H135" s="233">
        <v>1.9</v>
      </c>
      <c r="J135" s="233">
        <v>2.1</v>
      </c>
      <c r="K135" s="235">
        <v>24</v>
      </c>
      <c r="L135" s="235">
        <v>56</v>
      </c>
      <c r="M135" s="235">
        <v>1400</v>
      </c>
      <c r="N135" s="235">
        <v>55</v>
      </c>
      <c r="O135" s="235">
        <v>1900</v>
      </c>
      <c r="Q135">
        <v>2020</v>
      </c>
      <c r="R135">
        <v>6</v>
      </c>
      <c r="T135" s="226"/>
      <c r="U135" s="226"/>
      <c r="V135" s="226"/>
      <c r="W135" s="226"/>
      <c r="X135" s="226"/>
      <c r="Y135" s="226"/>
      <c r="Z135" s="226"/>
      <c r="AA135" s="233">
        <f t="shared" si="48"/>
        <v>10.332000000000001</v>
      </c>
      <c r="AB135" s="233">
        <f t="shared" si="49"/>
        <v>12.739174193481931</v>
      </c>
      <c r="AC135" s="233">
        <f t="shared" si="50"/>
        <v>7.9248258065180703</v>
      </c>
      <c r="AD135">
        <v>2.95</v>
      </c>
      <c r="AE135" s="233">
        <f t="shared" si="51"/>
        <v>7.9374301675977676</v>
      </c>
      <c r="AF135" s="233">
        <f t="shared" si="52"/>
        <v>8.0830597168027865</v>
      </c>
      <c r="AG135" s="233">
        <f t="shared" si="53"/>
        <v>7.7918006183927488</v>
      </c>
      <c r="AH135">
        <v>6.5</v>
      </c>
      <c r="AI135" s="233">
        <f t="shared" si="54"/>
        <v>3.3601117318435763</v>
      </c>
      <c r="AJ135" s="233">
        <f t="shared" si="55"/>
        <v>6.3851512410714601</v>
      </c>
      <c r="AK135" s="233">
        <f t="shared" si="56"/>
        <v>0.33507222261569281</v>
      </c>
      <c r="AL135">
        <v>7</v>
      </c>
      <c r="AM135" s="233">
        <f t="shared" si="57"/>
        <v>48.104347826086951</v>
      </c>
      <c r="AN135" s="233">
        <f t="shared" si="58"/>
        <v>52.277593646348265</v>
      </c>
      <c r="AO135" s="233">
        <f t="shared" si="59"/>
        <v>43.931102005825636</v>
      </c>
      <c r="AP135" s="233">
        <f t="shared" si="60"/>
        <v>2.0655865921787711</v>
      </c>
      <c r="AQ135" s="233">
        <f t="shared" si="61"/>
        <v>3.1665882132978602</v>
      </c>
      <c r="AR135" s="233">
        <f t="shared" si="62"/>
        <v>0.96458497105968211</v>
      </c>
      <c r="AS135" s="235">
        <f t="shared" si="63"/>
        <v>33.105027932960894</v>
      </c>
      <c r="AT135" s="235">
        <f t="shared" si="64"/>
        <v>50.535961542150602</v>
      </c>
      <c r="AU135" s="235">
        <f t="shared" si="65"/>
        <v>15.67409432377119</v>
      </c>
      <c r="AV135">
        <v>100</v>
      </c>
      <c r="AW135" s="235">
        <f t="shared" si="66"/>
        <v>62.766666666666666</v>
      </c>
      <c r="AX135" s="235">
        <f t="shared" si="67"/>
        <v>80.98511149172171</v>
      </c>
      <c r="AY135" s="235">
        <f t="shared" si="68"/>
        <v>44.548221841611614</v>
      </c>
      <c r="AZ135" s="235">
        <f t="shared" si="69"/>
        <v>2941.6666666666665</v>
      </c>
      <c r="BA135" s="235">
        <f t="shared" si="70"/>
        <v>4966.9775952753826</v>
      </c>
      <c r="BB135" s="235">
        <f t="shared" si="71"/>
        <v>916.35573805795048</v>
      </c>
      <c r="BC135" s="235">
        <f t="shared" si="72"/>
        <v>53.18888888888889</v>
      </c>
      <c r="BD135" s="235">
        <f t="shared" si="73"/>
        <v>112.67052202318322</v>
      </c>
      <c r="BE135" s="235">
        <f t="shared" si="74"/>
        <v>-6.2927442454054372</v>
      </c>
      <c r="BF135" s="235">
        <f t="shared" si="75"/>
        <v>3577.2222222222222</v>
      </c>
      <c r="BG135" s="235">
        <f t="shared" si="76"/>
        <v>5636.1265941907786</v>
      </c>
      <c r="BH135" s="235">
        <f t="shared" si="77"/>
        <v>1518.3178502536657</v>
      </c>
      <c r="BI135">
        <v>5000</v>
      </c>
      <c r="BJ135" s="235">
        <f t="shared" si="78"/>
        <v>0</v>
      </c>
      <c r="BK135" s="235">
        <f t="shared" si="79"/>
        <v>0</v>
      </c>
      <c r="BL135" s="235">
        <f t="shared" si="80"/>
        <v>0</v>
      </c>
      <c r="BO135" s="235">
        <f t="shared" si="81"/>
        <v>43992</v>
      </c>
      <c r="CD135" s="533">
        <f t="shared" si="82"/>
        <v>18.100000000000001</v>
      </c>
      <c r="CE135" s="102">
        <f t="shared" si="83"/>
        <v>7.5</v>
      </c>
      <c r="CF135" s="102">
        <f t="shared" si="84"/>
        <v>79</v>
      </c>
      <c r="CG135" s="102">
        <f t="shared" si="85"/>
        <v>7.84</v>
      </c>
      <c r="CH135" s="102">
        <f t="shared" si="86"/>
        <v>1.9</v>
      </c>
      <c r="CI135" s="102" t="str">
        <f t="shared" si="87"/>
        <v/>
      </c>
      <c r="CJ135" s="102">
        <f t="shared" si="88"/>
        <v>2.1</v>
      </c>
      <c r="CK135" s="102">
        <f t="shared" si="89"/>
        <v>24</v>
      </c>
      <c r="CL135" s="102">
        <f t="shared" si="90"/>
        <v>56</v>
      </c>
      <c r="CM135" s="102">
        <f t="shared" si="91"/>
        <v>1400</v>
      </c>
      <c r="CN135" s="102">
        <f t="shared" si="92"/>
        <v>55</v>
      </c>
      <c r="CO135" s="102">
        <f t="shared" si="93"/>
        <v>1900</v>
      </c>
      <c r="CP135" s="102" t="str">
        <f t="shared" si="94"/>
        <v/>
      </c>
    </row>
    <row r="136" spans="2:94">
      <c r="B136" t="s">
        <v>252</v>
      </c>
      <c r="C136" s="231">
        <v>44026</v>
      </c>
      <c r="D136" s="233">
        <v>16.8</v>
      </c>
      <c r="E136" s="233">
        <v>8.5</v>
      </c>
      <c r="F136" s="235">
        <v>88</v>
      </c>
      <c r="G136" s="233">
        <v>7.83</v>
      </c>
      <c r="H136" s="233">
        <v>0.5</v>
      </c>
      <c r="J136" s="233">
        <v>1</v>
      </c>
      <c r="K136" s="235">
        <v>31</v>
      </c>
      <c r="L136" s="235">
        <v>49</v>
      </c>
      <c r="M136" s="235">
        <v>1100</v>
      </c>
      <c r="N136" s="235">
        <v>24</v>
      </c>
      <c r="O136" s="235">
        <v>1600</v>
      </c>
      <c r="Q136">
        <v>2020</v>
      </c>
      <c r="R136">
        <v>7</v>
      </c>
      <c r="T136" s="226"/>
      <c r="U136" s="226"/>
      <c r="V136" s="226"/>
      <c r="W136" s="226"/>
      <c r="X136" s="226"/>
      <c r="Y136" s="226"/>
      <c r="Z136" s="226"/>
      <c r="AA136" s="233">
        <f t="shared" si="48"/>
        <v>10.332000000000001</v>
      </c>
      <c r="AB136" s="233">
        <f t="shared" si="49"/>
        <v>12.739174193481931</v>
      </c>
      <c r="AC136" s="233">
        <f t="shared" si="50"/>
        <v>7.9248258065180703</v>
      </c>
      <c r="AD136">
        <v>2.95</v>
      </c>
      <c r="AE136" s="233">
        <f t="shared" si="51"/>
        <v>7.9374301675977676</v>
      </c>
      <c r="AF136" s="233">
        <f t="shared" si="52"/>
        <v>8.0830597168027865</v>
      </c>
      <c r="AG136" s="233">
        <f t="shared" si="53"/>
        <v>7.7918006183927488</v>
      </c>
      <c r="AH136">
        <v>6.5</v>
      </c>
      <c r="AI136" s="233">
        <f t="shared" si="54"/>
        <v>3.3601117318435763</v>
      </c>
      <c r="AJ136" s="233">
        <f t="shared" si="55"/>
        <v>6.3851512410714601</v>
      </c>
      <c r="AK136" s="233">
        <f t="shared" si="56"/>
        <v>0.33507222261569281</v>
      </c>
      <c r="AL136">
        <v>7</v>
      </c>
      <c r="AM136" s="233">
        <f t="shared" si="57"/>
        <v>48.104347826086951</v>
      </c>
      <c r="AN136" s="233">
        <f t="shared" si="58"/>
        <v>52.277593646348265</v>
      </c>
      <c r="AO136" s="233">
        <f t="shared" si="59"/>
        <v>43.931102005825636</v>
      </c>
      <c r="AP136" s="233">
        <f t="shared" si="60"/>
        <v>2.0655865921787711</v>
      </c>
      <c r="AQ136" s="233">
        <f t="shared" si="61"/>
        <v>3.1665882132978602</v>
      </c>
      <c r="AR136" s="233">
        <f t="shared" si="62"/>
        <v>0.96458497105968211</v>
      </c>
      <c r="AS136" s="235">
        <f t="shared" si="63"/>
        <v>33.105027932960894</v>
      </c>
      <c r="AT136" s="235">
        <f t="shared" si="64"/>
        <v>50.535961542150602</v>
      </c>
      <c r="AU136" s="235">
        <f t="shared" si="65"/>
        <v>15.67409432377119</v>
      </c>
      <c r="AV136">
        <v>100</v>
      </c>
      <c r="AW136" s="235">
        <f t="shared" si="66"/>
        <v>62.766666666666666</v>
      </c>
      <c r="AX136" s="235">
        <f t="shared" si="67"/>
        <v>80.98511149172171</v>
      </c>
      <c r="AY136" s="235">
        <f t="shared" si="68"/>
        <v>44.548221841611614</v>
      </c>
      <c r="AZ136" s="235">
        <f t="shared" si="69"/>
        <v>2941.6666666666665</v>
      </c>
      <c r="BA136" s="235">
        <f t="shared" si="70"/>
        <v>4966.9775952753826</v>
      </c>
      <c r="BB136" s="235">
        <f t="shared" si="71"/>
        <v>916.35573805795048</v>
      </c>
      <c r="BC136" s="235">
        <f t="shared" si="72"/>
        <v>53.18888888888889</v>
      </c>
      <c r="BD136" s="235">
        <f t="shared" si="73"/>
        <v>112.67052202318322</v>
      </c>
      <c r="BE136" s="235">
        <f t="shared" si="74"/>
        <v>-6.2927442454054372</v>
      </c>
      <c r="BF136" s="235">
        <f t="shared" si="75"/>
        <v>3577.2222222222222</v>
      </c>
      <c r="BG136" s="235">
        <f t="shared" si="76"/>
        <v>5636.1265941907786</v>
      </c>
      <c r="BH136" s="235">
        <f t="shared" si="77"/>
        <v>1518.3178502536657</v>
      </c>
      <c r="BI136">
        <v>5000</v>
      </c>
      <c r="BJ136" s="235">
        <f t="shared" si="78"/>
        <v>0</v>
      </c>
      <c r="BK136" s="235">
        <f t="shared" si="79"/>
        <v>0</v>
      </c>
      <c r="BL136" s="235">
        <f t="shared" si="80"/>
        <v>0</v>
      </c>
      <c r="BO136" s="235">
        <f t="shared" si="81"/>
        <v>44026</v>
      </c>
      <c r="CD136" s="533">
        <f t="shared" si="82"/>
        <v>16.8</v>
      </c>
      <c r="CE136" s="102">
        <f t="shared" si="83"/>
        <v>8.5</v>
      </c>
      <c r="CF136" s="102">
        <f t="shared" si="84"/>
        <v>88</v>
      </c>
      <c r="CG136" s="102">
        <f t="shared" si="85"/>
        <v>7.83</v>
      </c>
      <c r="CH136" s="102">
        <f t="shared" si="86"/>
        <v>0.5</v>
      </c>
      <c r="CI136" s="102" t="str">
        <f t="shared" si="87"/>
        <v/>
      </c>
      <c r="CJ136" s="102">
        <f t="shared" si="88"/>
        <v>1</v>
      </c>
      <c r="CK136" s="102">
        <f t="shared" si="89"/>
        <v>31</v>
      </c>
      <c r="CL136" s="102">
        <f t="shared" si="90"/>
        <v>49</v>
      </c>
      <c r="CM136" s="102">
        <f t="shared" si="91"/>
        <v>1100</v>
      </c>
      <c r="CN136" s="102">
        <f t="shared" si="92"/>
        <v>24</v>
      </c>
      <c r="CO136" s="102">
        <f t="shared" si="93"/>
        <v>1600</v>
      </c>
      <c r="CP136" s="102" t="str">
        <f t="shared" si="94"/>
        <v/>
      </c>
    </row>
    <row r="137" spans="2:94">
      <c r="B137" t="s">
        <v>252</v>
      </c>
      <c r="C137" s="231">
        <v>44062</v>
      </c>
      <c r="D137" s="233">
        <v>21.5</v>
      </c>
      <c r="E137" s="233">
        <v>5</v>
      </c>
      <c r="F137" s="235">
        <v>56</v>
      </c>
      <c r="G137" s="233">
        <v>7.53</v>
      </c>
      <c r="H137" s="233">
        <v>1.3</v>
      </c>
      <c r="J137" s="233">
        <v>1.6</v>
      </c>
      <c r="K137" s="235">
        <v>43</v>
      </c>
      <c r="L137" s="235">
        <v>77</v>
      </c>
      <c r="M137" s="235">
        <v>500</v>
      </c>
      <c r="N137" s="235">
        <v>54</v>
      </c>
      <c r="O137" s="235">
        <v>1300</v>
      </c>
      <c r="Q137">
        <v>2020</v>
      </c>
      <c r="R137">
        <v>8</v>
      </c>
      <c r="T137" s="226"/>
      <c r="U137" s="226"/>
      <c r="V137" s="226"/>
      <c r="W137" s="226"/>
      <c r="X137" s="226"/>
      <c r="Y137" s="226"/>
      <c r="Z137" s="226"/>
      <c r="AA137" s="233">
        <f t="shared" si="48"/>
        <v>10.332000000000001</v>
      </c>
      <c r="AB137" s="233">
        <f t="shared" si="49"/>
        <v>12.739174193481931</v>
      </c>
      <c r="AC137" s="233">
        <f t="shared" si="50"/>
        <v>7.9248258065180703</v>
      </c>
      <c r="AD137">
        <v>2.95</v>
      </c>
      <c r="AE137" s="233">
        <f t="shared" si="51"/>
        <v>7.9374301675977676</v>
      </c>
      <c r="AF137" s="233">
        <f t="shared" si="52"/>
        <v>8.0830597168027865</v>
      </c>
      <c r="AG137" s="233">
        <f t="shared" si="53"/>
        <v>7.7918006183927488</v>
      </c>
      <c r="AH137">
        <v>6.5</v>
      </c>
      <c r="AI137" s="233">
        <f t="shared" si="54"/>
        <v>3.3601117318435763</v>
      </c>
      <c r="AJ137" s="233">
        <f t="shared" si="55"/>
        <v>6.3851512410714601</v>
      </c>
      <c r="AK137" s="233">
        <f t="shared" si="56"/>
        <v>0.33507222261569281</v>
      </c>
      <c r="AL137">
        <v>7</v>
      </c>
      <c r="AM137" s="233">
        <f t="shared" si="57"/>
        <v>48.104347826086951</v>
      </c>
      <c r="AN137" s="233">
        <f t="shared" si="58"/>
        <v>52.277593646348265</v>
      </c>
      <c r="AO137" s="233">
        <f t="shared" si="59"/>
        <v>43.931102005825636</v>
      </c>
      <c r="AP137" s="233">
        <f t="shared" si="60"/>
        <v>2.0655865921787711</v>
      </c>
      <c r="AQ137" s="233">
        <f t="shared" si="61"/>
        <v>3.1665882132978602</v>
      </c>
      <c r="AR137" s="233">
        <f t="shared" si="62"/>
        <v>0.96458497105968211</v>
      </c>
      <c r="AS137" s="235">
        <f t="shared" si="63"/>
        <v>33.105027932960894</v>
      </c>
      <c r="AT137" s="235">
        <f t="shared" si="64"/>
        <v>50.535961542150602</v>
      </c>
      <c r="AU137" s="235">
        <f t="shared" si="65"/>
        <v>15.67409432377119</v>
      </c>
      <c r="AV137">
        <v>100</v>
      </c>
      <c r="AW137" s="235">
        <f t="shared" si="66"/>
        <v>62.766666666666666</v>
      </c>
      <c r="AX137" s="235">
        <f t="shared" si="67"/>
        <v>80.98511149172171</v>
      </c>
      <c r="AY137" s="235">
        <f t="shared" si="68"/>
        <v>44.548221841611614</v>
      </c>
      <c r="AZ137" s="235">
        <f t="shared" si="69"/>
        <v>2941.6666666666665</v>
      </c>
      <c r="BA137" s="235">
        <f t="shared" si="70"/>
        <v>4966.9775952753826</v>
      </c>
      <c r="BB137" s="235">
        <f t="shared" si="71"/>
        <v>916.35573805795048</v>
      </c>
      <c r="BC137" s="235">
        <f t="shared" si="72"/>
        <v>53.18888888888889</v>
      </c>
      <c r="BD137" s="235">
        <f t="shared" si="73"/>
        <v>112.67052202318322</v>
      </c>
      <c r="BE137" s="235">
        <f t="shared" si="74"/>
        <v>-6.2927442454054372</v>
      </c>
      <c r="BF137" s="235">
        <f t="shared" si="75"/>
        <v>3577.2222222222222</v>
      </c>
      <c r="BG137" s="235">
        <f t="shared" si="76"/>
        <v>5636.1265941907786</v>
      </c>
      <c r="BH137" s="235">
        <f t="shared" si="77"/>
        <v>1518.3178502536657</v>
      </c>
      <c r="BI137">
        <v>5000</v>
      </c>
      <c r="BJ137" s="235">
        <f t="shared" si="78"/>
        <v>0</v>
      </c>
      <c r="BK137" s="235">
        <f t="shared" si="79"/>
        <v>0</v>
      </c>
      <c r="BL137" s="235">
        <f t="shared" si="80"/>
        <v>0</v>
      </c>
      <c r="BO137" s="235">
        <f t="shared" si="81"/>
        <v>44062</v>
      </c>
      <c r="CD137" s="533">
        <f t="shared" si="82"/>
        <v>21.5</v>
      </c>
      <c r="CE137" s="102">
        <f t="shared" si="83"/>
        <v>5</v>
      </c>
      <c r="CF137" s="102">
        <f t="shared" si="84"/>
        <v>56</v>
      </c>
      <c r="CG137" s="102">
        <f t="shared" si="85"/>
        <v>7.53</v>
      </c>
      <c r="CH137" s="102">
        <f t="shared" si="86"/>
        <v>1.3</v>
      </c>
      <c r="CI137" s="102" t="str">
        <f t="shared" si="87"/>
        <v/>
      </c>
      <c r="CJ137" s="102">
        <f t="shared" si="88"/>
        <v>1.6</v>
      </c>
      <c r="CK137" s="102">
        <f t="shared" si="89"/>
        <v>43</v>
      </c>
      <c r="CL137" s="102">
        <f t="shared" si="90"/>
        <v>77</v>
      </c>
      <c r="CM137" s="102">
        <f t="shared" si="91"/>
        <v>500</v>
      </c>
      <c r="CN137" s="102">
        <f t="shared" si="92"/>
        <v>54</v>
      </c>
      <c r="CO137" s="102">
        <f t="shared" si="93"/>
        <v>1300</v>
      </c>
      <c r="CP137" s="102" t="str">
        <f t="shared" si="94"/>
        <v/>
      </c>
    </row>
    <row r="138" spans="2:94">
      <c r="B138" t="s">
        <v>252</v>
      </c>
      <c r="C138" s="231">
        <v>44090</v>
      </c>
      <c r="D138" s="233">
        <v>16.600000000000001</v>
      </c>
      <c r="E138" s="233">
        <v>7.6</v>
      </c>
      <c r="F138" s="235">
        <v>78</v>
      </c>
      <c r="G138" s="233">
        <v>7.8</v>
      </c>
      <c r="H138" s="233">
        <v>0.67</v>
      </c>
      <c r="J138" s="233">
        <v>1.3</v>
      </c>
      <c r="K138" s="235">
        <v>34</v>
      </c>
      <c r="L138" s="235">
        <v>53</v>
      </c>
      <c r="M138" s="235">
        <v>1100</v>
      </c>
      <c r="N138" s="235">
        <v>24</v>
      </c>
      <c r="O138" s="235">
        <v>1600</v>
      </c>
      <c r="Q138">
        <v>2020</v>
      </c>
      <c r="R138">
        <v>9</v>
      </c>
      <c r="T138" s="226"/>
      <c r="U138" s="226"/>
      <c r="V138" s="226"/>
      <c r="W138" s="226"/>
      <c r="X138" s="226"/>
      <c r="Y138" s="226"/>
      <c r="Z138" s="226"/>
      <c r="AA138" s="233">
        <f t="shared" ref="AA138:AA189" si="95">$E$193</f>
        <v>10.332000000000001</v>
      </c>
      <c r="AB138" s="233">
        <f t="shared" ref="AB138:AB189" si="96">AA138+E$194</f>
        <v>12.739174193481931</v>
      </c>
      <c r="AC138" s="233">
        <f t="shared" ref="AC138:AC189" si="97">AA138-E$194</f>
        <v>7.9248258065180703</v>
      </c>
      <c r="AD138">
        <v>2.95</v>
      </c>
      <c r="AE138" s="233">
        <f t="shared" ref="AE138:AE189" si="98">$G$193</f>
        <v>7.9374301675977676</v>
      </c>
      <c r="AF138" s="233">
        <f t="shared" ref="AF138:AF189" si="99">AE138+G$194</f>
        <v>8.0830597168027865</v>
      </c>
      <c r="AG138" s="233">
        <f t="shared" ref="AG138:AG189" si="100">AE138-G$194</f>
        <v>7.7918006183927488</v>
      </c>
      <c r="AH138">
        <v>6.5</v>
      </c>
      <c r="AI138" s="233">
        <f t="shared" ref="AI138:AI189" si="101">$H$193</f>
        <v>3.3601117318435763</v>
      </c>
      <c r="AJ138" s="233">
        <f t="shared" ref="AJ138:AJ189" si="102">AI138+H$194</f>
        <v>6.3851512410714601</v>
      </c>
      <c r="AK138" s="233">
        <f t="shared" ref="AK138:AK189" si="103">AI138-H$194</f>
        <v>0.33507222261569281</v>
      </c>
      <c r="AL138">
        <v>7</v>
      </c>
      <c r="AM138" s="233">
        <f t="shared" ref="AM138:AM189" si="104">$I$193</f>
        <v>48.104347826086951</v>
      </c>
      <c r="AN138" s="233">
        <f t="shared" ref="AN138:AN189" si="105">AM138+I$194</f>
        <v>52.277593646348265</v>
      </c>
      <c r="AO138" s="233">
        <f t="shared" ref="AO138:AO189" si="106">AM138-I$194</f>
        <v>43.931102005825636</v>
      </c>
      <c r="AP138" s="233">
        <f t="shared" ref="AP138:AP189" si="107">$J$193</f>
        <v>2.0655865921787711</v>
      </c>
      <c r="AQ138" s="233">
        <f t="shared" ref="AQ138:AQ189" si="108">AP138+J$194</f>
        <v>3.1665882132978602</v>
      </c>
      <c r="AR138" s="233">
        <f t="shared" ref="AR138:AR189" si="109">AP138-J$194</f>
        <v>0.96458497105968211</v>
      </c>
      <c r="AS138" s="235">
        <f t="shared" ref="AS138:AS189" si="110">$K$193</f>
        <v>33.105027932960894</v>
      </c>
      <c r="AT138" s="235">
        <f t="shared" ref="AT138:AT189" si="111">AS138+$K$194</f>
        <v>50.535961542150602</v>
      </c>
      <c r="AU138" s="235">
        <f t="shared" ref="AU138:AU189" si="112">AS138-$K$194</f>
        <v>15.67409432377119</v>
      </c>
      <c r="AV138">
        <v>100</v>
      </c>
      <c r="AW138" s="235">
        <f t="shared" ref="AW138:AW189" si="113">$L$193</f>
        <v>62.766666666666666</v>
      </c>
      <c r="AX138" s="235">
        <f t="shared" ref="AX138:AX189" si="114">AW138+$L$194</f>
        <v>80.98511149172171</v>
      </c>
      <c r="AY138" s="235">
        <f t="shared" ref="AY138:AY189" si="115">AW138-$L$194</f>
        <v>44.548221841611614</v>
      </c>
      <c r="AZ138" s="235">
        <f t="shared" ref="AZ138:AZ189" si="116">$M$193</f>
        <v>2941.6666666666665</v>
      </c>
      <c r="BA138" s="235">
        <f t="shared" ref="BA138:BA189" si="117">AZ138+$M$194</f>
        <v>4966.9775952753826</v>
      </c>
      <c r="BB138" s="235">
        <f t="shared" ref="BB138:BB189" si="118">AZ138-$M$194</f>
        <v>916.35573805795048</v>
      </c>
      <c r="BC138" s="235">
        <f t="shared" ref="BC138:BC189" si="119">$N$193</f>
        <v>53.18888888888889</v>
      </c>
      <c r="BD138" s="235">
        <f t="shared" ref="BD138:BD189" si="120">BC138+$N$194</f>
        <v>112.67052202318322</v>
      </c>
      <c r="BE138" s="235">
        <f t="shared" ref="BE138:BE189" si="121">BC138-$N$194</f>
        <v>-6.2927442454054372</v>
      </c>
      <c r="BF138" s="235">
        <f t="shared" ref="BF138:BF189" si="122">$O$193</f>
        <v>3577.2222222222222</v>
      </c>
      <c r="BG138" s="235">
        <f t="shared" ref="BG138:BG189" si="123">BF138+$O$194</f>
        <v>5636.1265941907786</v>
      </c>
      <c r="BH138" s="235">
        <f t="shared" ref="BH138:BH189" si="124">BF138-$O$194</f>
        <v>1518.3178502536657</v>
      </c>
      <c r="BI138">
        <v>5000</v>
      </c>
      <c r="BJ138" s="235">
        <f t="shared" ref="BJ138:BJ189" si="125">$P$193</f>
        <v>0</v>
      </c>
      <c r="BK138" s="235">
        <f t="shared" ref="BK138:BK189" si="126">BJ138+$P$194</f>
        <v>0</v>
      </c>
      <c r="BL138" s="235">
        <f t="shared" ref="BL138:BL189" si="127">BJ138-$P$194</f>
        <v>0</v>
      </c>
      <c r="BO138" s="235">
        <f t="shared" ref="BO138:BO189" si="128">C138</f>
        <v>44090</v>
      </c>
      <c r="CD138" s="533">
        <f t="shared" ref="CD138:CD189" si="129">IF(D138="","",IF(OR(LEFT(D138,1)="&lt;",LEFT(D138,1)="&gt;"),VALUE(MID(D138,2,3)),D138))</f>
        <v>16.600000000000001</v>
      </c>
      <c r="CE138" s="102">
        <f t="shared" ref="CE138:CE189" si="130">IF(E138="","",IF(OR(LEFT(E138,1)="&lt;",LEFT(E138,1)="&gt;"),VALUE(MID(E138,2,3)),E138))</f>
        <v>7.6</v>
      </c>
      <c r="CF138" s="102">
        <f t="shared" ref="CF138:CF189" si="131">IF(F138="","",IF(OR(LEFT(F138,1)="&lt;",LEFT(F138,1)="&gt;"),VALUE(MID(F138,2,3)),F138))</f>
        <v>78</v>
      </c>
      <c r="CG138" s="102">
        <f t="shared" ref="CG138:CG189" si="132">IF(G138="","",IF(OR(LEFT(G138,1)="&lt;",LEFT(G138,1)="&gt;"),VALUE(MID(G138,2,3)),G138))</f>
        <v>7.8</v>
      </c>
      <c r="CH138" s="102">
        <f t="shared" ref="CH138:CH189" si="133">IF(H138="","",IF(OR(LEFT(H138,1)="&lt;",LEFT(H138,1)="&gt;"),VALUE(MID(H138,2,3)),H138))</f>
        <v>0.67</v>
      </c>
      <c r="CI138" s="102" t="str">
        <f t="shared" ref="CI138:CI189" si="134">IF(I138="","",IF(OR(LEFT(I138,1)="&lt;",LEFT(I138,1)="&gt;"),VALUE(MID(I138,2,3)),I138))</f>
        <v/>
      </c>
      <c r="CJ138" s="102">
        <f t="shared" ref="CJ138:CJ189" si="135">IF(J138="","",IF(OR(LEFT(J138,1)="&lt;",LEFT(J138,1)="&gt;"),VALUE(MID(J138,2,3)),J138))</f>
        <v>1.3</v>
      </c>
      <c r="CK138" s="102">
        <f t="shared" ref="CK138:CK189" si="136">IF(K138="","",IF(OR(LEFT(K138,1)="&lt;",LEFT(K138,1)="&gt;"),VALUE(MID(K138,2,3)),K138))</f>
        <v>34</v>
      </c>
      <c r="CL138" s="102">
        <f t="shared" ref="CL138:CL189" si="137">IF(L138="","",IF(OR(LEFT(L138,1)="&lt;",LEFT(L138,1)="&gt;"),VALUE(MID(L138,2,3)),L138))</f>
        <v>53</v>
      </c>
      <c r="CM138" s="102">
        <f t="shared" ref="CM138:CM189" si="138">IF(M138="","",IF(OR(LEFT(M138,1)="&lt;",LEFT(M138,1)="&gt;"),VALUE(MID(M138,2,3)),M138))</f>
        <v>1100</v>
      </c>
      <c r="CN138" s="102">
        <f t="shared" ref="CN138:CN189" si="139">IF(N138="","",IF(OR(LEFT(N138,1)="&lt;",LEFT(N138,1)="&gt;"),VALUE(MID(N138,2,3)),N138))</f>
        <v>24</v>
      </c>
      <c r="CO138" s="102">
        <f t="shared" ref="CO138:CO189" si="140">IF(O138="","",IF(OR(LEFT(O138,1)="&lt;",LEFT(O138,1)="&gt;"),VALUE(MID(O138,2,3)),O138))</f>
        <v>1600</v>
      </c>
      <c r="CP138" s="102" t="str">
        <f t="shared" ref="CP138:CP189" si="141">IF(P138="","",IF(OR(LEFT(P138,1)="&lt;",LEFT(P138,1)="&gt;"),VALUE(MID(P138,2,3)),P138))</f>
        <v/>
      </c>
    </row>
    <row r="139" spans="2:94">
      <c r="B139" t="s">
        <v>252</v>
      </c>
      <c r="C139" s="231">
        <v>44117</v>
      </c>
      <c r="D139" s="233">
        <v>11.4</v>
      </c>
      <c r="E139" s="233">
        <v>8.1</v>
      </c>
      <c r="F139" s="235">
        <v>74</v>
      </c>
      <c r="G139" s="233">
        <v>7.65</v>
      </c>
      <c r="H139" s="233">
        <v>0.64</v>
      </c>
      <c r="J139" s="233">
        <v>0.9</v>
      </c>
      <c r="K139" s="235">
        <v>47</v>
      </c>
      <c r="L139" s="235">
        <v>66</v>
      </c>
      <c r="M139" s="235">
        <v>3000</v>
      </c>
      <c r="N139" s="235">
        <v>30</v>
      </c>
      <c r="O139" s="235">
        <v>3600</v>
      </c>
      <c r="Q139">
        <v>2020</v>
      </c>
      <c r="R139">
        <v>10</v>
      </c>
      <c r="T139" s="226"/>
      <c r="U139" s="226"/>
      <c r="V139" s="226"/>
      <c r="W139" s="226"/>
      <c r="X139" s="226"/>
      <c r="Y139" s="226"/>
      <c r="Z139" s="226"/>
      <c r="AA139" s="233">
        <f t="shared" si="95"/>
        <v>10.332000000000001</v>
      </c>
      <c r="AB139" s="233">
        <f t="shared" si="96"/>
        <v>12.739174193481931</v>
      </c>
      <c r="AC139" s="233">
        <f t="shared" si="97"/>
        <v>7.9248258065180703</v>
      </c>
      <c r="AD139">
        <v>2.95</v>
      </c>
      <c r="AE139" s="233">
        <f t="shared" si="98"/>
        <v>7.9374301675977676</v>
      </c>
      <c r="AF139" s="233">
        <f t="shared" si="99"/>
        <v>8.0830597168027865</v>
      </c>
      <c r="AG139" s="233">
        <f t="shared" si="100"/>
        <v>7.7918006183927488</v>
      </c>
      <c r="AH139">
        <v>6.5</v>
      </c>
      <c r="AI139" s="233">
        <f t="shared" si="101"/>
        <v>3.3601117318435763</v>
      </c>
      <c r="AJ139" s="233">
        <f t="shared" si="102"/>
        <v>6.3851512410714601</v>
      </c>
      <c r="AK139" s="233">
        <f t="shared" si="103"/>
        <v>0.33507222261569281</v>
      </c>
      <c r="AL139">
        <v>7</v>
      </c>
      <c r="AM139" s="233">
        <f t="shared" si="104"/>
        <v>48.104347826086951</v>
      </c>
      <c r="AN139" s="233">
        <f t="shared" si="105"/>
        <v>52.277593646348265</v>
      </c>
      <c r="AO139" s="233">
        <f t="shared" si="106"/>
        <v>43.931102005825636</v>
      </c>
      <c r="AP139" s="233">
        <f t="shared" si="107"/>
        <v>2.0655865921787711</v>
      </c>
      <c r="AQ139" s="233">
        <f t="shared" si="108"/>
        <v>3.1665882132978602</v>
      </c>
      <c r="AR139" s="233">
        <f t="shared" si="109"/>
        <v>0.96458497105968211</v>
      </c>
      <c r="AS139" s="235">
        <f t="shared" si="110"/>
        <v>33.105027932960894</v>
      </c>
      <c r="AT139" s="235">
        <f t="shared" si="111"/>
        <v>50.535961542150602</v>
      </c>
      <c r="AU139" s="235">
        <f t="shared" si="112"/>
        <v>15.67409432377119</v>
      </c>
      <c r="AV139">
        <v>100</v>
      </c>
      <c r="AW139" s="235">
        <f t="shared" si="113"/>
        <v>62.766666666666666</v>
      </c>
      <c r="AX139" s="235">
        <f t="shared" si="114"/>
        <v>80.98511149172171</v>
      </c>
      <c r="AY139" s="235">
        <f t="shared" si="115"/>
        <v>44.548221841611614</v>
      </c>
      <c r="AZ139" s="235">
        <f t="shared" si="116"/>
        <v>2941.6666666666665</v>
      </c>
      <c r="BA139" s="235">
        <f t="shared" si="117"/>
        <v>4966.9775952753826</v>
      </c>
      <c r="BB139" s="235">
        <f t="shared" si="118"/>
        <v>916.35573805795048</v>
      </c>
      <c r="BC139" s="235">
        <f t="shared" si="119"/>
        <v>53.18888888888889</v>
      </c>
      <c r="BD139" s="235">
        <f t="shared" si="120"/>
        <v>112.67052202318322</v>
      </c>
      <c r="BE139" s="235">
        <f t="shared" si="121"/>
        <v>-6.2927442454054372</v>
      </c>
      <c r="BF139" s="235">
        <f t="shared" si="122"/>
        <v>3577.2222222222222</v>
      </c>
      <c r="BG139" s="235">
        <f t="shared" si="123"/>
        <v>5636.1265941907786</v>
      </c>
      <c r="BH139" s="235">
        <f t="shared" si="124"/>
        <v>1518.3178502536657</v>
      </c>
      <c r="BI139">
        <v>5000</v>
      </c>
      <c r="BJ139" s="235">
        <f t="shared" si="125"/>
        <v>0</v>
      </c>
      <c r="BK139" s="235">
        <f t="shared" si="126"/>
        <v>0</v>
      </c>
      <c r="BL139" s="235">
        <f t="shared" si="127"/>
        <v>0</v>
      </c>
      <c r="BO139" s="235">
        <f t="shared" si="128"/>
        <v>44117</v>
      </c>
      <c r="CD139" s="533">
        <f t="shared" si="129"/>
        <v>11.4</v>
      </c>
      <c r="CE139" s="102">
        <f t="shared" si="130"/>
        <v>8.1</v>
      </c>
      <c r="CF139" s="102">
        <f t="shared" si="131"/>
        <v>74</v>
      </c>
      <c r="CG139" s="102">
        <f t="shared" si="132"/>
        <v>7.65</v>
      </c>
      <c r="CH139" s="102">
        <f t="shared" si="133"/>
        <v>0.64</v>
      </c>
      <c r="CI139" s="102" t="str">
        <f t="shared" si="134"/>
        <v/>
      </c>
      <c r="CJ139" s="102">
        <f t="shared" si="135"/>
        <v>0.9</v>
      </c>
      <c r="CK139" s="102">
        <f t="shared" si="136"/>
        <v>47</v>
      </c>
      <c r="CL139" s="102">
        <f t="shared" si="137"/>
        <v>66</v>
      </c>
      <c r="CM139" s="102">
        <f t="shared" si="138"/>
        <v>3000</v>
      </c>
      <c r="CN139" s="102">
        <f t="shared" si="139"/>
        <v>30</v>
      </c>
      <c r="CO139" s="102">
        <f t="shared" si="140"/>
        <v>3600</v>
      </c>
      <c r="CP139" s="102" t="str">
        <f t="shared" si="141"/>
        <v/>
      </c>
    </row>
    <row r="140" spans="2:94">
      <c r="B140" t="s">
        <v>252</v>
      </c>
      <c r="C140" s="231">
        <v>44153</v>
      </c>
      <c r="D140" s="233">
        <v>9.6</v>
      </c>
      <c r="E140" s="233">
        <v>9.4</v>
      </c>
      <c r="F140" s="235">
        <v>83</v>
      </c>
      <c r="G140" s="233">
        <v>7.92</v>
      </c>
      <c r="H140" s="233">
        <v>1.5</v>
      </c>
      <c r="J140" s="233">
        <v>2</v>
      </c>
      <c r="K140" s="235">
        <v>36</v>
      </c>
      <c r="L140" s="235">
        <v>57</v>
      </c>
      <c r="M140" s="235">
        <v>3900</v>
      </c>
      <c r="N140" s="235">
        <v>26</v>
      </c>
      <c r="O140" s="235">
        <v>4500</v>
      </c>
      <c r="Q140">
        <v>2020</v>
      </c>
      <c r="R140">
        <v>11</v>
      </c>
      <c r="T140" s="226"/>
      <c r="U140" s="226"/>
      <c r="V140" s="226"/>
      <c r="W140" s="226"/>
      <c r="X140" s="226"/>
      <c r="Y140" s="226"/>
      <c r="Z140" s="226"/>
      <c r="AA140" s="233">
        <f t="shared" si="95"/>
        <v>10.332000000000001</v>
      </c>
      <c r="AB140" s="233">
        <f t="shared" si="96"/>
        <v>12.739174193481931</v>
      </c>
      <c r="AC140" s="233">
        <f t="shared" si="97"/>
        <v>7.9248258065180703</v>
      </c>
      <c r="AD140">
        <v>2.95</v>
      </c>
      <c r="AE140" s="233">
        <f t="shared" si="98"/>
        <v>7.9374301675977676</v>
      </c>
      <c r="AF140" s="233">
        <f t="shared" si="99"/>
        <v>8.0830597168027865</v>
      </c>
      <c r="AG140" s="233">
        <f t="shared" si="100"/>
        <v>7.7918006183927488</v>
      </c>
      <c r="AH140">
        <v>6.5</v>
      </c>
      <c r="AI140" s="233">
        <f t="shared" si="101"/>
        <v>3.3601117318435763</v>
      </c>
      <c r="AJ140" s="233">
        <f t="shared" si="102"/>
        <v>6.3851512410714601</v>
      </c>
      <c r="AK140" s="233">
        <f t="shared" si="103"/>
        <v>0.33507222261569281</v>
      </c>
      <c r="AL140">
        <v>7</v>
      </c>
      <c r="AM140" s="233">
        <f t="shared" si="104"/>
        <v>48.104347826086951</v>
      </c>
      <c r="AN140" s="233">
        <f t="shared" si="105"/>
        <v>52.277593646348265</v>
      </c>
      <c r="AO140" s="233">
        <f t="shared" si="106"/>
        <v>43.931102005825636</v>
      </c>
      <c r="AP140" s="233">
        <f t="shared" si="107"/>
        <v>2.0655865921787711</v>
      </c>
      <c r="AQ140" s="233">
        <f t="shared" si="108"/>
        <v>3.1665882132978602</v>
      </c>
      <c r="AR140" s="233">
        <f t="shared" si="109"/>
        <v>0.96458497105968211</v>
      </c>
      <c r="AS140" s="235">
        <f t="shared" si="110"/>
        <v>33.105027932960894</v>
      </c>
      <c r="AT140" s="235">
        <f t="shared" si="111"/>
        <v>50.535961542150602</v>
      </c>
      <c r="AU140" s="235">
        <f t="shared" si="112"/>
        <v>15.67409432377119</v>
      </c>
      <c r="AV140">
        <v>100</v>
      </c>
      <c r="AW140" s="235">
        <f t="shared" si="113"/>
        <v>62.766666666666666</v>
      </c>
      <c r="AX140" s="235">
        <f t="shared" si="114"/>
        <v>80.98511149172171</v>
      </c>
      <c r="AY140" s="235">
        <f t="shared" si="115"/>
        <v>44.548221841611614</v>
      </c>
      <c r="AZ140" s="235">
        <f t="shared" si="116"/>
        <v>2941.6666666666665</v>
      </c>
      <c r="BA140" s="235">
        <f t="shared" si="117"/>
        <v>4966.9775952753826</v>
      </c>
      <c r="BB140" s="235">
        <f t="shared" si="118"/>
        <v>916.35573805795048</v>
      </c>
      <c r="BC140" s="235">
        <f t="shared" si="119"/>
        <v>53.18888888888889</v>
      </c>
      <c r="BD140" s="235">
        <f t="shared" si="120"/>
        <v>112.67052202318322</v>
      </c>
      <c r="BE140" s="235">
        <f t="shared" si="121"/>
        <v>-6.2927442454054372</v>
      </c>
      <c r="BF140" s="235">
        <f t="shared" si="122"/>
        <v>3577.2222222222222</v>
      </c>
      <c r="BG140" s="235">
        <f t="shared" si="123"/>
        <v>5636.1265941907786</v>
      </c>
      <c r="BH140" s="235">
        <f t="shared" si="124"/>
        <v>1518.3178502536657</v>
      </c>
      <c r="BI140">
        <v>5000</v>
      </c>
      <c r="BJ140" s="235">
        <f t="shared" si="125"/>
        <v>0</v>
      </c>
      <c r="BK140" s="235">
        <f t="shared" si="126"/>
        <v>0</v>
      </c>
      <c r="BL140" s="235">
        <f t="shared" si="127"/>
        <v>0</v>
      </c>
      <c r="BO140" s="235">
        <f t="shared" si="128"/>
        <v>44153</v>
      </c>
      <c r="CD140" s="533">
        <f t="shared" si="129"/>
        <v>9.6</v>
      </c>
      <c r="CE140" s="102">
        <f t="shared" si="130"/>
        <v>9.4</v>
      </c>
      <c r="CF140" s="102">
        <f t="shared" si="131"/>
        <v>83</v>
      </c>
      <c r="CG140" s="102">
        <f t="shared" si="132"/>
        <v>7.92</v>
      </c>
      <c r="CH140" s="102">
        <f t="shared" si="133"/>
        <v>1.5</v>
      </c>
      <c r="CI140" s="102" t="str">
        <f t="shared" si="134"/>
        <v/>
      </c>
      <c r="CJ140" s="102">
        <f t="shared" si="135"/>
        <v>2</v>
      </c>
      <c r="CK140" s="102">
        <f t="shared" si="136"/>
        <v>36</v>
      </c>
      <c r="CL140" s="102">
        <f t="shared" si="137"/>
        <v>57</v>
      </c>
      <c r="CM140" s="102">
        <f t="shared" si="138"/>
        <v>3900</v>
      </c>
      <c r="CN140" s="102">
        <f t="shared" si="139"/>
        <v>26</v>
      </c>
      <c r="CO140" s="102">
        <f t="shared" si="140"/>
        <v>4500</v>
      </c>
      <c r="CP140" s="102" t="str">
        <f t="shared" si="141"/>
        <v/>
      </c>
    </row>
    <row r="141" spans="2:94">
      <c r="B141" t="s">
        <v>252</v>
      </c>
      <c r="C141" s="231">
        <v>44180</v>
      </c>
      <c r="D141" s="233">
        <v>5</v>
      </c>
      <c r="E141" s="233">
        <v>11.8</v>
      </c>
      <c r="F141" s="235">
        <v>93</v>
      </c>
      <c r="G141" s="233">
        <v>8</v>
      </c>
      <c r="H141" s="233">
        <v>2.7</v>
      </c>
      <c r="J141" s="233">
        <v>2</v>
      </c>
      <c r="K141" s="235">
        <v>28</v>
      </c>
      <c r="L141" s="235">
        <v>60</v>
      </c>
      <c r="M141" s="235">
        <v>3200</v>
      </c>
      <c r="N141" s="235">
        <v>50</v>
      </c>
      <c r="O141" s="235">
        <v>4000</v>
      </c>
      <c r="Q141">
        <v>2020</v>
      </c>
      <c r="R141">
        <v>12</v>
      </c>
      <c r="T141" s="226"/>
      <c r="U141" s="226"/>
      <c r="V141" s="226"/>
      <c r="W141" s="226"/>
      <c r="X141" s="226"/>
      <c r="Y141" s="226"/>
      <c r="Z141" s="226"/>
      <c r="AA141" s="233">
        <f t="shared" si="95"/>
        <v>10.332000000000001</v>
      </c>
      <c r="AB141" s="233">
        <f t="shared" si="96"/>
        <v>12.739174193481931</v>
      </c>
      <c r="AC141" s="233">
        <f t="shared" si="97"/>
        <v>7.9248258065180703</v>
      </c>
      <c r="AD141">
        <v>2.95</v>
      </c>
      <c r="AE141" s="233">
        <f t="shared" si="98"/>
        <v>7.9374301675977676</v>
      </c>
      <c r="AF141" s="233">
        <f t="shared" si="99"/>
        <v>8.0830597168027865</v>
      </c>
      <c r="AG141" s="233">
        <f t="shared" si="100"/>
        <v>7.7918006183927488</v>
      </c>
      <c r="AH141">
        <v>6.5</v>
      </c>
      <c r="AI141" s="233">
        <f t="shared" si="101"/>
        <v>3.3601117318435763</v>
      </c>
      <c r="AJ141" s="233">
        <f t="shared" si="102"/>
        <v>6.3851512410714601</v>
      </c>
      <c r="AK141" s="233">
        <f t="shared" si="103"/>
        <v>0.33507222261569281</v>
      </c>
      <c r="AL141">
        <v>7</v>
      </c>
      <c r="AM141" s="233">
        <f t="shared" si="104"/>
        <v>48.104347826086951</v>
      </c>
      <c r="AN141" s="233">
        <f t="shared" si="105"/>
        <v>52.277593646348265</v>
      </c>
      <c r="AO141" s="233">
        <f t="shared" si="106"/>
        <v>43.931102005825636</v>
      </c>
      <c r="AP141" s="233">
        <f t="shared" si="107"/>
        <v>2.0655865921787711</v>
      </c>
      <c r="AQ141" s="233">
        <f t="shared" si="108"/>
        <v>3.1665882132978602</v>
      </c>
      <c r="AR141" s="233">
        <f t="shared" si="109"/>
        <v>0.96458497105968211</v>
      </c>
      <c r="AS141" s="235">
        <f t="shared" si="110"/>
        <v>33.105027932960894</v>
      </c>
      <c r="AT141" s="235">
        <f t="shared" si="111"/>
        <v>50.535961542150602</v>
      </c>
      <c r="AU141" s="235">
        <f t="shared" si="112"/>
        <v>15.67409432377119</v>
      </c>
      <c r="AV141">
        <v>100</v>
      </c>
      <c r="AW141" s="235">
        <f t="shared" si="113"/>
        <v>62.766666666666666</v>
      </c>
      <c r="AX141" s="235">
        <f t="shared" si="114"/>
        <v>80.98511149172171</v>
      </c>
      <c r="AY141" s="235">
        <f t="shared" si="115"/>
        <v>44.548221841611614</v>
      </c>
      <c r="AZ141" s="235">
        <f t="shared" si="116"/>
        <v>2941.6666666666665</v>
      </c>
      <c r="BA141" s="235">
        <f t="shared" si="117"/>
        <v>4966.9775952753826</v>
      </c>
      <c r="BB141" s="235">
        <f t="shared" si="118"/>
        <v>916.35573805795048</v>
      </c>
      <c r="BC141" s="235">
        <f t="shared" si="119"/>
        <v>53.18888888888889</v>
      </c>
      <c r="BD141" s="235">
        <f t="shared" si="120"/>
        <v>112.67052202318322</v>
      </c>
      <c r="BE141" s="235">
        <f t="shared" si="121"/>
        <v>-6.2927442454054372</v>
      </c>
      <c r="BF141" s="235">
        <f t="shared" si="122"/>
        <v>3577.2222222222222</v>
      </c>
      <c r="BG141" s="235">
        <f t="shared" si="123"/>
        <v>5636.1265941907786</v>
      </c>
      <c r="BH141" s="235">
        <f t="shared" si="124"/>
        <v>1518.3178502536657</v>
      </c>
      <c r="BI141">
        <v>5000</v>
      </c>
      <c r="BJ141" s="235">
        <f t="shared" si="125"/>
        <v>0</v>
      </c>
      <c r="BK141" s="235">
        <f t="shared" si="126"/>
        <v>0</v>
      </c>
      <c r="BL141" s="235">
        <f t="shared" si="127"/>
        <v>0</v>
      </c>
      <c r="BO141" s="235">
        <f t="shared" si="128"/>
        <v>44180</v>
      </c>
      <c r="CD141" s="533">
        <f t="shared" si="129"/>
        <v>5</v>
      </c>
      <c r="CE141" s="102">
        <f t="shared" si="130"/>
        <v>11.8</v>
      </c>
      <c r="CF141" s="102">
        <f t="shared" si="131"/>
        <v>93</v>
      </c>
      <c r="CG141" s="102">
        <f t="shared" si="132"/>
        <v>8</v>
      </c>
      <c r="CH141" s="102">
        <f t="shared" si="133"/>
        <v>2.7</v>
      </c>
      <c r="CI141" s="102" t="str">
        <f t="shared" si="134"/>
        <v/>
      </c>
      <c r="CJ141" s="102">
        <f t="shared" si="135"/>
        <v>2</v>
      </c>
      <c r="CK141" s="102">
        <f t="shared" si="136"/>
        <v>28</v>
      </c>
      <c r="CL141" s="102">
        <f t="shared" si="137"/>
        <v>60</v>
      </c>
      <c r="CM141" s="102">
        <f t="shared" si="138"/>
        <v>3200</v>
      </c>
      <c r="CN141" s="102">
        <f t="shared" si="139"/>
        <v>50</v>
      </c>
      <c r="CO141" s="102">
        <f t="shared" si="140"/>
        <v>4000</v>
      </c>
      <c r="CP141" s="102" t="str">
        <f t="shared" si="141"/>
        <v/>
      </c>
    </row>
    <row r="142" spans="2:94">
      <c r="B142" t="s">
        <v>252</v>
      </c>
      <c r="C142" s="231">
        <v>44222</v>
      </c>
      <c r="D142" s="233">
        <v>2</v>
      </c>
      <c r="E142" s="233">
        <v>13.4</v>
      </c>
      <c r="F142" s="235">
        <v>97</v>
      </c>
      <c r="G142" s="233">
        <v>8</v>
      </c>
      <c r="H142" s="233">
        <v>8</v>
      </c>
      <c r="I142" s="233">
        <v>46.4</v>
      </c>
      <c r="J142" s="233">
        <v>1.8</v>
      </c>
      <c r="K142" s="235">
        <v>43</v>
      </c>
      <c r="L142" s="235">
        <v>83</v>
      </c>
      <c r="M142" s="235">
        <v>5700</v>
      </c>
      <c r="N142" s="235">
        <v>77</v>
      </c>
      <c r="O142" s="235">
        <v>6800</v>
      </c>
      <c r="Q142">
        <v>2021</v>
      </c>
      <c r="R142">
        <v>1</v>
      </c>
      <c r="T142" s="226"/>
      <c r="U142" s="226"/>
      <c r="V142" s="226"/>
      <c r="W142" s="226"/>
      <c r="X142" s="226"/>
      <c r="Y142" s="226"/>
      <c r="Z142" s="226"/>
      <c r="AA142" s="233">
        <f t="shared" si="95"/>
        <v>10.332000000000001</v>
      </c>
      <c r="AB142" s="233">
        <f t="shared" si="96"/>
        <v>12.739174193481931</v>
      </c>
      <c r="AC142" s="233">
        <f t="shared" si="97"/>
        <v>7.9248258065180703</v>
      </c>
      <c r="AD142">
        <v>2.95</v>
      </c>
      <c r="AE142" s="233">
        <f t="shared" si="98"/>
        <v>7.9374301675977676</v>
      </c>
      <c r="AF142" s="233">
        <f t="shared" si="99"/>
        <v>8.0830597168027865</v>
      </c>
      <c r="AG142" s="233">
        <f t="shared" si="100"/>
        <v>7.7918006183927488</v>
      </c>
      <c r="AH142">
        <v>6.5</v>
      </c>
      <c r="AI142" s="233">
        <f t="shared" si="101"/>
        <v>3.3601117318435763</v>
      </c>
      <c r="AJ142" s="233">
        <f t="shared" si="102"/>
        <v>6.3851512410714601</v>
      </c>
      <c r="AK142" s="233">
        <f t="shared" si="103"/>
        <v>0.33507222261569281</v>
      </c>
      <c r="AL142">
        <v>7</v>
      </c>
      <c r="AM142" s="233">
        <f t="shared" si="104"/>
        <v>48.104347826086951</v>
      </c>
      <c r="AN142" s="233">
        <f t="shared" si="105"/>
        <v>52.277593646348265</v>
      </c>
      <c r="AO142" s="233">
        <f t="shared" si="106"/>
        <v>43.931102005825636</v>
      </c>
      <c r="AP142" s="233">
        <f t="shared" si="107"/>
        <v>2.0655865921787711</v>
      </c>
      <c r="AQ142" s="233">
        <f t="shared" si="108"/>
        <v>3.1665882132978602</v>
      </c>
      <c r="AR142" s="233">
        <f t="shared" si="109"/>
        <v>0.96458497105968211</v>
      </c>
      <c r="AS142" s="235">
        <f t="shared" si="110"/>
        <v>33.105027932960894</v>
      </c>
      <c r="AT142" s="235">
        <f t="shared" si="111"/>
        <v>50.535961542150602</v>
      </c>
      <c r="AU142" s="235">
        <f t="shared" si="112"/>
        <v>15.67409432377119</v>
      </c>
      <c r="AV142">
        <v>100</v>
      </c>
      <c r="AW142" s="235">
        <f t="shared" si="113"/>
        <v>62.766666666666666</v>
      </c>
      <c r="AX142" s="235">
        <f t="shared" si="114"/>
        <v>80.98511149172171</v>
      </c>
      <c r="AY142" s="235">
        <f t="shared" si="115"/>
        <v>44.548221841611614</v>
      </c>
      <c r="AZ142" s="235">
        <f t="shared" si="116"/>
        <v>2941.6666666666665</v>
      </c>
      <c r="BA142" s="235">
        <f t="shared" si="117"/>
        <v>4966.9775952753826</v>
      </c>
      <c r="BB142" s="235">
        <f t="shared" si="118"/>
        <v>916.35573805795048</v>
      </c>
      <c r="BC142" s="235">
        <f t="shared" si="119"/>
        <v>53.18888888888889</v>
      </c>
      <c r="BD142" s="235">
        <f t="shared" si="120"/>
        <v>112.67052202318322</v>
      </c>
      <c r="BE142" s="235">
        <f t="shared" si="121"/>
        <v>-6.2927442454054372</v>
      </c>
      <c r="BF142" s="235">
        <f t="shared" si="122"/>
        <v>3577.2222222222222</v>
      </c>
      <c r="BG142" s="235">
        <f t="shared" si="123"/>
        <v>5636.1265941907786</v>
      </c>
      <c r="BH142" s="235">
        <f t="shared" si="124"/>
        <v>1518.3178502536657</v>
      </c>
      <c r="BI142">
        <v>5000</v>
      </c>
      <c r="BJ142" s="235">
        <f t="shared" si="125"/>
        <v>0</v>
      </c>
      <c r="BK142" s="235">
        <f t="shared" si="126"/>
        <v>0</v>
      </c>
      <c r="BL142" s="235">
        <f t="shared" si="127"/>
        <v>0</v>
      </c>
      <c r="BO142" s="235">
        <f t="shared" si="128"/>
        <v>44222</v>
      </c>
      <c r="CD142" s="533">
        <f t="shared" si="129"/>
        <v>2</v>
      </c>
      <c r="CE142" s="102">
        <f t="shared" si="130"/>
        <v>13.4</v>
      </c>
      <c r="CF142" s="102">
        <f t="shared" si="131"/>
        <v>97</v>
      </c>
      <c r="CG142" s="102">
        <f t="shared" si="132"/>
        <v>8</v>
      </c>
      <c r="CH142" s="102">
        <f t="shared" si="133"/>
        <v>8</v>
      </c>
      <c r="CI142" s="102">
        <f t="shared" si="134"/>
        <v>46.4</v>
      </c>
      <c r="CJ142" s="102">
        <f t="shared" si="135"/>
        <v>1.8</v>
      </c>
      <c r="CK142" s="102">
        <f t="shared" si="136"/>
        <v>43</v>
      </c>
      <c r="CL142" s="102">
        <f t="shared" si="137"/>
        <v>83</v>
      </c>
      <c r="CM142" s="102">
        <f t="shared" si="138"/>
        <v>5700</v>
      </c>
      <c r="CN142" s="102">
        <f t="shared" si="139"/>
        <v>77</v>
      </c>
      <c r="CO142" s="102">
        <f t="shared" si="140"/>
        <v>6800</v>
      </c>
      <c r="CP142" s="102" t="str">
        <f t="shared" si="141"/>
        <v/>
      </c>
    </row>
    <row r="143" spans="2:94">
      <c r="B143" t="s">
        <v>252</v>
      </c>
      <c r="C143" s="231">
        <v>44251</v>
      </c>
      <c r="D143" s="233">
        <v>3.4</v>
      </c>
      <c r="E143" s="233">
        <v>13</v>
      </c>
      <c r="F143" s="235">
        <v>96</v>
      </c>
      <c r="G143" s="233">
        <v>7.9</v>
      </c>
      <c r="H143" s="233">
        <v>4.0999999999999996</v>
      </c>
      <c r="I143" s="233">
        <v>47.7</v>
      </c>
      <c r="J143" s="233">
        <v>2.2999999999999998</v>
      </c>
      <c r="K143" s="235">
        <v>33</v>
      </c>
      <c r="L143" s="235">
        <v>67</v>
      </c>
      <c r="M143" s="235">
        <v>5100</v>
      </c>
      <c r="N143" s="235">
        <v>77</v>
      </c>
      <c r="O143" s="235">
        <v>5600</v>
      </c>
      <c r="Q143">
        <v>2021</v>
      </c>
      <c r="R143">
        <v>2</v>
      </c>
      <c r="T143" s="226"/>
      <c r="U143" s="226"/>
      <c r="V143" s="226"/>
      <c r="W143" s="226"/>
      <c r="X143" s="226"/>
      <c r="Y143" s="226"/>
      <c r="Z143" s="226"/>
      <c r="AA143" s="233">
        <f t="shared" si="95"/>
        <v>10.332000000000001</v>
      </c>
      <c r="AB143" s="233">
        <f t="shared" si="96"/>
        <v>12.739174193481931</v>
      </c>
      <c r="AC143" s="233">
        <f t="shared" si="97"/>
        <v>7.9248258065180703</v>
      </c>
      <c r="AD143">
        <v>2.95</v>
      </c>
      <c r="AE143" s="233">
        <f t="shared" si="98"/>
        <v>7.9374301675977676</v>
      </c>
      <c r="AF143" s="233">
        <f t="shared" si="99"/>
        <v>8.0830597168027865</v>
      </c>
      <c r="AG143" s="233">
        <f t="shared" si="100"/>
        <v>7.7918006183927488</v>
      </c>
      <c r="AH143">
        <v>6.5</v>
      </c>
      <c r="AI143" s="233">
        <f t="shared" si="101"/>
        <v>3.3601117318435763</v>
      </c>
      <c r="AJ143" s="233">
        <f t="shared" si="102"/>
        <v>6.3851512410714601</v>
      </c>
      <c r="AK143" s="233">
        <f t="shared" si="103"/>
        <v>0.33507222261569281</v>
      </c>
      <c r="AL143">
        <v>7</v>
      </c>
      <c r="AM143" s="233">
        <f t="shared" si="104"/>
        <v>48.104347826086951</v>
      </c>
      <c r="AN143" s="233">
        <f t="shared" si="105"/>
        <v>52.277593646348265</v>
      </c>
      <c r="AO143" s="233">
        <f t="shared" si="106"/>
        <v>43.931102005825636</v>
      </c>
      <c r="AP143" s="233">
        <f t="shared" si="107"/>
        <v>2.0655865921787711</v>
      </c>
      <c r="AQ143" s="233">
        <f t="shared" si="108"/>
        <v>3.1665882132978602</v>
      </c>
      <c r="AR143" s="233">
        <f t="shared" si="109"/>
        <v>0.96458497105968211</v>
      </c>
      <c r="AS143" s="235">
        <f t="shared" si="110"/>
        <v>33.105027932960894</v>
      </c>
      <c r="AT143" s="235">
        <f t="shared" si="111"/>
        <v>50.535961542150602</v>
      </c>
      <c r="AU143" s="235">
        <f t="shared" si="112"/>
        <v>15.67409432377119</v>
      </c>
      <c r="AV143">
        <v>100</v>
      </c>
      <c r="AW143" s="235">
        <f t="shared" si="113"/>
        <v>62.766666666666666</v>
      </c>
      <c r="AX143" s="235">
        <f t="shared" si="114"/>
        <v>80.98511149172171</v>
      </c>
      <c r="AY143" s="235">
        <f t="shared" si="115"/>
        <v>44.548221841611614</v>
      </c>
      <c r="AZ143" s="235">
        <f t="shared" si="116"/>
        <v>2941.6666666666665</v>
      </c>
      <c r="BA143" s="235">
        <f t="shared" si="117"/>
        <v>4966.9775952753826</v>
      </c>
      <c r="BB143" s="235">
        <f t="shared" si="118"/>
        <v>916.35573805795048</v>
      </c>
      <c r="BC143" s="235">
        <f t="shared" si="119"/>
        <v>53.18888888888889</v>
      </c>
      <c r="BD143" s="235">
        <f t="shared" si="120"/>
        <v>112.67052202318322</v>
      </c>
      <c r="BE143" s="235">
        <f t="shared" si="121"/>
        <v>-6.2927442454054372</v>
      </c>
      <c r="BF143" s="235">
        <f t="shared" si="122"/>
        <v>3577.2222222222222</v>
      </c>
      <c r="BG143" s="235">
        <f t="shared" si="123"/>
        <v>5636.1265941907786</v>
      </c>
      <c r="BH143" s="235">
        <f t="shared" si="124"/>
        <v>1518.3178502536657</v>
      </c>
      <c r="BI143">
        <v>5000</v>
      </c>
      <c r="BJ143" s="235">
        <f t="shared" si="125"/>
        <v>0</v>
      </c>
      <c r="BK143" s="235">
        <f t="shared" si="126"/>
        <v>0</v>
      </c>
      <c r="BL143" s="235">
        <f t="shared" si="127"/>
        <v>0</v>
      </c>
      <c r="BO143" s="235">
        <f t="shared" si="128"/>
        <v>44251</v>
      </c>
      <c r="CD143" s="533">
        <f t="shared" si="129"/>
        <v>3.4</v>
      </c>
      <c r="CE143" s="102">
        <f t="shared" si="130"/>
        <v>13</v>
      </c>
      <c r="CF143" s="102">
        <f t="shared" si="131"/>
        <v>96</v>
      </c>
      <c r="CG143" s="102">
        <f t="shared" si="132"/>
        <v>7.9</v>
      </c>
      <c r="CH143" s="102">
        <f t="shared" si="133"/>
        <v>4.0999999999999996</v>
      </c>
      <c r="CI143" s="102">
        <f t="shared" si="134"/>
        <v>47.7</v>
      </c>
      <c r="CJ143" s="102">
        <f t="shared" si="135"/>
        <v>2.2999999999999998</v>
      </c>
      <c r="CK143" s="102">
        <f t="shared" si="136"/>
        <v>33</v>
      </c>
      <c r="CL143" s="102">
        <f t="shared" si="137"/>
        <v>67</v>
      </c>
      <c r="CM143" s="102">
        <f t="shared" si="138"/>
        <v>5100</v>
      </c>
      <c r="CN143" s="102">
        <f t="shared" si="139"/>
        <v>77</v>
      </c>
      <c r="CO143" s="102">
        <f t="shared" si="140"/>
        <v>5600</v>
      </c>
      <c r="CP143" s="102" t="str">
        <f t="shared" si="141"/>
        <v/>
      </c>
    </row>
    <row r="144" spans="2:94">
      <c r="B144" t="s">
        <v>252</v>
      </c>
      <c r="C144" s="231">
        <v>44284</v>
      </c>
      <c r="D144" s="233">
        <v>7</v>
      </c>
      <c r="E144" s="233">
        <v>12</v>
      </c>
      <c r="F144" s="235">
        <v>98</v>
      </c>
      <c r="G144" s="233">
        <v>8.1</v>
      </c>
      <c r="H144" s="233">
        <v>2.9</v>
      </c>
      <c r="I144" s="233">
        <v>50.5</v>
      </c>
      <c r="J144" s="233">
        <v>2.4</v>
      </c>
      <c r="K144" s="235">
        <v>4.4000000000000004</v>
      </c>
      <c r="L144" s="235">
        <v>40</v>
      </c>
      <c r="M144" s="235">
        <v>3300</v>
      </c>
      <c r="N144" s="235">
        <v>25</v>
      </c>
      <c r="O144" s="235">
        <v>4300</v>
      </c>
      <c r="Q144">
        <v>2021</v>
      </c>
      <c r="R144">
        <v>3</v>
      </c>
      <c r="T144" s="226"/>
      <c r="U144" s="226"/>
      <c r="V144" s="226"/>
      <c r="W144" s="226"/>
      <c r="X144" s="226"/>
      <c r="Y144" s="226"/>
      <c r="Z144" s="226"/>
      <c r="AA144" s="233">
        <f t="shared" si="95"/>
        <v>10.332000000000001</v>
      </c>
      <c r="AB144" s="233">
        <f t="shared" si="96"/>
        <v>12.739174193481931</v>
      </c>
      <c r="AC144" s="233">
        <f t="shared" si="97"/>
        <v>7.9248258065180703</v>
      </c>
      <c r="AD144">
        <v>2.95</v>
      </c>
      <c r="AE144" s="233">
        <f t="shared" si="98"/>
        <v>7.9374301675977676</v>
      </c>
      <c r="AF144" s="233">
        <f t="shared" si="99"/>
        <v>8.0830597168027865</v>
      </c>
      <c r="AG144" s="233">
        <f t="shared" si="100"/>
        <v>7.7918006183927488</v>
      </c>
      <c r="AH144">
        <v>6.5</v>
      </c>
      <c r="AI144" s="233">
        <f t="shared" si="101"/>
        <v>3.3601117318435763</v>
      </c>
      <c r="AJ144" s="233">
        <f t="shared" si="102"/>
        <v>6.3851512410714601</v>
      </c>
      <c r="AK144" s="233">
        <f t="shared" si="103"/>
        <v>0.33507222261569281</v>
      </c>
      <c r="AL144">
        <v>7</v>
      </c>
      <c r="AM144" s="233">
        <f t="shared" si="104"/>
        <v>48.104347826086951</v>
      </c>
      <c r="AN144" s="233">
        <f t="shared" si="105"/>
        <v>52.277593646348265</v>
      </c>
      <c r="AO144" s="233">
        <f t="shared" si="106"/>
        <v>43.931102005825636</v>
      </c>
      <c r="AP144" s="233">
        <f t="shared" si="107"/>
        <v>2.0655865921787711</v>
      </c>
      <c r="AQ144" s="233">
        <f t="shared" si="108"/>
        <v>3.1665882132978602</v>
      </c>
      <c r="AR144" s="233">
        <f t="shared" si="109"/>
        <v>0.96458497105968211</v>
      </c>
      <c r="AS144" s="235">
        <f t="shared" si="110"/>
        <v>33.105027932960894</v>
      </c>
      <c r="AT144" s="235">
        <f t="shared" si="111"/>
        <v>50.535961542150602</v>
      </c>
      <c r="AU144" s="235">
        <f t="shared" si="112"/>
        <v>15.67409432377119</v>
      </c>
      <c r="AV144">
        <v>100</v>
      </c>
      <c r="AW144" s="235">
        <f t="shared" si="113"/>
        <v>62.766666666666666</v>
      </c>
      <c r="AX144" s="235">
        <f t="shared" si="114"/>
        <v>80.98511149172171</v>
      </c>
      <c r="AY144" s="235">
        <f t="shared" si="115"/>
        <v>44.548221841611614</v>
      </c>
      <c r="AZ144" s="235">
        <f t="shared" si="116"/>
        <v>2941.6666666666665</v>
      </c>
      <c r="BA144" s="235">
        <f t="shared" si="117"/>
        <v>4966.9775952753826</v>
      </c>
      <c r="BB144" s="235">
        <f t="shared" si="118"/>
        <v>916.35573805795048</v>
      </c>
      <c r="BC144" s="235">
        <f t="shared" si="119"/>
        <v>53.18888888888889</v>
      </c>
      <c r="BD144" s="235">
        <f t="shared" si="120"/>
        <v>112.67052202318322</v>
      </c>
      <c r="BE144" s="235">
        <f t="shared" si="121"/>
        <v>-6.2927442454054372</v>
      </c>
      <c r="BF144" s="235">
        <f t="shared" si="122"/>
        <v>3577.2222222222222</v>
      </c>
      <c r="BG144" s="235">
        <f t="shared" si="123"/>
        <v>5636.1265941907786</v>
      </c>
      <c r="BH144" s="235">
        <f t="shared" si="124"/>
        <v>1518.3178502536657</v>
      </c>
      <c r="BI144">
        <v>5000</v>
      </c>
      <c r="BJ144" s="235">
        <f t="shared" si="125"/>
        <v>0</v>
      </c>
      <c r="BK144" s="235">
        <f t="shared" si="126"/>
        <v>0</v>
      </c>
      <c r="BL144" s="235">
        <f t="shared" si="127"/>
        <v>0</v>
      </c>
      <c r="BO144" s="235">
        <f t="shared" si="128"/>
        <v>44284</v>
      </c>
      <c r="CD144" s="533">
        <f t="shared" si="129"/>
        <v>7</v>
      </c>
      <c r="CE144" s="102">
        <f t="shared" si="130"/>
        <v>12</v>
      </c>
      <c r="CF144" s="102">
        <f t="shared" si="131"/>
        <v>98</v>
      </c>
      <c r="CG144" s="102">
        <f t="shared" si="132"/>
        <v>8.1</v>
      </c>
      <c r="CH144" s="102">
        <f t="shared" si="133"/>
        <v>2.9</v>
      </c>
      <c r="CI144" s="102">
        <f t="shared" si="134"/>
        <v>50.5</v>
      </c>
      <c r="CJ144" s="102">
        <f t="shared" si="135"/>
        <v>2.4</v>
      </c>
      <c r="CK144" s="102">
        <f t="shared" si="136"/>
        <v>4.4000000000000004</v>
      </c>
      <c r="CL144" s="102">
        <f t="shared" si="137"/>
        <v>40</v>
      </c>
      <c r="CM144" s="102">
        <f t="shared" si="138"/>
        <v>3300</v>
      </c>
      <c r="CN144" s="102">
        <f t="shared" si="139"/>
        <v>25</v>
      </c>
      <c r="CO144" s="102">
        <f t="shared" si="140"/>
        <v>4300</v>
      </c>
      <c r="CP144" s="102" t="str">
        <f t="shared" si="141"/>
        <v/>
      </c>
    </row>
    <row r="145" spans="2:94">
      <c r="B145" t="s">
        <v>252</v>
      </c>
      <c r="C145" s="231">
        <v>44315</v>
      </c>
      <c r="D145" s="233">
        <v>9.1</v>
      </c>
      <c r="E145" s="233">
        <v>11.9</v>
      </c>
      <c r="F145" s="235">
        <v>104</v>
      </c>
      <c r="G145" s="233">
        <v>8.1999999999999993</v>
      </c>
      <c r="H145" s="233">
        <v>3.9</v>
      </c>
      <c r="I145" s="233">
        <v>48.2</v>
      </c>
      <c r="J145" s="233">
        <v>3.6</v>
      </c>
      <c r="K145" s="235">
        <v>6.2</v>
      </c>
      <c r="L145" s="235">
        <v>51</v>
      </c>
      <c r="M145" s="235">
        <v>2000</v>
      </c>
      <c r="N145" s="235" t="s">
        <v>148</v>
      </c>
      <c r="O145" s="235">
        <v>2600</v>
      </c>
      <c r="Q145">
        <v>2021</v>
      </c>
      <c r="R145">
        <v>4</v>
      </c>
      <c r="T145" s="226"/>
      <c r="U145" s="226"/>
      <c r="V145" s="226"/>
      <c r="W145" s="226"/>
      <c r="X145" s="226"/>
      <c r="Y145" s="226"/>
      <c r="Z145" s="226"/>
      <c r="AA145" s="233">
        <f t="shared" si="95"/>
        <v>10.332000000000001</v>
      </c>
      <c r="AB145" s="233">
        <f t="shared" si="96"/>
        <v>12.739174193481931</v>
      </c>
      <c r="AC145" s="233">
        <f t="shared" si="97"/>
        <v>7.9248258065180703</v>
      </c>
      <c r="AD145">
        <v>2.95</v>
      </c>
      <c r="AE145" s="233">
        <f t="shared" si="98"/>
        <v>7.9374301675977676</v>
      </c>
      <c r="AF145" s="233">
        <f t="shared" si="99"/>
        <v>8.0830597168027865</v>
      </c>
      <c r="AG145" s="233">
        <f t="shared" si="100"/>
        <v>7.7918006183927488</v>
      </c>
      <c r="AH145">
        <v>6.5</v>
      </c>
      <c r="AI145" s="233">
        <f t="shared" si="101"/>
        <v>3.3601117318435763</v>
      </c>
      <c r="AJ145" s="233">
        <f t="shared" si="102"/>
        <v>6.3851512410714601</v>
      </c>
      <c r="AK145" s="233">
        <f t="shared" si="103"/>
        <v>0.33507222261569281</v>
      </c>
      <c r="AL145">
        <v>7</v>
      </c>
      <c r="AM145" s="233">
        <f t="shared" si="104"/>
        <v>48.104347826086951</v>
      </c>
      <c r="AN145" s="233">
        <f t="shared" si="105"/>
        <v>52.277593646348265</v>
      </c>
      <c r="AO145" s="233">
        <f t="shared" si="106"/>
        <v>43.931102005825636</v>
      </c>
      <c r="AP145" s="233">
        <f t="shared" si="107"/>
        <v>2.0655865921787711</v>
      </c>
      <c r="AQ145" s="233">
        <f t="shared" si="108"/>
        <v>3.1665882132978602</v>
      </c>
      <c r="AR145" s="233">
        <f t="shared" si="109"/>
        <v>0.96458497105968211</v>
      </c>
      <c r="AS145" s="235">
        <f t="shared" si="110"/>
        <v>33.105027932960894</v>
      </c>
      <c r="AT145" s="235">
        <f t="shared" si="111"/>
        <v>50.535961542150602</v>
      </c>
      <c r="AU145" s="235">
        <f t="shared" si="112"/>
        <v>15.67409432377119</v>
      </c>
      <c r="AV145">
        <v>100</v>
      </c>
      <c r="AW145" s="235">
        <f t="shared" si="113"/>
        <v>62.766666666666666</v>
      </c>
      <c r="AX145" s="235">
        <f t="shared" si="114"/>
        <v>80.98511149172171</v>
      </c>
      <c r="AY145" s="235">
        <f t="shared" si="115"/>
        <v>44.548221841611614</v>
      </c>
      <c r="AZ145" s="235">
        <f t="shared" si="116"/>
        <v>2941.6666666666665</v>
      </c>
      <c r="BA145" s="235">
        <f t="shared" si="117"/>
        <v>4966.9775952753826</v>
      </c>
      <c r="BB145" s="235">
        <f t="shared" si="118"/>
        <v>916.35573805795048</v>
      </c>
      <c r="BC145" s="235">
        <f t="shared" si="119"/>
        <v>53.18888888888889</v>
      </c>
      <c r="BD145" s="235">
        <f t="shared" si="120"/>
        <v>112.67052202318322</v>
      </c>
      <c r="BE145" s="235">
        <f t="shared" si="121"/>
        <v>-6.2927442454054372</v>
      </c>
      <c r="BF145" s="235">
        <f t="shared" si="122"/>
        <v>3577.2222222222222</v>
      </c>
      <c r="BG145" s="235">
        <f t="shared" si="123"/>
        <v>5636.1265941907786</v>
      </c>
      <c r="BH145" s="235">
        <f t="shared" si="124"/>
        <v>1518.3178502536657</v>
      </c>
      <c r="BI145">
        <v>5000</v>
      </c>
      <c r="BJ145" s="235">
        <f t="shared" si="125"/>
        <v>0</v>
      </c>
      <c r="BK145" s="235">
        <f t="shared" si="126"/>
        <v>0</v>
      </c>
      <c r="BL145" s="235">
        <f t="shared" si="127"/>
        <v>0</v>
      </c>
      <c r="BO145" s="235">
        <f t="shared" si="128"/>
        <v>44315</v>
      </c>
      <c r="CD145" s="533">
        <f t="shared" si="129"/>
        <v>9.1</v>
      </c>
      <c r="CE145" s="102">
        <f t="shared" si="130"/>
        <v>11.9</v>
      </c>
      <c r="CF145" s="102">
        <f t="shared" si="131"/>
        <v>104</v>
      </c>
      <c r="CG145" s="102">
        <f t="shared" si="132"/>
        <v>8.1999999999999993</v>
      </c>
      <c r="CH145" s="102">
        <f t="shared" si="133"/>
        <v>3.9</v>
      </c>
      <c r="CI145" s="102">
        <f t="shared" si="134"/>
        <v>48.2</v>
      </c>
      <c r="CJ145" s="102">
        <f t="shared" si="135"/>
        <v>3.6</v>
      </c>
      <c r="CK145" s="102">
        <f t="shared" si="136"/>
        <v>6.2</v>
      </c>
      <c r="CL145" s="102">
        <f t="shared" si="137"/>
        <v>51</v>
      </c>
      <c r="CM145" s="102">
        <f t="shared" si="138"/>
        <v>2000</v>
      </c>
      <c r="CN145" s="102">
        <f t="shared" si="139"/>
        <v>10</v>
      </c>
      <c r="CO145" s="102">
        <f t="shared" si="140"/>
        <v>2600</v>
      </c>
      <c r="CP145" s="102" t="str">
        <f t="shared" si="141"/>
        <v/>
      </c>
    </row>
    <row r="146" spans="2:94">
      <c r="B146" t="s">
        <v>252</v>
      </c>
      <c r="C146" s="231">
        <v>44344</v>
      </c>
      <c r="D146" s="233">
        <v>13.4</v>
      </c>
      <c r="E146" s="233">
        <v>8.6999999999999993</v>
      </c>
      <c r="F146" s="235">
        <v>82</v>
      </c>
      <c r="G146" s="233">
        <v>7.9</v>
      </c>
      <c r="H146" s="233">
        <v>2.6</v>
      </c>
      <c r="I146" s="233">
        <v>49.2</v>
      </c>
      <c r="J146" s="233">
        <v>2.2999999999999998</v>
      </c>
      <c r="K146" s="235">
        <v>11</v>
      </c>
      <c r="L146" s="235">
        <v>58</v>
      </c>
      <c r="M146" s="235">
        <v>1400</v>
      </c>
      <c r="N146" s="235">
        <v>52</v>
      </c>
      <c r="O146" s="235">
        <v>2100</v>
      </c>
      <c r="Q146">
        <v>2021</v>
      </c>
      <c r="R146">
        <v>5</v>
      </c>
      <c r="T146" s="226"/>
      <c r="U146" s="226"/>
      <c r="V146" s="226"/>
      <c r="W146" s="226"/>
      <c r="X146" s="226"/>
      <c r="Y146" s="226"/>
      <c r="Z146" s="226"/>
      <c r="AA146" s="233">
        <f t="shared" si="95"/>
        <v>10.332000000000001</v>
      </c>
      <c r="AB146" s="233">
        <f t="shared" si="96"/>
        <v>12.739174193481931</v>
      </c>
      <c r="AC146" s="233">
        <f t="shared" si="97"/>
        <v>7.9248258065180703</v>
      </c>
      <c r="AD146">
        <v>2.95</v>
      </c>
      <c r="AE146" s="233">
        <f t="shared" si="98"/>
        <v>7.9374301675977676</v>
      </c>
      <c r="AF146" s="233">
        <f t="shared" si="99"/>
        <v>8.0830597168027865</v>
      </c>
      <c r="AG146" s="233">
        <f t="shared" si="100"/>
        <v>7.7918006183927488</v>
      </c>
      <c r="AH146">
        <v>6.5</v>
      </c>
      <c r="AI146" s="233">
        <f t="shared" si="101"/>
        <v>3.3601117318435763</v>
      </c>
      <c r="AJ146" s="233">
        <f t="shared" si="102"/>
        <v>6.3851512410714601</v>
      </c>
      <c r="AK146" s="233">
        <f t="shared" si="103"/>
        <v>0.33507222261569281</v>
      </c>
      <c r="AL146">
        <v>7</v>
      </c>
      <c r="AM146" s="233">
        <f t="shared" si="104"/>
        <v>48.104347826086951</v>
      </c>
      <c r="AN146" s="233">
        <f t="shared" si="105"/>
        <v>52.277593646348265</v>
      </c>
      <c r="AO146" s="233">
        <f t="shared" si="106"/>
        <v>43.931102005825636</v>
      </c>
      <c r="AP146" s="233">
        <f t="shared" si="107"/>
        <v>2.0655865921787711</v>
      </c>
      <c r="AQ146" s="233">
        <f t="shared" si="108"/>
        <v>3.1665882132978602</v>
      </c>
      <c r="AR146" s="233">
        <f t="shared" si="109"/>
        <v>0.96458497105968211</v>
      </c>
      <c r="AS146" s="235">
        <f t="shared" si="110"/>
        <v>33.105027932960894</v>
      </c>
      <c r="AT146" s="235">
        <f t="shared" si="111"/>
        <v>50.535961542150602</v>
      </c>
      <c r="AU146" s="235">
        <f t="shared" si="112"/>
        <v>15.67409432377119</v>
      </c>
      <c r="AV146">
        <v>100</v>
      </c>
      <c r="AW146" s="235">
        <f t="shared" si="113"/>
        <v>62.766666666666666</v>
      </c>
      <c r="AX146" s="235">
        <f t="shared" si="114"/>
        <v>80.98511149172171</v>
      </c>
      <c r="AY146" s="235">
        <f t="shared" si="115"/>
        <v>44.548221841611614</v>
      </c>
      <c r="AZ146" s="235">
        <f t="shared" si="116"/>
        <v>2941.6666666666665</v>
      </c>
      <c r="BA146" s="235">
        <f t="shared" si="117"/>
        <v>4966.9775952753826</v>
      </c>
      <c r="BB146" s="235">
        <f t="shared" si="118"/>
        <v>916.35573805795048</v>
      </c>
      <c r="BC146" s="235">
        <f t="shared" si="119"/>
        <v>53.18888888888889</v>
      </c>
      <c r="BD146" s="235">
        <f t="shared" si="120"/>
        <v>112.67052202318322</v>
      </c>
      <c r="BE146" s="235">
        <f t="shared" si="121"/>
        <v>-6.2927442454054372</v>
      </c>
      <c r="BF146" s="235">
        <f t="shared" si="122"/>
        <v>3577.2222222222222</v>
      </c>
      <c r="BG146" s="235">
        <f t="shared" si="123"/>
        <v>5636.1265941907786</v>
      </c>
      <c r="BH146" s="235">
        <f t="shared" si="124"/>
        <v>1518.3178502536657</v>
      </c>
      <c r="BI146">
        <v>5000</v>
      </c>
      <c r="BJ146" s="235">
        <f t="shared" si="125"/>
        <v>0</v>
      </c>
      <c r="BK146" s="235">
        <f t="shared" si="126"/>
        <v>0</v>
      </c>
      <c r="BL146" s="235">
        <f t="shared" si="127"/>
        <v>0</v>
      </c>
      <c r="BO146" s="235">
        <f t="shared" si="128"/>
        <v>44344</v>
      </c>
      <c r="CD146" s="533">
        <f t="shared" si="129"/>
        <v>13.4</v>
      </c>
      <c r="CE146" s="102">
        <f t="shared" si="130"/>
        <v>8.6999999999999993</v>
      </c>
      <c r="CF146" s="102">
        <f t="shared" si="131"/>
        <v>82</v>
      </c>
      <c r="CG146" s="102">
        <f t="shared" si="132"/>
        <v>7.9</v>
      </c>
      <c r="CH146" s="102">
        <f t="shared" si="133"/>
        <v>2.6</v>
      </c>
      <c r="CI146" s="102">
        <f t="shared" si="134"/>
        <v>49.2</v>
      </c>
      <c r="CJ146" s="102">
        <f t="shared" si="135"/>
        <v>2.2999999999999998</v>
      </c>
      <c r="CK146" s="102">
        <f t="shared" si="136"/>
        <v>11</v>
      </c>
      <c r="CL146" s="102">
        <f t="shared" si="137"/>
        <v>58</v>
      </c>
      <c r="CM146" s="102">
        <f t="shared" si="138"/>
        <v>1400</v>
      </c>
      <c r="CN146" s="102">
        <f t="shared" si="139"/>
        <v>52</v>
      </c>
      <c r="CO146" s="102">
        <f t="shared" si="140"/>
        <v>2100</v>
      </c>
      <c r="CP146" s="102" t="str">
        <f t="shared" si="141"/>
        <v/>
      </c>
    </row>
    <row r="147" spans="2:94">
      <c r="B147" t="s">
        <v>252</v>
      </c>
      <c r="C147" s="231">
        <v>44365</v>
      </c>
      <c r="D147" s="233">
        <v>21</v>
      </c>
      <c r="E147" s="233">
        <v>6.9</v>
      </c>
      <c r="F147" s="235">
        <v>77</v>
      </c>
      <c r="G147" s="233">
        <v>7.9</v>
      </c>
      <c r="H147" s="233">
        <v>1.2</v>
      </c>
      <c r="I147" s="233">
        <v>49</v>
      </c>
      <c r="J147" s="233">
        <v>1.4</v>
      </c>
      <c r="K147" s="235">
        <v>50</v>
      </c>
      <c r="L147" s="235">
        <v>80</v>
      </c>
      <c r="M147" s="235">
        <v>1200</v>
      </c>
      <c r="N147" s="235">
        <v>56</v>
      </c>
      <c r="O147" s="235">
        <v>1900</v>
      </c>
      <c r="Q147">
        <v>2021</v>
      </c>
      <c r="R147">
        <v>6</v>
      </c>
      <c r="T147" s="226"/>
      <c r="U147" s="226"/>
      <c r="V147" s="226"/>
      <c r="W147" s="226"/>
      <c r="X147" s="226"/>
      <c r="Y147" s="226"/>
      <c r="Z147" s="226"/>
      <c r="AA147" s="233">
        <f t="shared" si="95"/>
        <v>10.332000000000001</v>
      </c>
      <c r="AB147" s="233">
        <f t="shared" si="96"/>
        <v>12.739174193481931</v>
      </c>
      <c r="AC147" s="233">
        <f t="shared" si="97"/>
        <v>7.9248258065180703</v>
      </c>
      <c r="AD147">
        <v>2.95</v>
      </c>
      <c r="AE147" s="233">
        <f t="shared" si="98"/>
        <v>7.9374301675977676</v>
      </c>
      <c r="AF147" s="233">
        <f t="shared" si="99"/>
        <v>8.0830597168027865</v>
      </c>
      <c r="AG147" s="233">
        <f t="shared" si="100"/>
        <v>7.7918006183927488</v>
      </c>
      <c r="AH147">
        <v>6.5</v>
      </c>
      <c r="AI147" s="233">
        <f t="shared" si="101"/>
        <v>3.3601117318435763</v>
      </c>
      <c r="AJ147" s="233">
        <f t="shared" si="102"/>
        <v>6.3851512410714601</v>
      </c>
      <c r="AK147" s="233">
        <f t="shared" si="103"/>
        <v>0.33507222261569281</v>
      </c>
      <c r="AL147">
        <v>7</v>
      </c>
      <c r="AM147" s="233">
        <f t="shared" si="104"/>
        <v>48.104347826086951</v>
      </c>
      <c r="AN147" s="233">
        <f t="shared" si="105"/>
        <v>52.277593646348265</v>
      </c>
      <c r="AO147" s="233">
        <f t="shared" si="106"/>
        <v>43.931102005825636</v>
      </c>
      <c r="AP147" s="233">
        <f t="shared" si="107"/>
        <v>2.0655865921787711</v>
      </c>
      <c r="AQ147" s="233">
        <f t="shared" si="108"/>
        <v>3.1665882132978602</v>
      </c>
      <c r="AR147" s="233">
        <f t="shared" si="109"/>
        <v>0.96458497105968211</v>
      </c>
      <c r="AS147" s="235">
        <f t="shared" si="110"/>
        <v>33.105027932960894</v>
      </c>
      <c r="AT147" s="235">
        <f t="shared" si="111"/>
        <v>50.535961542150602</v>
      </c>
      <c r="AU147" s="235">
        <f t="shared" si="112"/>
        <v>15.67409432377119</v>
      </c>
      <c r="AV147">
        <v>100</v>
      </c>
      <c r="AW147" s="235">
        <f t="shared" si="113"/>
        <v>62.766666666666666</v>
      </c>
      <c r="AX147" s="235">
        <f t="shared" si="114"/>
        <v>80.98511149172171</v>
      </c>
      <c r="AY147" s="235">
        <f t="shared" si="115"/>
        <v>44.548221841611614</v>
      </c>
      <c r="AZ147" s="235">
        <f t="shared" si="116"/>
        <v>2941.6666666666665</v>
      </c>
      <c r="BA147" s="235">
        <f t="shared" si="117"/>
        <v>4966.9775952753826</v>
      </c>
      <c r="BB147" s="235">
        <f t="shared" si="118"/>
        <v>916.35573805795048</v>
      </c>
      <c r="BC147" s="235">
        <f t="shared" si="119"/>
        <v>53.18888888888889</v>
      </c>
      <c r="BD147" s="235">
        <f t="shared" si="120"/>
        <v>112.67052202318322</v>
      </c>
      <c r="BE147" s="235">
        <f t="shared" si="121"/>
        <v>-6.2927442454054372</v>
      </c>
      <c r="BF147" s="235">
        <f t="shared" si="122"/>
        <v>3577.2222222222222</v>
      </c>
      <c r="BG147" s="235">
        <f t="shared" si="123"/>
        <v>5636.1265941907786</v>
      </c>
      <c r="BH147" s="235">
        <f t="shared" si="124"/>
        <v>1518.3178502536657</v>
      </c>
      <c r="BI147">
        <v>5000</v>
      </c>
      <c r="BJ147" s="235">
        <f t="shared" si="125"/>
        <v>0</v>
      </c>
      <c r="BK147" s="235">
        <f t="shared" si="126"/>
        <v>0</v>
      </c>
      <c r="BL147" s="235">
        <f t="shared" si="127"/>
        <v>0</v>
      </c>
      <c r="BO147" s="235">
        <f t="shared" si="128"/>
        <v>44365</v>
      </c>
      <c r="CD147" s="533">
        <f t="shared" si="129"/>
        <v>21</v>
      </c>
      <c r="CE147" s="102">
        <f t="shared" si="130"/>
        <v>6.9</v>
      </c>
      <c r="CF147" s="102">
        <f t="shared" si="131"/>
        <v>77</v>
      </c>
      <c r="CG147" s="102">
        <f t="shared" si="132"/>
        <v>7.9</v>
      </c>
      <c r="CH147" s="102">
        <f t="shared" si="133"/>
        <v>1.2</v>
      </c>
      <c r="CI147" s="102">
        <f t="shared" si="134"/>
        <v>49</v>
      </c>
      <c r="CJ147" s="102">
        <f t="shared" si="135"/>
        <v>1.4</v>
      </c>
      <c r="CK147" s="102">
        <f t="shared" si="136"/>
        <v>50</v>
      </c>
      <c r="CL147" s="102">
        <f t="shared" si="137"/>
        <v>80</v>
      </c>
      <c r="CM147" s="102">
        <f t="shared" si="138"/>
        <v>1200</v>
      </c>
      <c r="CN147" s="102">
        <f t="shared" si="139"/>
        <v>56</v>
      </c>
      <c r="CO147" s="102">
        <f t="shared" si="140"/>
        <v>1900</v>
      </c>
      <c r="CP147" s="102" t="str">
        <f t="shared" si="141"/>
        <v/>
      </c>
    </row>
    <row r="148" spans="2:94">
      <c r="B148" t="s">
        <v>252</v>
      </c>
      <c r="C148" s="231">
        <v>44390</v>
      </c>
      <c r="D148" s="233">
        <v>21.6</v>
      </c>
      <c r="E148" s="233">
        <v>7.4</v>
      </c>
      <c r="F148" s="235">
        <v>84</v>
      </c>
      <c r="G148" s="233">
        <v>7.8</v>
      </c>
      <c r="H148" s="233">
        <v>0.64</v>
      </c>
      <c r="I148" s="233">
        <v>42.2</v>
      </c>
      <c r="J148" s="233">
        <v>0.86</v>
      </c>
      <c r="K148" s="235">
        <v>63</v>
      </c>
      <c r="L148" s="235">
        <v>86</v>
      </c>
      <c r="M148" s="235">
        <v>1200</v>
      </c>
      <c r="N148" s="235">
        <v>27</v>
      </c>
      <c r="O148" s="235">
        <v>1700</v>
      </c>
      <c r="Q148">
        <v>2021</v>
      </c>
      <c r="R148">
        <v>7</v>
      </c>
      <c r="T148" s="226"/>
      <c r="U148" s="226"/>
      <c r="V148" s="226"/>
      <c r="W148" s="226"/>
      <c r="X148" s="226"/>
      <c r="Y148" s="226"/>
      <c r="Z148" s="226"/>
      <c r="AA148" s="233">
        <f t="shared" si="95"/>
        <v>10.332000000000001</v>
      </c>
      <c r="AB148" s="233">
        <f t="shared" si="96"/>
        <v>12.739174193481931</v>
      </c>
      <c r="AC148" s="233">
        <f t="shared" si="97"/>
        <v>7.9248258065180703</v>
      </c>
      <c r="AD148">
        <v>2.95</v>
      </c>
      <c r="AE148" s="233">
        <f t="shared" si="98"/>
        <v>7.9374301675977676</v>
      </c>
      <c r="AF148" s="233">
        <f t="shared" si="99"/>
        <v>8.0830597168027865</v>
      </c>
      <c r="AG148" s="233">
        <f t="shared" si="100"/>
        <v>7.7918006183927488</v>
      </c>
      <c r="AH148">
        <v>6.5</v>
      </c>
      <c r="AI148" s="233">
        <f t="shared" si="101"/>
        <v>3.3601117318435763</v>
      </c>
      <c r="AJ148" s="233">
        <f t="shared" si="102"/>
        <v>6.3851512410714601</v>
      </c>
      <c r="AK148" s="233">
        <f t="shared" si="103"/>
        <v>0.33507222261569281</v>
      </c>
      <c r="AL148">
        <v>7</v>
      </c>
      <c r="AM148" s="233">
        <f t="shared" si="104"/>
        <v>48.104347826086951</v>
      </c>
      <c r="AN148" s="233">
        <f t="shared" si="105"/>
        <v>52.277593646348265</v>
      </c>
      <c r="AO148" s="233">
        <f t="shared" si="106"/>
        <v>43.931102005825636</v>
      </c>
      <c r="AP148" s="233">
        <f t="shared" si="107"/>
        <v>2.0655865921787711</v>
      </c>
      <c r="AQ148" s="233">
        <f t="shared" si="108"/>
        <v>3.1665882132978602</v>
      </c>
      <c r="AR148" s="233">
        <f t="shared" si="109"/>
        <v>0.96458497105968211</v>
      </c>
      <c r="AS148" s="235">
        <f t="shared" si="110"/>
        <v>33.105027932960894</v>
      </c>
      <c r="AT148" s="235">
        <f t="shared" si="111"/>
        <v>50.535961542150602</v>
      </c>
      <c r="AU148" s="235">
        <f t="shared" si="112"/>
        <v>15.67409432377119</v>
      </c>
      <c r="AV148">
        <v>100</v>
      </c>
      <c r="AW148" s="235">
        <f t="shared" si="113"/>
        <v>62.766666666666666</v>
      </c>
      <c r="AX148" s="235">
        <f t="shared" si="114"/>
        <v>80.98511149172171</v>
      </c>
      <c r="AY148" s="235">
        <f t="shared" si="115"/>
        <v>44.548221841611614</v>
      </c>
      <c r="AZ148" s="235">
        <f t="shared" si="116"/>
        <v>2941.6666666666665</v>
      </c>
      <c r="BA148" s="235">
        <f t="shared" si="117"/>
        <v>4966.9775952753826</v>
      </c>
      <c r="BB148" s="235">
        <f t="shared" si="118"/>
        <v>916.35573805795048</v>
      </c>
      <c r="BC148" s="235">
        <f t="shared" si="119"/>
        <v>53.18888888888889</v>
      </c>
      <c r="BD148" s="235">
        <f t="shared" si="120"/>
        <v>112.67052202318322</v>
      </c>
      <c r="BE148" s="235">
        <f t="shared" si="121"/>
        <v>-6.2927442454054372</v>
      </c>
      <c r="BF148" s="235">
        <f t="shared" si="122"/>
        <v>3577.2222222222222</v>
      </c>
      <c r="BG148" s="235">
        <f t="shared" si="123"/>
        <v>5636.1265941907786</v>
      </c>
      <c r="BH148" s="235">
        <f t="shared" si="124"/>
        <v>1518.3178502536657</v>
      </c>
      <c r="BI148">
        <v>5000</v>
      </c>
      <c r="BJ148" s="235">
        <f t="shared" si="125"/>
        <v>0</v>
      </c>
      <c r="BK148" s="235">
        <f t="shared" si="126"/>
        <v>0</v>
      </c>
      <c r="BL148" s="235">
        <f t="shared" si="127"/>
        <v>0</v>
      </c>
      <c r="BO148" s="235">
        <f t="shared" si="128"/>
        <v>44390</v>
      </c>
      <c r="CD148" s="533">
        <f t="shared" si="129"/>
        <v>21.6</v>
      </c>
      <c r="CE148" s="102">
        <f t="shared" si="130"/>
        <v>7.4</v>
      </c>
      <c r="CF148" s="102">
        <f t="shared" si="131"/>
        <v>84</v>
      </c>
      <c r="CG148" s="102">
        <f t="shared" si="132"/>
        <v>7.8</v>
      </c>
      <c r="CH148" s="102">
        <f t="shared" si="133"/>
        <v>0.64</v>
      </c>
      <c r="CI148" s="102">
        <f t="shared" si="134"/>
        <v>42.2</v>
      </c>
      <c r="CJ148" s="102">
        <f t="shared" si="135"/>
        <v>0.86</v>
      </c>
      <c r="CK148" s="102">
        <f t="shared" si="136"/>
        <v>63</v>
      </c>
      <c r="CL148" s="102">
        <f t="shared" si="137"/>
        <v>86</v>
      </c>
      <c r="CM148" s="102">
        <f t="shared" si="138"/>
        <v>1200</v>
      </c>
      <c r="CN148" s="102">
        <f t="shared" si="139"/>
        <v>27</v>
      </c>
      <c r="CO148" s="102">
        <f t="shared" si="140"/>
        <v>1700</v>
      </c>
      <c r="CP148" s="102" t="str">
        <f t="shared" si="141"/>
        <v/>
      </c>
    </row>
    <row r="149" spans="2:94">
      <c r="B149" t="s">
        <v>252</v>
      </c>
      <c r="C149" s="231">
        <v>44431</v>
      </c>
      <c r="D149" s="233">
        <v>16.8</v>
      </c>
      <c r="E149" s="233">
        <v>7.7</v>
      </c>
      <c r="F149" s="235">
        <v>79</v>
      </c>
      <c r="G149" s="233">
        <v>7.8</v>
      </c>
      <c r="H149" s="233">
        <v>0.42</v>
      </c>
      <c r="I149" s="233">
        <v>47.3</v>
      </c>
      <c r="J149" s="233">
        <v>0.74</v>
      </c>
      <c r="K149" s="235">
        <v>44</v>
      </c>
      <c r="L149" s="235">
        <v>69</v>
      </c>
      <c r="M149" s="235">
        <v>1500</v>
      </c>
      <c r="N149" s="235">
        <v>17</v>
      </c>
      <c r="O149" s="235">
        <v>2000</v>
      </c>
      <c r="Q149">
        <v>2021</v>
      </c>
      <c r="R149">
        <v>8</v>
      </c>
      <c r="T149" s="226"/>
      <c r="U149" s="226"/>
      <c r="V149" s="226"/>
      <c r="W149" s="226"/>
      <c r="X149" s="226"/>
      <c r="Y149" s="226"/>
      <c r="Z149" s="226"/>
      <c r="AA149" s="233">
        <f t="shared" si="95"/>
        <v>10.332000000000001</v>
      </c>
      <c r="AB149" s="233">
        <f t="shared" si="96"/>
        <v>12.739174193481931</v>
      </c>
      <c r="AC149" s="233">
        <f t="shared" si="97"/>
        <v>7.9248258065180703</v>
      </c>
      <c r="AD149">
        <v>2.95</v>
      </c>
      <c r="AE149" s="233">
        <f t="shared" si="98"/>
        <v>7.9374301675977676</v>
      </c>
      <c r="AF149" s="233">
        <f t="shared" si="99"/>
        <v>8.0830597168027865</v>
      </c>
      <c r="AG149" s="233">
        <f t="shared" si="100"/>
        <v>7.7918006183927488</v>
      </c>
      <c r="AH149">
        <v>6.5</v>
      </c>
      <c r="AI149" s="233">
        <f t="shared" si="101"/>
        <v>3.3601117318435763</v>
      </c>
      <c r="AJ149" s="233">
        <f t="shared" si="102"/>
        <v>6.3851512410714601</v>
      </c>
      <c r="AK149" s="233">
        <f t="shared" si="103"/>
        <v>0.33507222261569281</v>
      </c>
      <c r="AL149">
        <v>7</v>
      </c>
      <c r="AM149" s="233">
        <f t="shared" si="104"/>
        <v>48.104347826086951</v>
      </c>
      <c r="AN149" s="233">
        <f t="shared" si="105"/>
        <v>52.277593646348265</v>
      </c>
      <c r="AO149" s="233">
        <f t="shared" si="106"/>
        <v>43.931102005825636</v>
      </c>
      <c r="AP149" s="233">
        <f t="shared" si="107"/>
        <v>2.0655865921787711</v>
      </c>
      <c r="AQ149" s="233">
        <f t="shared" si="108"/>
        <v>3.1665882132978602</v>
      </c>
      <c r="AR149" s="233">
        <f t="shared" si="109"/>
        <v>0.96458497105968211</v>
      </c>
      <c r="AS149" s="235">
        <f t="shared" si="110"/>
        <v>33.105027932960894</v>
      </c>
      <c r="AT149" s="235">
        <f t="shared" si="111"/>
        <v>50.535961542150602</v>
      </c>
      <c r="AU149" s="235">
        <f t="shared" si="112"/>
        <v>15.67409432377119</v>
      </c>
      <c r="AV149">
        <v>100</v>
      </c>
      <c r="AW149" s="235">
        <f t="shared" si="113"/>
        <v>62.766666666666666</v>
      </c>
      <c r="AX149" s="235">
        <f t="shared" si="114"/>
        <v>80.98511149172171</v>
      </c>
      <c r="AY149" s="235">
        <f t="shared" si="115"/>
        <v>44.548221841611614</v>
      </c>
      <c r="AZ149" s="235">
        <f t="shared" si="116"/>
        <v>2941.6666666666665</v>
      </c>
      <c r="BA149" s="235">
        <f t="shared" si="117"/>
        <v>4966.9775952753826</v>
      </c>
      <c r="BB149" s="235">
        <f t="shared" si="118"/>
        <v>916.35573805795048</v>
      </c>
      <c r="BC149" s="235">
        <f t="shared" si="119"/>
        <v>53.18888888888889</v>
      </c>
      <c r="BD149" s="235">
        <f t="shared" si="120"/>
        <v>112.67052202318322</v>
      </c>
      <c r="BE149" s="235">
        <f t="shared" si="121"/>
        <v>-6.2927442454054372</v>
      </c>
      <c r="BF149" s="235">
        <f t="shared" si="122"/>
        <v>3577.2222222222222</v>
      </c>
      <c r="BG149" s="235">
        <f t="shared" si="123"/>
        <v>5636.1265941907786</v>
      </c>
      <c r="BH149" s="235">
        <f t="shared" si="124"/>
        <v>1518.3178502536657</v>
      </c>
      <c r="BI149">
        <v>5000</v>
      </c>
      <c r="BJ149" s="235">
        <f t="shared" si="125"/>
        <v>0</v>
      </c>
      <c r="BK149" s="235">
        <f t="shared" si="126"/>
        <v>0</v>
      </c>
      <c r="BL149" s="235">
        <f t="shared" si="127"/>
        <v>0</v>
      </c>
      <c r="BO149" s="235">
        <f t="shared" si="128"/>
        <v>44431</v>
      </c>
      <c r="CD149" s="533">
        <f t="shared" si="129"/>
        <v>16.8</v>
      </c>
      <c r="CE149" s="102">
        <f t="shared" si="130"/>
        <v>7.7</v>
      </c>
      <c r="CF149" s="102">
        <f t="shared" si="131"/>
        <v>79</v>
      </c>
      <c r="CG149" s="102">
        <f t="shared" si="132"/>
        <v>7.8</v>
      </c>
      <c r="CH149" s="102">
        <f t="shared" si="133"/>
        <v>0.42</v>
      </c>
      <c r="CI149" s="102">
        <f t="shared" si="134"/>
        <v>47.3</v>
      </c>
      <c r="CJ149" s="102">
        <f t="shared" si="135"/>
        <v>0.74</v>
      </c>
      <c r="CK149" s="102">
        <f t="shared" si="136"/>
        <v>44</v>
      </c>
      <c r="CL149" s="102">
        <f t="shared" si="137"/>
        <v>69</v>
      </c>
      <c r="CM149" s="102">
        <f t="shared" si="138"/>
        <v>1500</v>
      </c>
      <c r="CN149" s="102">
        <f t="shared" si="139"/>
        <v>17</v>
      </c>
      <c r="CO149" s="102">
        <f t="shared" si="140"/>
        <v>2000</v>
      </c>
      <c r="CP149" s="102" t="str">
        <f t="shared" si="141"/>
        <v/>
      </c>
    </row>
    <row r="150" spans="2:94">
      <c r="B150" t="s">
        <v>252</v>
      </c>
      <c r="C150" s="231">
        <v>44459</v>
      </c>
      <c r="D150" s="233">
        <v>14.7</v>
      </c>
      <c r="E150" s="233">
        <v>7.2</v>
      </c>
      <c r="F150" s="235">
        <v>70</v>
      </c>
      <c r="G150" s="233">
        <v>7.8</v>
      </c>
      <c r="H150" s="233">
        <v>0.76</v>
      </c>
      <c r="I150" s="233">
        <v>50.6</v>
      </c>
      <c r="J150" s="233">
        <v>0.73</v>
      </c>
      <c r="K150" s="235">
        <v>56</v>
      </c>
      <c r="L150" s="235">
        <v>76</v>
      </c>
      <c r="M150" s="235">
        <v>1200</v>
      </c>
      <c r="N150" s="235">
        <v>26</v>
      </c>
      <c r="O150" s="235">
        <v>1800</v>
      </c>
      <c r="Q150">
        <v>2021</v>
      </c>
      <c r="R150">
        <v>9</v>
      </c>
      <c r="T150" s="226"/>
      <c r="U150" s="226"/>
      <c r="V150" s="226"/>
      <c r="W150" s="226"/>
      <c r="X150" s="226"/>
      <c r="Y150" s="226"/>
      <c r="Z150" s="226"/>
      <c r="AA150" s="233">
        <f t="shared" si="95"/>
        <v>10.332000000000001</v>
      </c>
      <c r="AB150" s="233">
        <f t="shared" si="96"/>
        <v>12.739174193481931</v>
      </c>
      <c r="AC150" s="233">
        <f t="shared" si="97"/>
        <v>7.9248258065180703</v>
      </c>
      <c r="AD150">
        <v>2.95</v>
      </c>
      <c r="AE150" s="233">
        <f t="shared" si="98"/>
        <v>7.9374301675977676</v>
      </c>
      <c r="AF150" s="233">
        <f t="shared" si="99"/>
        <v>8.0830597168027865</v>
      </c>
      <c r="AG150" s="233">
        <f t="shared" si="100"/>
        <v>7.7918006183927488</v>
      </c>
      <c r="AH150">
        <v>6.5</v>
      </c>
      <c r="AI150" s="233">
        <f t="shared" si="101"/>
        <v>3.3601117318435763</v>
      </c>
      <c r="AJ150" s="233">
        <f t="shared" si="102"/>
        <v>6.3851512410714601</v>
      </c>
      <c r="AK150" s="233">
        <f t="shared" si="103"/>
        <v>0.33507222261569281</v>
      </c>
      <c r="AL150">
        <v>7</v>
      </c>
      <c r="AM150" s="233">
        <f t="shared" si="104"/>
        <v>48.104347826086951</v>
      </c>
      <c r="AN150" s="233">
        <f t="shared" si="105"/>
        <v>52.277593646348265</v>
      </c>
      <c r="AO150" s="233">
        <f t="shared" si="106"/>
        <v>43.931102005825636</v>
      </c>
      <c r="AP150" s="233">
        <f t="shared" si="107"/>
        <v>2.0655865921787711</v>
      </c>
      <c r="AQ150" s="233">
        <f t="shared" si="108"/>
        <v>3.1665882132978602</v>
      </c>
      <c r="AR150" s="233">
        <f t="shared" si="109"/>
        <v>0.96458497105968211</v>
      </c>
      <c r="AS150" s="235">
        <f t="shared" si="110"/>
        <v>33.105027932960894</v>
      </c>
      <c r="AT150" s="235">
        <f t="shared" si="111"/>
        <v>50.535961542150602</v>
      </c>
      <c r="AU150" s="235">
        <f t="shared" si="112"/>
        <v>15.67409432377119</v>
      </c>
      <c r="AV150">
        <v>100</v>
      </c>
      <c r="AW150" s="235">
        <f t="shared" si="113"/>
        <v>62.766666666666666</v>
      </c>
      <c r="AX150" s="235">
        <f t="shared" si="114"/>
        <v>80.98511149172171</v>
      </c>
      <c r="AY150" s="235">
        <f t="shared" si="115"/>
        <v>44.548221841611614</v>
      </c>
      <c r="AZ150" s="235">
        <f t="shared" si="116"/>
        <v>2941.6666666666665</v>
      </c>
      <c r="BA150" s="235">
        <f t="shared" si="117"/>
        <v>4966.9775952753826</v>
      </c>
      <c r="BB150" s="235">
        <f t="shared" si="118"/>
        <v>916.35573805795048</v>
      </c>
      <c r="BC150" s="235">
        <f t="shared" si="119"/>
        <v>53.18888888888889</v>
      </c>
      <c r="BD150" s="235">
        <f t="shared" si="120"/>
        <v>112.67052202318322</v>
      </c>
      <c r="BE150" s="235">
        <f t="shared" si="121"/>
        <v>-6.2927442454054372</v>
      </c>
      <c r="BF150" s="235">
        <f t="shared" si="122"/>
        <v>3577.2222222222222</v>
      </c>
      <c r="BG150" s="235">
        <f t="shared" si="123"/>
        <v>5636.1265941907786</v>
      </c>
      <c r="BH150" s="235">
        <f t="shared" si="124"/>
        <v>1518.3178502536657</v>
      </c>
      <c r="BI150">
        <v>5000</v>
      </c>
      <c r="BJ150" s="235">
        <f t="shared" si="125"/>
        <v>0</v>
      </c>
      <c r="BK150" s="235">
        <f t="shared" si="126"/>
        <v>0</v>
      </c>
      <c r="BL150" s="235">
        <f t="shared" si="127"/>
        <v>0</v>
      </c>
      <c r="BO150" s="235">
        <f t="shared" si="128"/>
        <v>44459</v>
      </c>
      <c r="CD150" s="533">
        <f t="shared" si="129"/>
        <v>14.7</v>
      </c>
      <c r="CE150" s="102">
        <f t="shared" si="130"/>
        <v>7.2</v>
      </c>
      <c r="CF150" s="102">
        <f t="shared" si="131"/>
        <v>70</v>
      </c>
      <c r="CG150" s="102">
        <f t="shared" si="132"/>
        <v>7.8</v>
      </c>
      <c r="CH150" s="102">
        <f t="shared" si="133"/>
        <v>0.76</v>
      </c>
      <c r="CI150" s="102">
        <f t="shared" si="134"/>
        <v>50.6</v>
      </c>
      <c r="CJ150" s="102">
        <f t="shared" si="135"/>
        <v>0.73</v>
      </c>
      <c r="CK150" s="102">
        <f t="shared" si="136"/>
        <v>56</v>
      </c>
      <c r="CL150" s="102">
        <f t="shared" si="137"/>
        <v>76</v>
      </c>
      <c r="CM150" s="102">
        <f t="shared" si="138"/>
        <v>1200</v>
      </c>
      <c r="CN150" s="102">
        <f t="shared" si="139"/>
        <v>26</v>
      </c>
      <c r="CO150" s="102">
        <f t="shared" si="140"/>
        <v>1800</v>
      </c>
      <c r="CP150" s="102" t="str">
        <f t="shared" si="141"/>
        <v/>
      </c>
    </row>
    <row r="151" spans="2:94">
      <c r="B151" t="s">
        <v>252</v>
      </c>
      <c r="C151" s="231">
        <v>44489</v>
      </c>
      <c r="D151" s="233">
        <v>10.7</v>
      </c>
      <c r="E151" s="233">
        <v>8.8000000000000007</v>
      </c>
      <c r="F151" s="235">
        <v>81</v>
      </c>
      <c r="G151" s="233">
        <v>7.8</v>
      </c>
      <c r="H151" s="233">
        <v>0.47</v>
      </c>
      <c r="I151" s="233">
        <v>54.5</v>
      </c>
      <c r="J151" s="233">
        <v>3.6</v>
      </c>
      <c r="K151" s="235">
        <v>33</v>
      </c>
      <c r="L151" s="235">
        <v>67</v>
      </c>
      <c r="M151" s="235">
        <v>3400</v>
      </c>
      <c r="N151" s="235">
        <v>46</v>
      </c>
      <c r="O151" s="235">
        <v>4500</v>
      </c>
      <c r="Q151">
        <v>2021</v>
      </c>
      <c r="R151">
        <v>10</v>
      </c>
      <c r="T151" s="226"/>
      <c r="U151" s="226"/>
      <c r="V151" s="226"/>
      <c r="W151" s="226"/>
      <c r="X151" s="226"/>
      <c r="Y151" s="226"/>
      <c r="Z151" s="226"/>
      <c r="AA151" s="233">
        <f t="shared" si="95"/>
        <v>10.332000000000001</v>
      </c>
      <c r="AB151" s="233">
        <f t="shared" si="96"/>
        <v>12.739174193481931</v>
      </c>
      <c r="AC151" s="233">
        <f t="shared" si="97"/>
        <v>7.9248258065180703</v>
      </c>
      <c r="AD151">
        <v>2.95</v>
      </c>
      <c r="AE151" s="233">
        <f t="shared" si="98"/>
        <v>7.9374301675977676</v>
      </c>
      <c r="AF151" s="233">
        <f t="shared" si="99"/>
        <v>8.0830597168027865</v>
      </c>
      <c r="AG151" s="233">
        <f t="shared" si="100"/>
        <v>7.7918006183927488</v>
      </c>
      <c r="AH151">
        <v>6.5</v>
      </c>
      <c r="AI151" s="233">
        <f t="shared" si="101"/>
        <v>3.3601117318435763</v>
      </c>
      <c r="AJ151" s="233">
        <f t="shared" si="102"/>
        <v>6.3851512410714601</v>
      </c>
      <c r="AK151" s="233">
        <f t="shared" si="103"/>
        <v>0.33507222261569281</v>
      </c>
      <c r="AL151">
        <v>7</v>
      </c>
      <c r="AM151" s="233">
        <f t="shared" si="104"/>
        <v>48.104347826086951</v>
      </c>
      <c r="AN151" s="233">
        <f t="shared" si="105"/>
        <v>52.277593646348265</v>
      </c>
      <c r="AO151" s="233">
        <f t="shared" si="106"/>
        <v>43.931102005825636</v>
      </c>
      <c r="AP151" s="233">
        <f t="shared" si="107"/>
        <v>2.0655865921787711</v>
      </c>
      <c r="AQ151" s="233">
        <f t="shared" si="108"/>
        <v>3.1665882132978602</v>
      </c>
      <c r="AR151" s="233">
        <f t="shared" si="109"/>
        <v>0.96458497105968211</v>
      </c>
      <c r="AS151" s="235">
        <f t="shared" si="110"/>
        <v>33.105027932960894</v>
      </c>
      <c r="AT151" s="235">
        <f t="shared" si="111"/>
        <v>50.535961542150602</v>
      </c>
      <c r="AU151" s="235">
        <f t="shared" si="112"/>
        <v>15.67409432377119</v>
      </c>
      <c r="AV151">
        <v>100</v>
      </c>
      <c r="AW151" s="235">
        <f t="shared" si="113"/>
        <v>62.766666666666666</v>
      </c>
      <c r="AX151" s="235">
        <f t="shared" si="114"/>
        <v>80.98511149172171</v>
      </c>
      <c r="AY151" s="235">
        <f t="shared" si="115"/>
        <v>44.548221841611614</v>
      </c>
      <c r="AZ151" s="235">
        <f t="shared" si="116"/>
        <v>2941.6666666666665</v>
      </c>
      <c r="BA151" s="235">
        <f t="shared" si="117"/>
        <v>4966.9775952753826</v>
      </c>
      <c r="BB151" s="235">
        <f t="shared" si="118"/>
        <v>916.35573805795048</v>
      </c>
      <c r="BC151" s="235">
        <f t="shared" si="119"/>
        <v>53.18888888888889</v>
      </c>
      <c r="BD151" s="235">
        <f t="shared" si="120"/>
        <v>112.67052202318322</v>
      </c>
      <c r="BE151" s="235">
        <f t="shared" si="121"/>
        <v>-6.2927442454054372</v>
      </c>
      <c r="BF151" s="235">
        <f t="shared" si="122"/>
        <v>3577.2222222222222</v>
      </c>
      <c r="BG151" s="235">
        <f t="shared" si="123"/>
        <v>5636.1265941907786</v>
      </c>
      <c r="BH151" s="235">
        <f t="shared" si="124"/>
        <v>1518.3178502536657</v>
      </c>
      <c r="BI151">
        <v>5000</v>
      </c>
      <c r="BJ151" s="235">
        <f t="shared" si="125"/>
        <v>0</v>
      </c>
      <c r="BK151" s="235">
        <f t="shared" si="126"/>
        <v>0</v>
      </c>
      <c r="BL151" s="235">
        <f t="shared" si="127"/>
        <v>0</v>
      </c>
      <c r="BO151" s="235">
        <f t="shared" si="128"/>
        <v>44489</v>
      </c>
      <c r="CD151" s="533">
        <f t="shared" si="129"/>
        <v>10.7</v>
      </c>
      <c r="CE151" s="102">
        <f t="shared" si="130"/>
        <v>8.8000000000000007</v>
      </c>
      <c r="CF151" s="102">
        <f t="shared" si="131"/>
        <v>81</v>
      </c>
      <c r="CG151" s="102">
        <f t="shared" si="132"/>
        <v>7.8</v>
      </c>
      <c r="CH151" s="102">
        <f t="shared" si="133"/>
        <v>0.47</v>
      </c>
      <c r="CI151" s="102">
        <f t="shared" si="134"/>
        <v>54.5</v>
      </c>
      <c r="CJ151" s="102">
        <f t="shared" si="135"/>
        <v>3.6</v>
      </c>
      <c r="CK151" s="102">
        <f t="shared" si="136"/>
        <v>33</v>
      </c>
      <c r="CL151" s="102">
        <f t="shared" si="137"/>
        <v>67</v>
      </c>
      <c r="CM151" s="102">
        <f t="shared" si="138"/>
        <v>3400</v>
      </c>
      <c r="CN151" s="102">
        <f t="shared" si="139"/>
        <v>46</v>
      </c>
      <c r="CO151" s="102">
        <f t="shared" si="140"/>
        <v>4500</v>
      </c>
      <c r="CP151" s="102" t="str">
        <f t="shared" si="141"/>
        <v/>
      </c>
    </row>
    <row r="152" spans="2:94">
      <c r="B152" t="s">
        <v>252</v>
      </c>
      <c r="C152" s="231">
        <v>44530</v>
      </c>
      <c r="D152" s="233">
        <v>3.4</v>
      </c>
      <c r="E152" s="233">
        <v>12.7</v>
      </c>
      <c r="F152" s="235">
        <v>98</v>
      </c>
      <c r="G152" s="233">
        <v>8</v>
      </c>
      <c r="H152" s="233">
        <v>7</v>
      </c>
      <c r="I152" s="233">
        <v>52.7</v>
      </c>
      <c r="J152" s="233">
        <v>2.2000000000000002</v>
      </c>
      <c r="K152" s="235">
        <v>27</v>
      </c>
      <c r="L152" s="235">
        <v>80</v>
      </c>
      <c r="M152" s="235">
        <v>6900</v>
      </c>
      <c r="N152" s="235">
        <v>40</v>
      </c>
      <c r="O152" s="235">
        <v>6800</v>
      </c>
      <c r="Q152">
        <v>2021</v>
      </c>
      <c r="R152">
        <v>11</v>
      </c>
      <c r="T152" s="226"/>
      <c r="U152" s="226"/>
      <c r="V152" s="226"/>
      <c r="W152" s="226"/>
      <c r="X152" s="226"/>
      <c r="Y152" s="226"/>
      <c r="Z152" s="226"/>
      <c r="AA152" s="233">
        <f t="shared" si="95"/>
        <v>10.332000000000001</v>
      </c>
      <c r="AB152" s="233">
        <f t="shared" si="96"/>
        <v>12.739174193481931</v>
      </c>
      <c r="AC152" s="233">
        <f t="shared" si="97"/>
        <v>7.9248258065180703</v>
      </c>
      <c r="AD152">
        <v>2.95</v>
      </c>
      <c r="AE152" s="233">
        <f t="shared" si="98"/>
        <v>7.9374301675977676</v>
      </c>
      <c r="AF152" s="233">
        <f t="shared" si="99"/>
        <v>8.0830597168027865</v>
      </c>
      <c r="AG152" s="233">
        <f t="shared" si="100"/>
        <v>7.7918006183927488</v>
      </c>
      <c r="AH152">
        <v>6.5</v>
      </c>
      <c r="AI152" s="233">
        <f t="shared" si="101"/>
        <v>3.3601117318435763</v>
      </c>
      <c r="AJ152" s="233">
        <f t="shared" si="102"/>
        <v>6.3851512410714601</v>
      </c>
      <c r="AK152" s="233">
        <f t="shared" si="103"/>
        <v>0.33507222261569281</v>
      </c>
      <c r="AL152">
        <v>7</v>
      </c>
      <c r="AM152" s="233">
        <f t="shared" si="104"/>
        <v>48.104347826086951</v>
      </c>
      <c r="AN152" s="233">
        <f t="shared" si="105"/>
        <v>52.277593646348265</v>
      </c>
      <c r="AO152" s="233">
        <f t="shared" si="106"/>
        <v>43.931102005825636</v>
      </c>
      <c r="AP152" s="233">
        <f t="shared" si="107"/>
        <v>2.0655865921787711</v>
      </c>
      <c r="AQ152" s="233">
        <f t="shared" si="108"/>
        <v>3.1665882132978602</v>
      </c>
      <c r="AR152" s="233">
        <f t="shared" si="109"/>
        <v>0.96458497105968211</v>
      </c>
      <c r="AS152" s="235">
        <f t="shared" si="110"/>
        <v>33.105027932960894</v>
      </c>
      <c r="AT152" s="235">
        <f t="shared" si="111"/>
        <v>50.535961542150602</v>
      </c>
      <c r="AU152" s="235">
        <f t="shared" si="112"/>
        <v>15.67409432377119</v>
      </c>
      <c r="AV152">
        <v>100</v>
      </c>
      <c r="AW152" s="235">
        <f t="shared" si="113"/>
        <v>62.766666666666666</v>
      </c>
      <c r="AX152" s="235">
        <f t="shared" si="114"/>
        <v>80.98511149172171</v>
      </c>
      <c r="AY152" s="235">
        <f t="shared" si="115"/>
        <v>44.548221841611614</v>
      </c>
      <c r="AZ152" s="235">
        <f t="shared" si="116"/>
        <v>2941.6666666666665</v>
      </c>
      <c r="BA152" s="235">
        <f t="shared" si="117"/>
        <v>4966.9775952753826</v>
      </c>
      <c r="BB152" s="235">
        <f t="shared" si="118"/>
        <v>916.35573805795048</v>
      </c>
      <c r="BC152" s="235">
        <f t="shared" si="119"/>
        <v>53.18888888888889</v>
      </c>
      <c r="BD152" s="235">
        <f t="shared" si="120"/>
        <v>112.67052202318322</v>
      </c>
      <c r="BE152" s="235">
        <f t="shared" si="121"/>
        <v>-6.2927442454054372</v>
      </c>
      <c r="BF152" s="235">
        <f t="shared" si="122"/>
        <v>3577.2222222222222</v>
      </c>
      <c r="BG152" s="235">
        <f t="shared" si="123"/>
        <v>5636.1265941907786</v>
      </c>
      <c r="BH152" s="235">
        <f t="shared" si="124"/>
        <v>1518.3178502536657</v>
      </c>
      <c r="BI152">
        <v>5000</v>
      </c>
      <c r="BJ152" s="235">
        <f t="shared" si="125"/>
        <v>0</v>
      </c>
      <c r="BK152" s="235">
        <f t="shared" si="126"/>
        <v>0</v>
      </c>
      <c r="BL152" s="235">
        <f t="shared" si="127"/>
        <v>0</v>
      </c>
      <c r="BO152" s="235">
        <f t="shared" si="128"/>
        <v>44530</v>
      </c>
      <c r="CD152" s="533">
        <f t="shared" si="129"/>
        <v>3.4</v>
      </c>
      <c r="CE152" s="102">
        <f t="shared" si="130"/>
        <v>12.7</v>
      </c>
      <c r="CF152" s="102">
        <f t="shared" si="131"/>
        <v>98</v>
      </c>
      <c r="CG152" s="102">
        <f t="shared" si="132"/>
        <v>8</v>
      </c>
      <c r="CH152" s="102">
        <f t="shared" si="133"/>
        <v>7</v>
      </c>
      <c r="CI152" s="102">
        <f t="shared" si="134"/>
        <v>52.7</v>
      </c>
      <c r="CJ152" s="102">
        <f t="shared" si="135"/>
        <v>2.2000000000000002</v>
      </c>
      <c r="CK152" s="102">
        <f t="shared" si="136"/>
        <v>27</v>
      </c>
      <c r="CL152" s="102">
        <f t="shared" si="137"/>
        <v>80</v>
      </c>
      <c r="CM152" s="102">
        <f t="shared" si="138"/>
        <v>6900</v>
      </c>
      <c r="CN152" s="102">
        <f t="shared" si="139"/>
        <v>40</v>
      </c>
      <c r="CO152" s="102">
        <f t="shared" si="140"/>
        <v>6800</v>
      </c>
      <c r="CP152" s="102" t="str">
        <f t="shared" si="141"/>
        <v/>
      </c>
    </row>
    <row r="153" spans="2:94">
      <c r="B153" t="s">
        <v>252</v>
      </c>
      <c r="C153" s="231">
        <v>44550</v>
      </c>
      <c r="D153" s="233">
        <v>3.6</v>
      </c>
      <c r="E153" s="233">
        <v>13.3</v>
      </c>
      <c r="F153" s="235">
        <v>99</v>
      </c>
      <c r="G153" s="233">
        <v>8</v>
      </c>
      <c r="H153" s="233">
        <v>2.6</v>
      </c>
      <c r="I153" s="233">
        <v>45.8</v>
      </c>
      <c r="J153" s="233">
        <v>2.5</v>
      </c>
      <c r="K153" s="235">
        <v>41</v>
      </c>
      <c r="L153" s="235">
        <v>68</v>
      </c>
      <c r="M153" s="235">
        <v>4500</v>
      </c>
      <c r="N153" s="235">
        <v>82</v>
      </c>
      <c r="O153" s="235">
        <v>4300</v>
      </c>
      <c r="Q153">
        <v>2021</v>
      </c>
      <c r="R153">
        <v>12</v>
      </c>
      <c r="T153" s="226"/>
      <c r="U153" s="226"/>
      <c r="V153" s="226"/>
      <c r="W153" s="226"/>
      <c r="X153" s="226"/>
      <c r="Y153" s="226"/>
      <c r="Z153" s="226"/>
      <c r="AA153" s="233">
        <f t="shared" si="95"/>
        <v>10.332000000000001</v>
      </c>
      <c r="AB153" s="233">
        <f t="shared" si="96"/>
        <v>12.739174193481931</v>
      </c>
      <c r="AC153" s="233">
        <f t="shared" si="97"/>
        <v>7.9248258065180703</v>
      </c>
      <c r="AD153">
        <v>2.95</v>
      </c>
      <c r="AE153" s="233">
        <f t="shared" si="98"/>
        <v>7.9374301675977676</v>
      </c>
      <c r="AF153" s="233">
        <f t="shared" si="99"/>
        <v>8.0830597168027865</v>
      </c>
      <c r="AG153" s="233">
        <f t="shared" si="100"/>
        <v>7.7918006183927488</v>
      </c>
      <c r="AH153">
        <v>6.5</v>
      </c>
      <c r="AI153" s="233">
        <f t="shared" si="101"/>
        <v>3.3601117318435763</v>
      </c>
      <c r="AJ153" s="233">
        <f t="shared" si="102"/>
        <v>6.3851512410714601</v>
      </c>
      <c r="AK153" s="233">
        <f t="shared" si="103"/>
        <v>0.33507222261569281</v>
      </c>
      <c r="AL153">
        <v>7</v>
      </c>
      <c r="AM153" s="233">
        <f t="shared" si="104"/>
        <v>48.104347826086951</v>
      </c>
      <c r="AN153" s="233">
        <f t="shared" si="105"/>
        <v>52.277593646348265</v>
      </c>
      <c r="AO153" s="233">
        <f t="shared" si="106"/>
        <v>43.931102005825636</v>
      </c>
      <c r="AP153" s="233">
        <f t="shared" si="107"/>
        <v>2.0655865921787711</v>
      </c>
      <c r="AQ153" s="233">
        <f t="shared" si="108"/>
        <v>3.1665882132978602</v>
      </c>
      <c r="AR153" s="233">
        <f t="shared" si="109"/>
        <v>0.96458497105968211</v>
      </c>
      <c r="AS153" s="235">
        <f t="shared" si="110"/>
        <v>33.105027932960894</v>
      </c>
      <c r="AT153" s="235">
        <f t="shared" si="111"/>
        <v>50.535961542150602</v>
      </c>
      <c r="AU153" s="235">
        <f t="shared" si="112"/>
        <v>15.67409432377119</v>
      </c>
      <c r="AV153">
        <v>100</v>
      </c>
      <c r="AW153" s="235">
        <f t="shared" si="113"/>
        <v>62.766666666666666</v>
      </c>
      <c r="AX153" s="235">
        <f t="shared" si="114"/>
        <v>80.98511149172171</v>
      </c>
      <c r="AY153" s="235">
        <f t="shared" si="115"/>
        <v>44.548221841611614</v>
      </c>
      <c r="AZ153" s="235">
        <f t="shared" si="116"/>
        <v>2941.6666666666665</v>
      </c>
      <c r="BA153" s="235">
        <f t="shared" si="117"/>
        <v>4966.9775952753826</v>
      </c>
      <c r="BB153" s="235">
        <f t="shared" si="118"/>
        <v>916.35573805795048</v>
      </c>
      <c r="BC153" s="235">
        <f t="shared" si="119"/>
        <v>53.18888888888889</v>
      </c>
      <c r="BD153" s="235">
        <f t="shared" si="120"/>
        <v>112.67052202318322</v>
      </c>
      <c r="BE153" s="235">
        <f t="shared" si="121"/>
        <v>-6.2927442454054372</v>
      </c>
      <c r="BF153" s="235">
        <f t="shared" si="122"/>
        <v>3577.2222222222222</v>
      </c>
      <c r="BG153" s="235">
        <f t="shared" si="123"/>
        <v>5636.1265941907786</v>
      </c>
      <c r="BH153" s="235">
        <f t="shared" si="124"/>
        <v>1518.3178502536657</v>
      </c>
      <c r="BI153">
        <v>5000</v>
      </c>
      <c r="BJ153" s="235">
        <f t="shared" si="125"/>
        <v>0</v>
      </c>
      <c r="BK153" s="235">
        <f t="shared" si="126"/>
        <v>0</v>
      </c>
      <c r="BL153" s="235">
        <f t="shared" si="127"/>
        <v>0</v>
      </c>
      <c r="BO153" s="235">
        <f t="shared" si="128"/>
        <v>44550</v>
      </c>
      <c r="CD153" s="533">
        <f t="shared" si="129"/>
        <v>3.6</v>
      </c>
      <c r="CE153" s="102">
        <f t="shared" si="130"/>
        <v>13.3</v>
      </c>
      <c r="CF153" s="102">
        <f t="shared" si="131"/>
        <v>99</v>
      </c>
      <c r="CG153" s="102">
        <f t="shared" si="132"/>
        <v>8</v>
      </c>
      <c r="CH153" s="102">
        <f t="shared" si="133"/>
        <v>2.6</v>
      </c>
      <c r="CI153" s="102">
        <f t="shared" si="134"/>
        <v>45.8</v>
      </c>
      <c r="CJ153" s="102">
        <f t="shared" si="135"/>
        <v>2.5</v>
      </c>
      <c r="CK153" s="102">
        <f t="shared" si="136"/>
        <v>41</v>
      </c>
      <c r="CL153" s="102">
        <f t="shared" si="137"/>
        <v>68</v>
      </c>
      <c r="CM153" s="102">
        <f t="shared" si="138"/>
        <v>4500</v>
      </c>
      <c r="CN153" s="102">
        <f t="shared" si="139"/>
        <v>82</v>
      </c>
      <c r="CO153" s="102">
        <f t="shared" si="140"/>
        <v>4300</v>
      </c>
      <c r="CP153" s="102" t="str">
        <f t="shared" si="141"/>
        <v/>
      </c>
    </row>
    <row r="154" spans="2:94">
      <c r="B154" t="s">
        <v>252</v>
      </c>
      <c r="C154" s="231">
        <v>44580</v>
      </c>
      <c r="D154" s="233">
        <v>2.2999999999999998</v>
      </c>
      <c r="E154" s="233">
        <v>13.6</v>
      </c>
      <c r="F154" s="235">
        <v>99</v>
      </c>
      <c r="G154" s="233">
        <v>8</v>
      </c>
      <c r="H154" s="233">
        <v>4.3</v>
      </c>
      <c r="I154" s="233">
        <v>43.4</v>
      </c>
      <c r="J154" s="233">
        <v>1.7</v>
      </c>
      <c r="K154" s="235">
        <v>44</v>
      </c>
      <c r="L154" s="235">
        <v>72</v>
      </c>
      <c r="M154" s="235">
        <v>3800</v>
      </c>
      <c r="N154" s="235">
        <v>92</v>
      </c>
      <c r="O154" s="235">
        <v>4600</v>
      </c>
      <c r="Q154">
        <v>2022</v>
      </c>
      <c r="R154">
        <v>1</v>
      </c>
      <c r="T154" s="226"/>
      <c r="U154" s="226"/>
      <c r="V154" s="226"/>
      <c r="W154" s="226"/>
      <c r="X154" s="226"/>
      <c r="Y154" s="226"/>
      <c r="Z154" s="226"/>
      <c r="AA154" s="233">
        <f t="shared" si="95"/>
        <v>10.332000000000001</v>
      </c>
      <c r="AB154" s="233">
        <f t="shared" si="96"/>
        <v>12.739174193481931</v>
      </c>
      <c r="AC154" s="233">
        <f t="shared" si="97"/>
        <v>7.9248258065180703</v>
      </c>
      <c r="AD154">
        <v>2.95</v>
      </c>
      <c r="AE154" s="233">
        <f t="shared" si="98"/>
        <v>7.9374301675977676</v>
      </c>
      <c r="AF154" s="233">
        <f t="shared" si="99"/>
        <v>8.0830597168027865</v>
      </c>
      <c r="AG154" s="233">
        <f t="shared" si="100"/>
        <v>7.7918006183927488</v>
      </c>
      <c r="AH154">
        <v>6.5</v>
      </c>
      <c r="AI154" s="233">
        <f t="shared" si="101"/>
        <v>3.3601117318435763</v>
      </c>
      <c r="AJ154" s="233">
        <f t="shared" si="102"/>
        <v>6.3851512410714601</v>
      </c>
      <c r="AK154" s="233">
        <f t="shared" si="103"/>
        <v>0.33507222261569281</v>
      </c>
      <c r="AL154">
        <v>7</v>
      </c>
      <c r="AM154" s="233">
        <f t="shared" si="104"/>
        <v>48.104347826086951</v>
      </c>
      <c r="AN154" s="233">
        <f t="shared" si="105"/>
        <v>52.277593646348265</v>
      </c>
      <c r="AO154" s="233">
        <f t="shared" si="106"/>
        <v>43.931102005825636</v>
      </c>
      <c r="AP154" s="233">
        <f t="shared" si="107"/>
        <v>2.0655865921787711</v>
      </c>
      <c r="AQ154" s="233">
        <f t="shared" si="108"/>
        <v>3.1665882132978602</v>
      </c>
      <c r="AR154" s="233">
        <f t="shared" si="109"/>
        <v>0.96458497105968211</v>
      </c>
      <c r="AS154" s="235">
        <f t="shared" si="110"/>
        <v>33.105027932960894</v>
      </c>
      <c r="AT154" s="235">
        <f t="shared" si="111"/>
        <v>50.535961542150602</v>
      </c>
      <c r="AU154" s="235">
        <f t="shared" si="112"/>
        <v>15.67409432377119</v>
      </c>
      <c r="AV154">
        <v>100</v>
      </c>
      <c r="AW154" s="235">
        <f t="shared" si="113"/>
        <v>62.766666666666666</v>
      </c>
      <c r="AX154" s="235">
        <f t="shared" si="114"/>
        <v>80.98511149172171</v>
      </c>
      <c r="AY154" s="235">
        <f t="shared" si="115"/>
        <v>44.548221841611614</v>
      </c>
      <c r="AZ154" s="235">
        <f t="shared" si="116"/>
        <v>2941.6666666666665</v>
      </c>
      <c r="BA154" s="235">
        <f t="shared" si="117"/>
        <v>4966.9775952753826</v>
      </c>
      <c r="BB154" s="235">
        <f t="shared" si="118"/>
        <v>916.35573805795048</v>
      </c>
      <c r="BC154" s="235">
        <f t="shared" si="119"/>
        <v>53.18888888888889</v>
      </c>
      <c r="BD154" s="235">
        <f t="shared" si="120"/>
        <v>112.67052202318322</v>
      </c>
      <c r="BE154" s="235">
        <f t="shared" si="121"/>
        <v>-6.2927442454054372</v>
      </c>
      <c r="BF154" s="235">
        <f t="shared" si="122"/>
        <v>3577.2222222222222</v>
      </c>
      <c r="BG154" s="235">
        <f t="shared" si="123"/>
        <v>5636.1265941907786</v>
      </c>
      <c r="BH154" s="235">
        <f t="shared" si="124"/>
        <v>1518.3178502536657</v>
      </c>
      <c r="BI154">
        <v>5000</v>
      </c>
      <c r="BJ154" s="235">
        <f t="shared" si="125"/>
        <v>0</v>
      </c>
      <c r="BK154" s="235">
        <f t="shared" si="126"/>
        <v>0</v>
      </c>
      <c r="BL154" s="235">
        <f t="shared" si="127"/>
        <v>0</v>
      </c>
      <c r="BO154" s="235">
        <f t="shared" si="128"/>
        <v>44580</v>
      </c>
      <c r="CD154" s="533">
        <f t="shared" si="129"/>
        <v>2.2999999999999998</v>
      </c>
      <c r="CE154" s="102">
        <f t="shared" si="130"/>
        <v>13.6</v>
      </c>
      <c r="CF154" s="102">
        <f t="shared" si="131"/>
        <v>99</v>
      </c>
      <c r="CG154" s="102">
        <f t="shared" si="132"/>
        <v>8</v>
      </c>
      <c r="CH154" s="102">
        <f t="shared" si="133"/>
        <v>4.3</v>
      </c>
      <c r="CI154" s="102">
        <f t="shared" si="134"/>
        <v>43.4</v>
      </c>
      <c r="CJ154" s="102">
        <f t="shared" si="135"/>
        <v>1.7</v>
      </c>
      <c r="CK154" s="102">
        <f t="shared" si="136"/>
        <v>44</v>
      </c>
      <c r="CL154" s="102">
        <f t="shared" si="137"/>
        <v>72</v>
      </c>
      <c r="CM154" s="102">
        <f t="shared" si="138"/>
        <v>3800</v>
      </c>
      <c r="CN154" s="102">
        <f t="shared" si="139"/>
        <v>92</v>
      </c>
      <c r="CO154" s="102">
        <f t="shared" si="140"/>
        <v>4600</v>
      </c>
      <c r="CP154" s="102" t="str">
        <f t="shared" si="141"/>
        <v/>
      </c>
    </row>
    <row r="155" spans="2:94">
      <c r="B155" t="s">
        <v>252</v>
      </c>
      <c r="C155" s="231">
        <v>44607</v>
      </c>
      <c r="D155" s="233">
        <v>3.1</v>
      </c>
      <c r="E155" s="233">
        <v>13.2</v>
      </c>
      <c r="F155" s="235">
        <v>99</v>
      </c>
      <c r="G155" s="233">
        <v>8.1</v>
      </c>
      <c r="H155" s="233">
        <v>3.7</v>
      </c>
      <c r="I155" s="233">
        <v>47.5</v>
      </c>
      <c r="J155" s="233">
        <v>2.2000000000000002</v>
      </c>
      <c r="K155" s="235">
        <v>32</v>
      </c>
      <c r="L155" s="235">
        <v>57</v>
      </c>
      <c r="M155" s="235">
        <v>4100</v>
      </c>
      <c r="N155" s="235">
        <v>43</v>
      </c>
      <c r="O155" s="235">
        <v>4500</v>
      </c>
      <c r="Q155">
        <v>2022</v>
      </c>
      <c r="R155">
        <v>2</v>
      </c>
      <c r="T155" s="226"/>
      <c r="U155" s="226"/>
      <c r="V155" s="226"/>
      <c r="W155" s="226"/>
      <c r="X155" s="226"/>
      <c r="Y155" s="226"/>
      <c r="Z155" s="226"/>
      <c r="AA155" s="233">
        <f t="shared" si="95"/>
        <v>10.332000000000001</v>
      </c>
      <c r="AB155" s="233">
        <f t="shared" si="96"/>
        <v>12.739174193481931</v>
      </c>
      <c r="AC155" s="233">
        <f t="shared" si="97"/>
        <v>7.9248258065180703</v>
      </c>
      <c r="AD155">
        <v>2.95</v>
      </c>
      <c r="AE155" s="233">
        <f t="shared" si="98"/>
        <v>7.9374301675977676</v>
      </c>
      <c r="AF155" s="233">
        <f t="shared" si="99"/>
        <v>8.0830597168027865</v>
      </c>
      <c r="AG155" s="233">
        <f t="shared" si="100"/>
        <v>7.7918006183927488</v>
      </c>
      <c r="AH155">
        <v>6.5</v>
      </c>
      <c r="AI155" s="233">
        <f t="shared" si="101"/>
        <v>3.3601117318435763</v>
      </c>
      <c r="AJ155" s="233">
        <f t="shared" si="102"/>
        <v>6.3851512410714601</v>
      </c>
      <c r="AK155" s="233">
        <f t="shared" si="103"/>
        <v>0.33507222261569281</v>
      </c>
      <c r="AL155">
        <v>7</v>
      </c>
      <c r="AM155" s="233">
        <f t="shared" si="104"/>
        <v>48.104347826086951</v>
      </c>
      <c r="AN155" s="233">
        <f t="shared" si="105"/>
        <v>52.277593646348265</v>
      </c>
      <c r="AO155" s="233">
        <f t="shared" si="106"/>
        <v>43.931102005825636</v>
      </c>
      <c r="AP155" s="233">
        <f t="shared" si="107"/>
        <v>2.0655865921787711</v>
      </c>
      <c r="AQ155" s="233">
        <f t="shared" si="108"/>
        <v>3.1665882132978602</v>
      </c>
      <c r="AR155" s="233">
        <f t="shared" si="109"/>
        <v>0.96458497105968211</v>
      </c>
      <c r="AS155" s="235">
        <f t="shared" si="110"/>
        <v>33.105027932960894</v>
      </c>
      <c r="AT155" s="235">
        <f t="shared" si="111"/>
        <v>50.535961542150602</v>
      </c>
      <c r="AU155" s="235">
        <f t="shared" si="112"/>
        <v>15.67409432377119</v>
      </c>
      <c r="AV155">
        <v>100</v>
      </c>
      <c r="AW155" s="235">
        <f t="shared" si="113"/>
        <v>62.766666666666666</v>
      </c>
      <c r="AX155" s="235">
        <f t="shared" si="114"/>
        <v>80.98511149172171</v>
      </c>
      <c r="AY155" s="235">
        <f t="shared" si="115"/>
        <v>44.548221841611614</v>
      </c>
      <c r="AZ155" s="235">
        <f t="shared" si="116"/>
        <v>2941.6666666666665</v>
      </c>
      <c r="BA155" s="235">
        <f t="shared" si="117"/>
        <v>4966.9775952753826</v>
      </c>
      <c r="BB155" s="235">
        <f t="shared" si="118"/>
        <v>916.35573805795048</v>
      </c>
      <c r="BC155" s="235">
        <f t="shared" si="119"/>
        <v>53.18888888888889</v>
      </c>
      <c r="BD155" s="235">
        <f t="shared" si="120"/>
        <v>112.67052202318322</v>
      </c>
      <c r="BE155" s="235">
        <f t="shared" si="121"/>
        <v>-6.2927442454054372</v>
      </c>
      <c r="BF155" s="235">
        <f t="shared" si="122"/>
        <v>3577.2222222222222</v>
      </c>
      <c r="BG155" s="235">
        <f t="shared" si="123"/>
        <v>5636.1265941907786</v>
      </c>
      <c r="BH155" s="235">
        <f t="shared" si="124"/>
        <v>1518.3178502536657</v>
      </c>
      <c r="BI155">
        <v>5000</v>
      </c>
      <c r="BJ155" s="235">
        <f t="shared" si="125"/>
        <v>0</v>
      </c>
      <c r="BK155" s="235">
        <f t="shared" si="126"/>
        <v>0</v>
      </c>
      <c r="BL155" s="235">
        <f t="shared" si="127"/>
        <v>0</v>
      </c>
      <c r="BO155" s="235">
        <f t="shared" si="128"/>
        <v>44607</v>
      </c>
      <c r="CD155" s="533">
        <f t="shared" si="129"/>
        <v>3.1</v>
      </c>
      <c r="CE155" s="102">
        <f t="shared" si="130"/>
        <v>13.2</v>
      </c>
      <c r="CF155" s="102">
        <f t="shared" si="131"/>
        <v>99</v>
      </c>
      <c r="CG155" s="102">
        <f t="shared" si="132"/>
        <v>8.1</v>
      </c>
      <c r="CH155" s="102">
        <f t="shared" si="133"/>
        <v>3.7</v>
      </c>
      <c r="CI155" s="102">
        <f t="shared" si="134"/>
        <v>47.5</v>
      </c>
      <c r="CJ155" s="102">
        <f t="shared" si="135"/>
        <v>2.2000000000000002</v>
      </c>
      <c r="CK155" s="102">
        <f t="shared" si="136"/>
        <v>32</v>
      </c>
      <c r="CL155" s="102">
        <f t="shared" si="137"/>
        <v>57</v>
      </c>
      <c r="CM155" s="102">
        <f t="shared" si="138"/>
        <v>4100</v>
      </c>
      <c r="CN155" s="102">
        <f t="shared" si="139"/>
        <v>43</v>
      </c>
      <c r="CO155" s="102">
        <f t="shared" si="140"/>
        <v>4500</v>
      </c>
      <c r="CP155" s="102" t="str">
        <f t="shared" si="141"/>
        <v/>
      </c>
    </row>
    <row r="156" spans="2:94">
      <c r="B156" t="s">
        <v>252</v>
      </c>
      <c r="C156" s="231">
        <v>44637</v>
      </c>
      <c r="D156" s="233">
        <v>5.0999999999999996</v>
      </c>
      <c r="E156" s="233">
        <v>12.3</v>
      </c>
      <c r="F156" s="235">
        <v>95</v>
      </c>
      <c r="G156" s="233">
        <v>8</v>
      </c>
      <c r="H156" s="233">
        <v>3.6</v>
      </c>
      <c r="I156" s="233">
        <v>47.4</v>
      </c>
      <c r="J156" s="233">
        <v>2.2000000000000002</v>
      </c>
      <c r="K156" s="235">
        <v>26</v>
      </c>
      <c r="L156" s="235">
        <v>49</v>
      </c>
      <c r="M156" s="235">
        <v>2700</v>
      </c>
      <c r="N156" s="235">
        <v>53</v>
      </c>
      <c r="O156" s="235">
        <v>3900</v>
      </c>
      <c r="Q156">
        <v>2022</v>
      </c>
      <c r="R156">
        <v>3</v>
      </c>
      <c r="T156" s="226"/>
      <c r="U156" s="226"/>
      <c r="V156" s="226"/>
      <c r="W156" s="226"/>
      <c r="X156" s="226"/>
      <c r="Y156" s="226"/>
      <c r="Z156" s="226"/>
      <c r="AA156" s="233">
        <f t="shared" si="95"/>
        <v>10.332000000000001</v>
      </c>
      <c r="AB156" s="233">
        <f t="shared" si="96"/>
        <v>12.739174193481931</v>
      </c>
      <c r="AC156" s="233">
        <f t="shared" si="97"/>
        <v>7.9248258065180703</v>
      </c>
      <c r="AD156">
        <v>2.95</v>
      </c>
      <c r="AE156" s="233">
        <f t="shared" si="98"/>
        <v>7.9374301675977676</v>
      </c>
      <c r="AF156" s="233">
        <f t="shared" si="99"/>
        <v>8.0830597168027865</v>
      </c>
      <c r="AG156" s="233">
        <f t="shared" si="100"/>
        <v>7.7918006183927488</v>
      </c>
      <c r="AH156">
        <v>6.5</v>
      </c>
      <c r="AI156" s="233">
        <f t="shared" si="101"/>
        <v>3.3601117318435763</v>
      </c>
      <c r="AJ156" s="233">
        <f t="shared" si="102"/>
        <v>6.3851512410714601</v>
      </c>
      <c r="AK156" s="233">
        <f t="shared" si="103"/>
        <v>0.33507222261569281</v>
      </c>
      <c r="AL156">
        <v>7</v>
      </c>
      <c r="AM156" s="233">
        <f t="shared" si="104"/>
        <v>48.104347826086951</v>
      </c>
      <c r="AN156" s="233">
        <f t="shared" si="105"/>
        <v>52.277593646348265</v>
      </c>
      <c r="AO156" s="233">
        <f t="shared" si="106"/>
        <v>43.931102005825636</v>
      </c>
      <c r="AP156" s="233">
        <f t="shared" si="107"/>
        <v>2.0655865921787711</v>
      </c>
      <c r="AQ156" s="233">
        <f t="shared" si="108"/>
        <v>3.1665882132978602</v>
      </c>
      <c r="AR156" s="233">
        <f t="shared" si="109"/>
        <v>0.96458497105968211</v>
      </c>
      <c r="AS156" s="235">
        <f t="shared" si="110"/>
        <v>33.105027932960894</v>
      </c>
      <c r="AT156" s="235">
        <f t="shared" si="111"/>
        <v>50.535961542150602</v>
      </c>
      <c r="AU156" s="235">
        <f t="shared" si="112"/>
        <v>15.67409432377119</v>
      </c>
      <c r="AV156">
        <v>100</v>
      </c>
      <c r="AW156" s="235">
        <f t="shared" si="113"/>
        <v>62.766666666666666</v>
      </c>
      <c r="AX156" s="235">
        <f t="shared" si="114"/>
        <v>80.98511149172171</v>
      </c>
      <c r="AY156" s="235">
        <f t="shared" si="115"/>
        <v>44.548221841611614</v>
      </c>
      <c r="AZ156" s="235">
        <f t="shared" si="116"/>
        <v>2941.6666666666665</v>
      </c>
      <c r="BA156" s="235">
        <f t="shared" si="117"/>
        <v>4966.9775952753826</v>
      </c>
      <c r="BB156" s="235">
        <f t="shared" si="118"/>
        <v>916.35573805795048</v>
      </c>
      <c r="BC156" s="235">
        <f t="shared" si="119"/>
        <v>53.18888888888889</v>
      </c>
      <c r="BD156" s="235">
        <f t="shared" si="120"/>
        <v>112.67052202318322</v>
      </c>
      <c r="BE156" s="235">
        <f t="shared" si="121"/>
        <v>-6.2927442454054372</v>
      </c>
      <c r="BF156" s="235">
        <f t="shared" si="122"/>
        <v>3577.2222222222222</v>
      </c>
      <c r="BG156" s="235">
        <f t="shared" si="123"/>
        <v>5636.1265941907786</v>
      </c>
      <c r="BH156" s="235">
        <f t="shared" si="124"/>
        <v>1518.3178502536657</v>
      </c>
      <c r="BI156">
        <v>5000</v>
      </c>
      <c r="BJ156" s="235">
        <f t="shared" si="125"/>
        <v>0</v>
      </c>
      <c r="BK156" s="235">
        <f t="shared" si="126"/>
        <v>0</v>
      </c>
      <c r="BL156" s="235">
        <f t="shared" si="127"/>
        <v>0</v>
      </c>
      <c r="BO156" s="235">
        <f t="shared" si="128"/>
        <v>44637</v>
      </c>
      <c r="CD156" s="533">
        <f t="shared" si="129"/>
        <v>5.0999999999999996</v>
      </c>
      <c r="CE156" s="102">
        <f t="shared" si="130"/>
        <v>12.3</v>
      </c>
      <c r="CF156" s="102">
        <f t="shared" si="131"/>
        <v>95</v>
      </c>
      <c r="CG156" s="102">
        <f t="shared" si="132"/>
        <v>8</v>
      </c>
      <c r="CH156" s="102">
        <f t="shared" si="133"/>
        <v>3.6</v>
      </c>
      <c r="CI156" s="102">
        <f t="shared" si="134"/>
        <v>47.4</v>
      </c>
      <c r="CJ156" s="102">
        <f t="shared" si="135"/>
        <v>2.2000000000000002</v>
      </c>
      <c r="CK156" s="102">
        <f t="shared" si="136"/>
        <v>26</v>
      </c>
      <c r="CL156" s="102">
        <f t="shared" si="137"/>
        <v>49</v>
      </c>
      <c r="CM156" s="102">
        <f t="shared" si="138"/>
        <v>2700</v>
      </c>
      <c r="CN156" s="102">
        <f t="shared" si="139"/>
        <v>53</v>
      </c>
      <c r="CO156" s="102">
        <f t="shared" si="140"/>
        <v>3900</v>
      </c>
      <c r="CP156" s="102" t="str">
        <f t="shared" si="141"/>
        <v/>
      </c>
    </row>
    <row r="157" spans="2:94">
      <c r="B157" t="s">
        <v>252</v>
      </c>
      <c r="C157" s="231">
        <v>44670</v>
      </c>
      <c r="D157" s="233">
        <v>10.8</v>
      </c>
      <c r="E157" s="233">
        <v>12.4</v>
      </c>
      <c r="F157" s="235">
        <v>111</v>
      </c>
      <c r="G157" s="233">
        <v>8.1999999999999993</v>
      </c>
      <c r="H157" s="233">
        <v>1.7</v>
      </c>
      <c r="I157" s="233">
        <v>47.7</v>
      </c>
      <c r="J157" s="233">
        <v>2.2999999999999998</v>
      </c>
      <c r="K157" s="235">
        <v>7.6</v>
      </c>
      <c r="L157" s="235">
        <v>39</v>
      </c>
      <c r="M157" s="235">
        <v>2400</v>
      </c>
      <c r="N157" s="235">
        <v>33</v>
      </c>
      <c r="O157" s="235">
        <v>3400</v>
      </c>
      <c r="Q157">
        <v>2022</v>
      </c>
      <c r="R157">
        <v>4</v>
      </c>
      <c r="T157" s="226"/>
      <c r="U157" s="226"/>
      <c r="V157" s="226"/>
      <c r="W157" s="226"/>
      <c r="X157" s="226"/>
      <c r="Y157" s="226"/>
      <c r="Z157" s="226"/>
      <c r="AA157" s="233">
        <f t="shared" si="95"/>
        <v>10.332000000000001</v>
      </c>
      <c r="AB157" s="233">
        <f t="shared" si="96"/>
        <v>12.739174193481931</v>
      </c>
      <c r="AC157" s="233">
        <f t="shared" si="97"/>
        <v>7.9248258065180703</v>
      </c>
      <c r="AD157">
        <v>2.95</v>
      </c>
      <c r="AE157" s="233">
        <f t="shared" si="98"/>
        <v>7.9374301675977676</v>
      </c>
      <c r="AF157" s="233">
        <f t="shared" si="99"/>
        <v>8.0830597168027865</v>
      </c>
      <c r="AG157" s="233">
        <f t="shared" si="100"/>
        <v>7.7918006183927488</v>
      </c>
      <c r="AH157">
        <v>6.5</v>
      </c>
      <c r="AI157" s="233">
        <f t="shared" si="101"/>
        <v>3.3601117318435763</v>
      </c>
      <c r="AJ157" s="233">
        <f t="shared" si="102"/>
        <v>6.3851512410714601</v>
      </c>
      <c r="AK157" s="233">
        <f t="shared" si="103"/>
        <v>0.33507222261569281</v>
      </c>
      <c r="AL157">
        <v>7</v>
      </c>
      <c r="AM157" s="233">
        <f t="shared" si="104"/>
        <v>48.104347826086951</v>
      </c>
      <c r="AN157" s="233">
        <f t="shared" si="105"/>
        <v>52.277593646348265</v>
      </c>
      <c r="AO157" s="233">
        <f t="shared" si="106"/>
        <v>43.931102005825636</v>
      </c>
      <c r="AP157" s="233">
        <f t="shared" si="107"/>
        <v>2.0655865921787711</v>
      </c>
      <c r="AQ157" s="233">
        <f t="shared" si="108"/>
        <v>3.1665882132978602</v>
      </c>
      <c r="AR157" s="233">
        <f t="shared" si="109"/>
        <v>0.96458497105968211</v>
      </c>
      <c r="AS157" s="235">
        <f t="shared" si="110"/>
        <v>33.105027932960894</v>
      </c>
      <c r="AT157" s="235">
        <f t="shared" si="111"/>
        <v>50.535961542150602</v>
      </c>
      <c r="AU157" s="235">
        <f t="shared" si="112"/>
        <v>15.67409432377119</v>
      </c>
      <c r="AV157">
        <v>100</v>
      </c>
      <c r="AW157" s="235">
        <f t="shared" si="113"/>
        <v>62.766666666666666</v>
      </c>
      <c r="AX157" s="235">
        <f t="shared" si="114"/>
        <v>80.98511149172171</v>
      </c>
      <c r="AY157" s="235">
        <f t="shared" si="115"/>
        <v>44.548221841611614</v>
      </c>
      <c r="AZ157" s="235">
        <f t="shared" si="116"/>
        <v>2941.6666666666665</v>
      </c>
      <c r="BA157" s="235">
        <f t="shared" si="117"/>
        <v>4966.9775952753826</v>
      </c>
      <c r="BB157" s="235">
        <f t="shared" si="118"/>
        <v>916.35573805795048</v>
      </c>
      <c r="BC157" s="235">
        <f t="shared" si="119"/>
        <v>53.18888888888889</v>
      </c>
      <c r="BD157" s="235">
        <f t="shared" si="120"/>
        <v>112.67052202318322</v>
      </c>
      <c r="BE157" s="235">
        <f t="shared" si="121"/>
        <v>-6.2927442454054372</v>
      </c>
      <c r="BF157" s="235">
        <f t="shared" si="122"/>
        <v>3577.2222222222222</v>
      </c>
      <c r="BG157" s="235">
        <f t="shared" si="123"/>
        <v>5636.1265941907786</v>
      </c>
      <c r="BH157" s="235">
        <f t="shared" si="124"/>
        <v>1518.3178502536657</v>
      </c>
      <c r="BI157">
        <v>5000</v>
      </c>
      <c r="BJ157" s="235">
        <f t="shared" si="125"/>
        <v>0</v>
      </c>
      <c r="BK157" s="235">
        <f t="shared" si="126"/>
        <v>0</v>
      </c>
      <c r="BL157" s="235">
        <f t="shared" si="127"/>
        <v>0</v>
      </c>
      <c r="BO157" s="235">
        <f t="shared" si="128"/>
        <v>44670</v>
      </c>
      <c r="CD157" s="533">
        <f t="shared" si="129"/>
        <v>10.8</v>
      </c>
      <c r="CE157" s="102">
        <f t="shared" si="130"/>
        <v>12.4</v>
      </c>
      <c r="CF157" s="102">
        <f t="shared" si="131"/>
        <v>111</v>
      </c>
      <c r="CG157" s="102">
        <f t="shared" si="132"/>
        <v>8.1999999999999993</v>
      </c>
      <c r="CH157" s="102">
        <f t="shared" si="133"/>
        <v>1.7</v>
      </c>
      <c r="CI157" s="102">
        <f t="shared" si="134"/>
        <v>47.7</v>
      </c>
      <c r="CJ157" s="102">
        <f t="shared" si="135"/>
        <v>2.2999999999999998</v>
      </c>
      <c r="CK157" s="102">
        <f t="shared" si="136"/>
        <v>7.6</v>
      </c>
      <c r="CL157" s="102">
        <f t="shared" si="137"/>
        <v>39</v>
      </c>
      <c r="CM157" s="102">
        <f t="shared" si="138"/>
        <v>2400</v>
      </c>
      <c r="CN157" s="102">
        <f t="shared" si="139"/>
        <v>33</v>
      </c>
      <c r="CO157" s="102">
        <f t="shared" si="140"/>
        <v>3400</v>
      </c>
      <c r="CP157" s="102" t="str">
        <f t="shared" si="141"/>
        <v/>
      </c>
    </row>
    <row r="158" spans="2:94">
      <c r="B158" t="s">
        <v>252</v>
      </c>
      <c r="C158" s="231">
        <v>44698</v>
      </c>
      <c r="D158" s="233">
        <v>14.8</v>
      </c>
      <c r="E158" s="233">
        <v>9.1999999999999993</v>
      </c>
      <c r="F158" s="235">
        <v>90</v>
      </c>
      <c r="G158" s="233">
        <v>7.9</v>
      </c>
      <c r="H158" s="233">
        <v>2</v>
      </c>
      <c r="I158" s="233">
        <v>50.6</v>
      </c>
      <c r="J158" s="233">
        <v>2</v>
      </c>
      <c r="K158" s="235">
        <v>18</v>
      </c>
      <c r="L158" s="235">
        <v>40</v>
      </c>
      <c r="M158" s="235">
        <v>1400</v>
      </c>
      <c r="N158" s="235">
        <v>31</v>
      </c>
      <c r="O158" s="235">
        <v>1900</v>
      </c>
      <c r="Q158">
        <v>2022</v>
      </c>
      <c r="R158">
        <v>5</v>
      </c>
      <c r="T158" s="226"/>
      <c r="U158" s="226"/>
      <c r="V158" s="226"/>
      <c r="W158" s="226"/>
      <c r="X158" s="226"/>
      <c r="Y158" s="226"/>
      <c r="Z158" s="226"/>
      <c r="AA158" s="233">
        <f t="shared" si="95"/>
        <v>10.332000000000001</v>
      </c>
      <c r="AB158" s="233">
        <f t="shared" si="96"/>
        <v>12.739174193481931</v>
      </c>
      <c r="AC158" s="233">
        <f t="shared" si="97"/>
        <v>7.9248258065180703</v>
      </c>
      <c r="AD158">
        <v>2.95</v>
      </c>
      <c r="AE158" s="233">
        <f t="shared" si="98"/>
        <v>7.9374301675977676</v>
      </c>
      <c r="AF158" s="233">
        <f t="shared" si="99"/>
        <v>8.0830597168027865</v>
      </c>
      <c r="AG158" s="233">
        <f t="shared" si="100"/>
        <v>7.7918006183927488</v>
      </c>
      <c r="AH158">
        <v>6.5</v>
      </c>
      <c r="AI158" s="233">
        <f t="shared" si="101"/>
        <v>3.3601117318435763</v>
      </c>
      <c r="AJ158" s="233">
        <f t="shared" si="102"/>
        <v>6.3851512410714601</v>
      </c>
      <c r="AK158" s="233">
        <f t="shared" si="103"/>
        <v>0.33507222261569281</v>
      </c>
      <c r="AL158">
        <v>7</v>
      </c>
      <c r="AM158" s="233">
        <f t="shared" si="104"/>
        <v>48.104347826086951</v>
      </c>
      <c r="AN158" s="233">
        <f t="shared" si="105"/>
        <v>52.277593646348265</v>
      </c>
      <c r="AO158" s="233">
        <f t="shared" si="106"/>
        <v>43.931102005825636</v>
      </c>
      <c r="AP158" s="233">
        <f t="shared" si="107"/>
        <v>2.0655865921787711</v>
      </c>
      <c r="AQ158" s="233">
        <f t="shared" si="108"/>
        <v>3.1665882132978602</v>
      </c>
      <c r="AR158" s="233">
        <f t="shared" si="109"/>
        <v>0.96458497105968211</v>
      </c>
      <c r="AS158" s="235">
        <f t="shared" si="110"/>
        <v>33.105027932960894</v>
      </c>
      <c r="AT158" s="235">
        <f t="shared" si="111"/>
        <v>50.535961542150602</v>
      </c>
      <c r="AU158" s="235">
        <f t="shared" si="112"/>
        <v>15.67409432377119</v>
      </c>
      <c r="AV158">
        <v>100</v>
      </c>
      <c r="AW158" s="235">
        <f t="shared" si="113"/>
        <v>62.766666666666666</v>
      </c>
      <c r="AX158" s="235">
        <f t="shared" si="114"/>
        <v>80.98511149172171</v>
      </c>
      <c r="AY158" s="235">
        <f t="shared" si="115"/>
        <v>44.548221841611614</v>
      </c>
      <c r="AZ158" s="235">
        <f t="shared" si="116"/>
        <v>2941.6666666666665</v>
      </c>
      <c r="BA158" s="235">
        <f t="shared" si="117"/>
        <v>4966.9775952753826</v>
      </c>
      <c r="BB158" s="235">
        <f t="shared" si="118"/>
        <v>916.35573805795048</v>
      </c>
      <c r="BC158" s="235">
        <f t="shared" si="119"/>
        <v>53.18888888888889</v>
      </c>
      <c r="BD158" s="235">
        <f t="shared" si="120"/>
        <v>112.67052202318322</v>
      </c>
      <c r="BE158" s="235">
        <f t="shared" si="121"/>
        <v>-6.2927442454054372</v>
      </c>
      <c r="BF158" s="235">
        <f t="shared" si="122"/>
        <v>3577.2222222222222</v>
      </c>
      <c r="BG158" s="235">
        <f t="shared" si="123"/>
        <v>5636.1265941907786</v>
      </c>
      <c r="BH158" s="235">
        <f t="shared" si="124"/>
        <v>1518.3178502536657</v>
      </c>
      <c r="BI158">
        <v>5000</v>
      </c>
      <c r="BJ158" s="235">
        <f t="shared" si="125"/>
        <v>0</v>
      </c>
      <c r="BK158" s="235">
        <f t="shared" si="126"/>
        <v>0</v>
      </c>
      <c r="BL158" s="235">
        <f t="shared" si="127"/>
        <v>0</v>
      </c>
      <c r="BO158" s="235">
        <f t="shared" si="128"/>
        <v>44698</v>
      </c>
      <c r="CD158" s="533">
        <f t="shared" si="129"/>
        <v>14.8</v>
      </c>
      <c r="CE158" s="102">
        <f t="shared" si="130"/>
        <v>9.1999999999999993</v>
      </c>
      <c r="CF158" s="102">
        <f t="shared" si="131"/>
        <v>90</v>
      </c>
      <c r="CG158" s="102">
        <f t="shared" si="132"/>
        <v>7.9</v>
      </c>
      <c r="CH158" s="102">
        <f t="shared" si="133"/>
        <v>2</v>
      </c>
      <c r="CI158" s="102">
        <f t="shared" si="134"/>
        <v>50.6</v>
      </c>
      <c r="CJ158" s="102">
        <f t="shared" si="135"/>
        <v>2</v>
      </c>
      <c r="CK158" s="102">
        <f t="shared" si="136"/>
        <v>18</v>
      </c>
      <c r="CL158" s="102">
        <f t="shared" si="137"/>
        <v>40</v>
      </c>
      <c r="CM158" s="102">
        <f t="shared" si="138"/>
        <v>1400</v>
      </c>
      <c r="CN158" s="102">
        <f t="shared" si="139"/>
        <v>31</v>
      </c>
      <c r="CO158" s="102">
        <f t="shared" si="140"/>
        <v>1900</v>
      </c>
      <c r="CP158" s="102" t="str">
        <f t="shared" si="141"/>
        <v/>
      </c>
    </row>
    <row r="159" spans="2:94">
      <c r="B159" t="s">
        <v>252</v>
      </c>
      <c r="C159" s="231">
        <v>44735</v>
      </c>
      <c r="D159" s="233">
        <v>17.600000000000001</v>
      </c>
      <c r="E159" s="233">
        <v>7.7</v>
      </c>
      <c r="F159" s="235">
        <v>80</v>
      </c>
      <c r="G159" s="233">
        <v>7.9</v>
      </c>
      <c r="H159" s="233">
        <v>1.1000000000000001</v>
      </c>
      <c r="I159" s="233">
        <v>44.8</v>
      </c>
      <c r="J159" s="233">
        <v>1.2</v>
      </c>
      <c r="K159" s="235">
        <v>49</v>
      </c>
      <c r="L159" s="235">
        <v>69</v>
      </c>
      <c r="M159" s="235">
        <v>1200</v>
      </c>
      <c r="N159" s="235">
        <v>62</v>
      </c>
      <c r="O159" s="235">
        <v>1900</v>
      </c>
      <c r="Q159">
        <v>2022</v>
      </c>
      <c r="R159">
        <v>6</v>
      </c>
      <c r="T159" s="226"/>
      <c r="U159" s="226"/>
      <c r="V159" s="226"/>
      <c r="W159" s="226"/>
      <c r="X159" s="226"/>
      <c r="Y159" s="226"/>
      <c r="Z159" s="226"/>
      <c r="AA159" s="233">
        <f t="shared" si="95"/>
        <v>10.332000000000001</v>
      </c>
      <c r="AB159" s="233">
        <f t="shared" si="96"/>
        <v>12.739174193481931</v>
      </c>
      <c r="AC159" s="233">
        <f t="shared" si="97"/>
        <v>7.9248258065180703</v>
      </c>
      <c r="AD159">
        <v>2.95</v>
      </c>
      <c r="AE159" s="233">
        <f t="shared" si="98"/>
        <v>7.9374301675977676</v>
      </c>
      <c r="AF159" s="233">
        <f t="shared" si="99"/>
        <v>8.0830597168027865</v>
      </c>
      <c r="AG159" s="233">
        <f t="shared" si="100"/>
        <v>7.7918006183927488</v>
      </c>
      <c r="AH159">
        <v>6.5</v>
      </c>
      <c r="AI159" s="233">
        <f t="shared" si="101"/>
        <v>3.3601117318435763</v>
      </c>
      <c r="AJ159" s="233">
        <f t="shared" si="102"/>
        <v>6.3851512410714601</v>
      </c>
      <c r="AK159" s="233">
        <f t="shared" si="103"/>
        <v>0.33507222261569281</v>
      </c>
      <c r="AL159">
        <v>7</v>
      </c>
      <c r="AM159" s="233">
        <f t="shared" si="104"/>
        <v>48.104347826086951</v>
      </c>
      <c r="AN159" s="233">
        <f t="shared" si="105"/>
        <v>52.277593646348265</v>
      </c>
      <c r="AO159" s="233">
        <f t="shared" si="106"/>
        <v>43.931102005825636</v>
      </c>
      <c r="AP159" s="233">
        <f t="shared" si="107"/>
        <v>2.0655865921787711</v>
      </c>
      <c r="AQ159" s="233">
        <f t="shared" si="108"/>
        <v>3.1665882132978602</v>
      </c>
      <c r="AR159" s="233">
        <f t="shared" si="109"/>
        <v>0.96458497105968211</v>
      </c>
      <c r="AS159" s="235">
        <f t="shared" si="110"/>
        <v>33.105027932960894</v>
      </c>
      <c r="AT159" s="235">
        <f t="shared" si="111"/>
        <v>50.535961542150602</v>
      </c>
      <c r="AU159" s="235">
        <f t="shared" si="112"/>
        <v>15.67409432377119</v>
      </c>
      <c r="AV159">
        <v>100</v>
      </c>
      <c r="AW159" s="235">
        <f t="shared" si="113"/>
        <v>62.766666666666666</v>
      </c>
      <c r="AX159" s="235">
        <f t="shared" si="114"/>
        <v>80.98511149172171</v>
      </c>
      <c r="AY159" s="235">
        <f t="shared" si="115"/>
        <v>44.548221841611614</v>
      </c>
      <c r="AZ159" s="235">
        <f t="shared" si="116"/>
        <v>2941.6666666666665</v>
      </c>
      <c r="BA159" s="235">
        <f t="shared" si="117"/>
        <v>4966.9775952753826</v>
      </c>
      <c r="BB159" s="235">
        <f t="shared" si="118"/>
        <v>916.35573805795048</v>
      </c>
      <c r="BC159" s="235">
        <f t="shared" si="119"/>
        <v>53.18888888888889</v>
      </c>
      <c r="BD159" s="235">
        <f t="shared" si="120"/>
        <v>112.67052202318322</v>
      </c>
      <c r="BE159" s="235">
        <f t="shared" si="121"/>
        <v>-6.2927442454054372</v>
      </c>
      <c r="BF159" s="235">
        <f t="shared" si="122"/>
        <v>3577.2222222222222</v>
      </c>
      <c r="BG159" s="235">
        <f t="shared" si="123"/>
        <v>5636.1265941907786</v>
      </c>
      <c r="BH159" s="235">
        <f t="shared" si="124"/>
        <v>1518.3178502536657</v>
      </c>
      <c r="BI159">
        <v>5000</v>
      </c>
      <c r="BJ159" s="235">
        <f t="shared" si="125"/>
        <v>0</v>
      </c>
      <c r="BK159" s="235">
        <f t="shared" si="126"/>
        <v>0</v>
      </c>
      <c r="BL159" s="235">
        <f t="shared" si="127"/>
        <v>0</v>
      </c>
      <c r="BO159" s="235">
        <f t="shared" si="128"/>
        <v>44735</v>
      </c>
      <c r="CD159" s="533">
        <f t="shared" si="129"/>
        <v>17.600000000000001</v>
      </c>
      <c r="CE159" s="102">
        <f t="shared" si="130"/>
        <v>7.7</v>
      </c>
      <c r="CF159" s="102">
        <f t="shared" si="131"/>
        <v>80</v>
      </c>
      <c r="CG159" s="102">
        <f t="shared" si="132"/>
        <v>7.9</v>
      </c>
      <c r="CH159" s="102">
        <f t="shared" si="133"/>
        <v>1.1000000000000001</v>
      </c>
      <c r="CI159" s="102">
        <f t="shared" si="134"/>
        <v>44.8</v>
      </c>
      <c r="CJ159" s="102">
        <f t="shared" si="135"/>
        <v>1.2</v>
      </c>
      <c r="CK159" s="102">
        <f t="shared" si="136"/>
        <v>49</v>
      </c>
      <c r="CL159" s="102">
        <f t="shared" si="137"/>
        <v>69</v>
      </c>
      <c r="CM159" s="102">
        <f t="shared" si="138"/>
        <v>1200</v>
      </c>
      <c r="CN159" s="102">
        <f t="shared" si="139"/>
        <v>62</v>
      </c>
      <c r="CO159" s="102">
        <f t="shared" si="140"/>
        <v>1900</v>
      </c>
      <c r="CP159" s="102" t="str">
        <f t="shared" si="141"/>
        <v/>
      </c>
    </row>
    <row r="160" spans="2:94">
      <c r="B160" t="s">
        <v>252</v>
      </c>
      <c r="C160" s="231">
        <v>44761</v>
      </c>
      <c r="D160" s="233">
        <v>18.600000000000001</v>
      </c>
      <c r="E160" s="233">
        <v>7.4</v>
      </c>
      <c r="F160" s="235">
        <v>78</v>
      </c>
      <c r="G160" s="233">
        <v>7.8</v>
      </c>
      <c r="H160" s="233">
        <v>0.68</v>
      </c>
      <c r="J160" s="233">
        <v>1</v>
      </c>
      <c r="K160" s="235">
        <v>38</v>
      </c>
      <c r="L160" s="235">
        <v>57</v>
      </c>
      <c r="M160" s="235">
        <v>750</v>
      </c>
      <c r="N160" s="235">
        <v>42</v>
      </c>
      <c r="O160" s="235">
        <v>1200</v>
      </c>
      <c r="Q160">
        <v>2022</v>
      </c>
      <c r="R160">
        <v>7</v>
      </c>
      <c r="T160" s="226"/>
      <c r="U160" s="226"/>
      <c r="V160" s="226"/>
      <c r="W160" s="226"/>
      <c r="X160" s="226"/>
      <c r="Y160" s="226"/>
      <c r="Z160" s="226"/>
      <c r="AA160" s="233">
        <f t="shared" si="95"/>
        <v>10.332000000000001</v>
      </c>
      <c r="AB160" s="233">
        <f t="shared" si="96"/>
        <v>12.739174193481931</v>
      </c>
      <c r="AC160" s="233">
        <f t="shared" si="97"/>
        <v>7.9248258065180703</v>
      </c>
      <c r="AD160">
        <v>2.95</v>
      </c>
      <c r="AE160" s="233">
        <f t="shared" si="98"/>
        <v>7.9374301675977676</v>
      </c>
      <c r="AF160" s="233">
        <f t="shared" si="99"/>
        <v>8.0830597168027865</v>
      </c>
      <c r="AG160" s="233">
        <f t="shared" si="100"/>
        <v>7.7918006183927488</v>
      </c>
      <c r="AH160">
        <v>6.5</v>
      </c>
      <c r="AI160" s="233">
        <f t="shared" si="101"/>
        <v>3.3601117318435763</v>
      </c>
      <c r="AJ160" s="233">
        <f t="shared" si="102"/>
        <v>6.3851512410714601</v>
      </c>
      <c r="AK160" s="233">
        <f t="shared" si="103"/>
        <v>0.33507222261569281</v>
      </c>
      <c r="AL160">
        <v>7</v>
      </c>
      <c r="AM160" s="233">
        <f t="shared" si="104"/>
        <v>48.104347826086951</v>
      </c>
      <c r="AN160" s="233">
        <f t="shared" si="105"/>
        <v>52.277593646348265</v>
      </c>
      <c r="AO160" s="233">
        <f t="shared" si="106"/>
        <v>43.931102005825636</v>
      </c>
      <c r="AP160" s="233">
        <f t="shared" si="107"/>
        <v>2.0655865921787711</v>
      </c>
      <c r="AQ160" s="233">
        <f t="shared" si="108"/>
        <v>3.1665882132978602</v>
      </c>
      <c r="AR160" s="233">
        <f t="shared" si="109"/>
        <v>0.96458497105968211</v>
      </c>
      <c r="AS160" s="235">
        <f t="shared" si="110"/>
        <v>33.105027932960894</v>
      </c>
      <c r="AT160" s="235">
        <f t="shared" si="111"/>
        <v>50.535961542150602</v>
      </c>
      <c r="AU160" s="235">
        <f t="shared" si="112"/>
        <v>15.67409432377119</v>
      </c>
      <c r="AV160">
        <v>100</v>
      </c>
      <c r="AW160" s="235">
        <f t="shared" si="113"/>
        <v>62.766666666666666</v>
      </c>
      <c r="AX160" s="235">
        <f t="shared" si="114"/>
        <v>80.98511149172171</v>
      </c>
      <c r="AY160" s="235">
        <f t="shared" si="115"/>
        <v>44.548221841611614</v>
      </c>
      <c r="AZ160" s="235">
        <f t="shared" si="116"/>
        <v>2941.6666666666665</v>
      </c>
      <c r="BA160" s="235">
        <f t="shared" si="117"/>
        <v>4966.9775952753826</v>
      </c>
      <c r="BB160" s="235">
        <f t="shared" si="118"/>
        <v>916.35573805795048</v>
      </c>
      <c r="BC160" s="235">
        <f t="shared" si="119"/>
        <v>53.18888888888889</v>
      </c>
      <c r="BD160" s="235">
        <f t="shared" si="120"/>
        <v>112.67052202318322</v>
      </c>
      <c r="BE160" s="235">
        <f t="shared" si="121"/>
        <v>-6.2927442454054372</v>
      </c>
      <c r="BF160" s="235">
        <f t="shared" si="122"/>
        <v>3577.2222222222222</v>
      </c>
      <c r="BG160" s="235">
        <f t="shared" si="123"/>
        <v>5636.1265941907786</v>
      </c>
      <c r="BH160" s="235">
        <f t="shared" si="124"/>
        <v>1518.3178502536657</v>
      </c>
      <c r="BI160">
        <v>5000</v>
      </c>
      <c r="BJ160" s="235">
        <f t="shared" si="125"/>
        <v>0</v>
      </c>
      <c r="BK160" s="235">
        <f t="shared" si="126"/>
        <v>0</v>
      </c>
      <c r="BL160" s="235">
        <f t="shared" si="127"/>
        <v>0</v>
      </c>
      <c r="BO160" s="235">
        <f t="shared" si="128"/>
        <v>44761</v>
      </c>
      <c r="CD160" s="533">
        <f t="shared" si="129"/>
        <v>18.600000000000001</v>
      </c>
      <c r="CE160" s="102">
        <f t="shared" si="130"/>
        <v>7.4</v>
      </c>
      <c r="CF160" s="102">
        <f t="shared" si="131"/>
        <v>78</v>
      </c>
      <c r="CG160" s="102">
        <f t="shared" si="132"/>
        <v>7.8</v>
      </c>
      <c r="CH160" s="102">
        <f t="shared" si="133"/>
        <v>0.68</v>
      </c>
      <c r="CI160" s="102" t="str">
        <f t="shared" si="134"/>
        <v/>
      </c>
      <c r="CJ160" s="102">
        <f t="shared" si="135"/>
        <v>1</v>
      </c>
      <c r="CK160" s="102">
        <f t="shared" si="136"/>
        <v>38</v>
      </c>
      <c r="CL160" s="102">
        <f t="shared" si="137"/>
        <v>57</v>
      </c>
      <c r="CM160" s="102">
        <f t="shared" si="138"/>
        <v>750</v>
      </c>
      <c r="CN160" s="102">
        <f t="shared" si="139"/>
        <v>42</v>
      </c>
      <c r="CO160" s="102">
        <f t="shared" si="140"/>
        <v>1200</v>
      </c>
      <c r="CP160" s="102" t="str">
        <f t="shared" si="141"/>
        <v/>
      </c>
    </row>
    <row r="161" spans="2:94">
      <c r="B161" t="s">
        <v>252</v>
      </c>
      <c r="C161" s="231">
        <v>44795</v>
      </c>
      <c r="D161" s="233">
        <v>20.3</v>
      </c>
      <c r="E161" s="233">
        <v>5.6</v>
      </c>
      <c r="F161" s="235">
        <v>62</v>
      </c>
      <c r="G161" s="233">
        <v>7.7</v>
      </c>
      <c r="H161" s="233">
        <v>0.52</v>
      </c>
      <c r="I161" s="233">
        <v>52</v>
      </c>
      <c r="J161" s="233" t="s">
        <v>287</v>
      </c>
      <c r="K161" s="235">
        <v>53</v>
      </c>
      <c r="L161" s="235">
        <v>70</v>
      </c>
      <c r="M161" s="235">
        <v>1100</v>
      </c>
      <c r="N161" s="235">
        <v>31</v>
      </c>
      <c r="O161" s="235">
        <v>1400</v>
      </c>
      <c r="Q161">
        <v>2022</v>
      </c>
      <c r="R161">
        <v>8</v>
      </c>
      <c r="T161" s="226"/>
      <c r="U161" s="226"/>
      <c r="V161" s="226"/>
      <c r="W161" s="226"/>
      <c r="X161" s="226"/>
      <c r="Y161" s="226"/>
      <c r="Z161" s="226"/>
      <c r="AA161" s="233">
        <f t="shared" si="95"/>
        <v>10.332000000000001</v>
      </c>
      <c r="AB161" s="233">
        <f t="shared" si="96"/>
        <v>12.739174193481931</v>
      </c>
      <c r="AC161" s="233">
        <f t="shared" si="97"/>
        <v>7.9248258065180703</v>
      </c>
      <c r="AD161">
        <v>2.95</v>
      </c>
      <c r="AE161" s="233">
        <f t="shared" si="98"/>
        <v>7.9374301675977676</v>
      </c>
      <c r="AF161" s="233">
        <f t="shared" si="99"/>
        <v>8.0830597168027865</v>
      </c>
      <c r="AG161" s="233">
        <f t="shared" si="100"/>
        <v>7.7918006183927488</v>
      </c>
      <c r="AH161">
        <v>6.5</v>
      </c>
      <c r="AI161" s="233">
        <f t="shared" si="101"/>
        <v>3.3601117318435763</v>
      </c>
      <c r="AJ161" s="233">
        <f t="shared" si="102"/>
        <v>6.3851512410714601</v>
      </c>
      <c r="AK161" s="233">
        <f t="shared" si="103"/>
        <v>0.33507222261569281</v>
      </c>
      <c r="AL161">
        <v>7</v>
      </c>
      <c r="AM161" s="233">
        <f t="shared" si="104"/>
        <v>48.104347826086951</v>
      </c>
      <c r="AN161" s="233">
        <f t="shared" si="105"/>
        <v>52.277593646348265</v>
      </c>
      <c r="AO161" s="233">
        <f t="shared" si="106"/>
        <v>43.931102005825636</v>
      </c>
      <c r="AP161" s="233">
        <f t="shared" si="107"/>
        <v>2.0655865921787711</v>
      </c>
      <c r="AQ161" s="233">
        <f t="shared" si="108"/>
        <v>3.1665882132978602</v>
      </c>
      <c r="AR161" s="233">
        <f t="shared" si="109"/>
        <v>0.96458497105968211</v>
      </c>
      <c r="AS161" s="235">
        <f t="shared" si="110"/>
        <v>33.105027932960894</v>
      </c>
      <c r="AT161" s="235">
        <f t="shared" si="111"/>
        <v>50.535961542150602</v>
      </c>
      <c r="AU161" s="235">
        <f t="shared" si="112"/>
        <v>15.67409432377119</v>
      </c>
      <c r="AV161">
        <v>100</v>
      </c>
      <c r="AW161" s="235">
        <f t="shared" si="113"/>
        <v>62.766666666666666</v>
      </c>
      <c r="AX161" s="235">
        <f t="shared" si="114"/>
        <v>80.98511149172171</v>
      </c>
      <c r="AY161" s="235">
        <f t="shared" si="115"/>
        <v>44.548221841611614</v>
      </c>
      <c r="AZ161" s="235">
        <f t="shared" si="116"/>
        <v>2941.6666666666665</v>
      </c>
      <c r="BA161" s="235">
        <f t="shared" si="117"/>
        <v>4966.9775952753826</v>
      </c>
      <c r="BB161" s="235">
        <f t="shared" si="118"/>
        <v>916.35573805795048</v>
      </c>
      <c r="BC161" s="235">
        <f t="shared" si="119"/>
        <v>53.18888888888889</v>
      </c>
      <c r="BD161" s="235">
        <f t="shared" si="120"/>
        <v>112.67052202318322</v>
      </c>
      <c r="BE161" s="235">
        <f t="shared" si="121"/>
        <v>-6.2927442454054372</v>
      </c>
      <c r="BF161" s="235">
        <f t="shared" si="122"/>
        <v>3577.2222222222222</v>
      </c>
      <c r="BG161" s="235">
        <f t="shared" si="123"/>
        <v>5636.1265941907786</v>
      </c>
      <c r="BH161" s="235">
        <f t="shared" si="124"/>
        <v>1518.3178502536657</v>
      </c>
      <c r="BI161">
        <v>5000</v>
      </c>
      <c r="BJ161" s="235">
        <f t="shared" si="125"/>
        <v>0</v>
      </c>
      <c r="BK161" s="235">
        <f t="shared" si="126"/>
        <v>0</v>
      </c>
      <c r="BL161" s="235">
        <f t="shared" si="127"/>
        <v>0</v>
      </c>
      <c r="BO161" s="235">
        <f t="shared" si="128"/>
        <v>44795</v>
      </c>
      <c r="CD161" s="533">
        <f t="shared" si="129"/>
        <v>20.3</v>
      </c>
      <c r="CE161" s="102">
        <f t="shared" si="130"/>
        <v>5.6</v>
      </c>
      <c r="CF161" s="102">
        <f t="shared" si="131"/>
        <v>62</v>
      </c>
      <c r="CG161" s="102">
        <f t="shared" si="132"/>
        <v>7.7</v>
      </c>
      <c r="CH161" s="102">
        <f t="shared" si="133"/>
        <v>0.52</v>
      </c>
      <c r="CI161" s="102">
        <f t="shared" si="134"/>
        <v>52</v>
      </c>
      <c r="CJ161" s="102">
        <f t="shared" si="135"/>
        <v>0.5</v>
      </c>
      <c r="CK161" s="102">
        <f t="shared" si="136"/>
        <v>53</v>
      </c>
      <c r="CL161" s="102">
        <f t="shared" si="137"/>
        <v>70</v>
      </c>
      <c r="CM161" s="102">
        <f t="shared" si="138"/>
        <v>1100</v>
      </c>
      <c r="CN161" s="102">
        <f t="shared" si="139"/>
        <v>31</v>
      </c>
      <c r="CO161" s="102">
        <f t="shared" si="140"/>
        <v>1400</v>
      </c>
      <c r="CP161" s="102" t="str">
        <f t="shared" si="141"/>
        <v/>
      </c>
    </row>
    <row r="162" spans="2:94">
      <c r="B162" t="s">
        <v>252</v>
      </c>
      <c r="C162" s="231">
        <v>44826</v>
      </c>
      <c r="D162" s="233">
        <v>12.9</v>
      </c>
      <c r="E162" s="233">
        <v>9.1</v>
      </c>
      <c r="F162" s="235">
        <v>86</v>
      </c>
      <c r="G162" s="233">
        <v>7.9</v>
      </c>
      <c r="H162" s="233">
        <v>0.64</v>
      </c>
      <c r="I162" s="233">
        <v>51.3</v>
      </c>
      <c r="J162" s="233">
        <v>0.78</v>
      </c>
      <c r="K162" s="235">
        <v>35</v>
      </c>
      <c r="L162" s="235">
        <v>56</v>
      </c>
      <c r="M162" s="235">
        <v>1200</v>
      </c>
      <c r="N162" s="235">
        <v>18</v>
      </c>
      <c r="O162" s="235">
        <v>1400</v>
      </c>
      <c r="Q162">
        <v>2022</v>
      </c>
      <c r="R162">
        <v>9</v>
      </c>
      <c r="T162" s="226"/>
      <c r="U162" s="226"/>
      <c r="V162" s="226"/>
      <c r="W162" s="226"/>
      <c r="X162" s="226"/>
      <c r="Y162" s="226"/>
      <c r="Z162" s="226"/>
      <c r="AA162" s="233">
        <f t="shared" si="95"/>
        <v>10.332000000000001</v>
      </c>
      <c r="AB162" s="233">
        <f t="shared" si="96"/>
        <v>12.739174193481931</v>
      </c>
      <c r="AC162" s="233">
        <f t="shared" si="97"/>
        <v>7.9248258065180703</v>
      </c>
      <c r="AD162">
        <v>2.95</v>
      </c>
      <c r="AE162" s="233">
        <f t="shared" si="98"/>
        <v>7.9374301675977676</v>
      </c>
      <c r="AF162" s="233">
        <f t="shared" si="99"/>
        <v>8.0830597168027865</v>
      </c>
      <c r="AG162" s="233">
        <f t="shared" si="100"/>
        <v>7.7918006183927488</v>
      </c>
      <c r="AH162">
        <v>6.5</v>
      </c>
      <c r="AI162" s="233">
        <f t="shared" si="101"/>
        <v>3.3601117318435763</v>
      </c>
      <c r="AJ162" s="233">
        <f t="shared" si="102"/>
        <v>6.3851512410714601</v>
      </c>
      <c r="AK162" s="233">
        <f t="shared" si="103"/>
        <v>0.33507222261569281</v>
      </c>
      <c r="AL162">
        <v>7</v>
      </c>
      <c r="AM162" s="233">
        <f t="shared" si="104"/>
        <v>48.104347826086951</v>
      </c>
      <c r="AN162" s="233">
        <f t="shared" si="105"/>
        <v>52.277593646348265</v>
      </c>
      <c r="AO162" s="233">
        <f t="shared" si="106"/>
        <v>43.931102005825636</v>
      </c>
      <c r="AP162" s="233">
        <f t="shared" si="107"/>
        <v>2.0655865921787711</v>
      </c>
      <c r="AQ162" s="233">
        <f t="shared" si="108"/>
        <v>3.1665882132978602</v>
      </c>
      <c r="AR162" s="233">
        <f t="shared" si="109"/>
        <v>0.96458497105968211</v>
      </c>
      <c r="AS162" s="235">
        <f t="shared" si="110"/>
        <v>33.105027932960894</v>
      </c>
      <c r="AT162" s="235">
        <f t="shared" si="111"/>
        <v>50.535961542150602</v>
      </c>
      <c r="AU162" s="235">
        <f t="shared" si="112"/>
        <v>15.67409432377119</v>
      </c>
      <c r="AV162">
        <v>100</v>
      </c>
      <c r="AW162" s="235">
        <f t="shared" si="113"/>
        <v>62.766666666666666</v>
      </c>
      <c r="AX162" s="235">
        <f t="shared" si="114"/>
        <v>80.98511149172171</v>
      </c>
      <c r="AY162" s="235">
        <f t="shared" si="115"/>
        <v>44.548221841611614</v>
      </c>
      <c r="AZ162" s="235">
        <f t="shared" si="116"/>
        <v>2941.6666666666665</v>
      </c>
      <c r="BA162" s="235">
        <f t="shared" si="117"/>
        <v>4966.9775952753826</v>
      </c>
      <c r="BB162" s="235">
        <f t="shared" si="118"/>
        <v>916.35573805795048</v>
      </c>
      <c r="BC162" s="235">
        <f t="shared" si="119"/>
        <v>53.18888888888889</v>
      </c>
      <c r="BD162" s="235">
        <f t="shared" si="120"/>
        <v>112.67052202318322</v>
      </c>
      <c r="BE162" s="235">
        <f t="shared" si="121"/>
        <v>-6.2927442454054372</v>
      </c>
      <c r="BF162" s="235">
        <f t="shared" si="122"/>
        <v>3577.2222222222222</v>
      </c>
      <c r="BG162" s="235">
        <f t="shared" si="123"/>
        <v>5636.1265941907786</v>
      </c>
      <c r="BH162" s="235">
        <f t="shared" si="124"/>
        <v>1518.3178502536657</v>
      </c>
      <c r="BI162">
        <v>5000</v>
      </c>
      <c r="BJ162" s="235">
        <f t="shared" si="125"/>
        <v>0</v>
      </c>
      <c r="BK162" s="235">
        <f t="shared" si="126"/>
        <v>0</v>
      </c>
      <c r="BL162" s="235">
        <f t="shared" si="127"/>
        <v>0</v>
      </c>
      <c r="BO162" s="235">
        <f t="shared" si="128"/>
        <v>44826</v>
      </c>
      <c r="CD162" s="533">
        <f t="shared" si="129"/>
        <v>12.9</v>
      </c>
      <c r="CE162" s="102">
        <f t="shared" si="130"/>
        <v>9.1</v>
      </c>
      <c r="CF162" s="102">
        <f t="shared" si="131"/>
        <v>86</v>
      </c>
      <c r="CG162" s="102">
        <f t="shared" si="132"/>
        <v>7.9</v>
      </c>
      <c r="CH162" s="102">
        <f t="shared" si="133"/>
        <v>0.64</v>
      </c>
      <c r="CI162" s="102">
        <f t="shared" si="134"/>
        <v>51.3</v>
      </c>
      <c r="CJ162" s="102">
        <f t="shared" si="135"/>
        <v>0.78</v>
      </c>
      <c r="CK162" s="102">
        <f t="shared" si="136"/>
        <v>35</v>
      </c>
      <c r="CL162" s="102">
        <f t="shared" si="137"/>
        <v>56</v>
      </c>
      <c r="CM162" s="102">
        <f t="shared" si="138"/>
        <v>1200</v>
      </c>
      <c r="CN162" s="102">
        <f t="shared" si="139"/>
        <v>18</v>
      </c>
      <c r="CO162" s="102">
        <f t="shared" si="140"/>
        <v>1400</v>
      </c>
      <c r="CP162" s="102" t="str">
        <f t="shared" si="141"/>
        <v/>
      </c>
    </row>
    <row r="163" spans="2:94">
      <c r="B163" t="s">
        <v>252</v>
      </c>
      <c r="C163" s="231">
        <v>44858</v>
      </c>
      <c r="D163" s="233">
        <v>11.5</v>
      </c>
      <c r="E163" s="233">
        <v>8.4</v>
      </c>
      <c r="F163" s="235">
        <v>87</v>
      </c>
      <c r="G163" s="233">
        <v>7.8</v>
      </c>
      <c r="H163" s="233">
        <v>0.85</v>
      </c>
      <c r="I163" s="233">
        <v>58.1</v>
      </c>
      <c r="J163" s="233">
        <v>1.1000000000000001</v>
      </c>
      <c r="K163" s="235">
        <v>11</v>
      </c>
      <c r="L163" s="235">
        <v>61</v>
      </c>
      <c r="M163" s="235">
        <v>2200</v>
      </c>
      <c r="N163" s="235">
        <v>22</v>
      </c>
      <c r="O163" s="235">
        <v>2900</v>
      </c>
      <c r="Q163">
        <v>2022</v>
      </c>
      <c r="R163">
        <v>10</v>
      </c>
      <c r="T163" s="226"/>
      <c r="U163" s="226"/>
      <c r="V163" s="226"/>
      <c r="W163" s="226"/>
      <c r="X163" s="226"/>
      <c r="Y163" s="226"/>
      <c r="Z163" s="226"/>
      <c r="AA163" s="233">
        <f t="shared" si="95"/>
        <v>10.332000000000001</v>
      </c>
      <c r="AB163" s="233">
        <f t="shared" si="96"/>
        <v>12.739174193481931</v>
      </c>
      <c r="AC163" s="233">
        <f t="shared" si="97"/>
        <v>7.9248258065180703</v>
      </c>
      <c r="AD163">
        <v>2.95</v>
      </c>
      <c r="AE163" s="233">
        <f t="shared" si="98"/>
        <v>7.9374301675977676</v>
      </c>
      <c r="AF163" s="233">
        <f t="shared" si="99"/>
        <v>8.0830597168027865</v>
      </c>
      <c r="AG163" s="233">
        <f t="shared" si="100"/>
        <v>7.7918006183927488</v>
      </c>
      <c r="AH163">
        <v>6.5</v>
      </c>
      <c r="AI163" s="233">
        <f t="shared" si="101"/>
        <v>3.3601117318435763</v>
      </c>
      <c r="AJ163" s="233">
        <f t="shared" si="102"/>
        <v>6.3851512410714601</v>
      </c>
      <c r="AK163" s="233">
        <f t="shared" si="103"/>
        <v>0.33507222261569281</v>
      </c>
      <c r="AL163">
        <v>7</v>
      </c>
      <c r="AM163" s="233">
        <f t="shared" si="104"/>
        <v>48.104347826086951</v>
      </c>
      <c r="AN163" s="233">
        <f t="shared" si="105"/>
        <v>52.277593646348265</v>
      </c>
      <c r="AO163" s="233">
        <f t="shared" si="106"/>
        <v>43.931102005825636</v>
      </c>
      <c r="AP163" s="233">
        <f t="shared" si="107"/>
        <v>2.0655865921787711</v>
      </c>
      <c r="AQ163" s="233">
        <f t="shared" si="108"/>
        <v>3.1665882132978602</v>
      </c>
      <c r="AR163" s="233">
        <f t="shared" si="109"/>
        <v>0.96458497105968211</v>
      </c>
      <c r="AS163" s="235">
        <f t="shared" si="110"/>
        <v>33.105027932960894</v>
      </c>
      <c r="AT163" s="235">
        <f t="shared" si="111"/>
        <v>50.535961542150602</v>
      </c>
      <c r="AU163" s="235">
        <f t="shared" si="112"/>
        <v>15.67409432377119</v>
      </c>
      <c r="AV163">
        <v>100</v>
      </c>
      <c r="AW163" s="235">
        <f t="shared" si="113"/>
        <v>62.766666666666666</v>
      </c>
      <c r="AX163" s="235">
        <f t="shared" si="114"/>
        <v>80.98511149172171</v>
      </c>
      <c r="AY163" s="235">
        <f t="shared" si="115"/>
        <v>44.548221841611614</v>
      </c>
      <c r="AZ163" s="235">
        <f t="shared" si="116"/>
        <v>2941.6666666666665</v>
      </c>
      <c r="BA163" s="235">
        <f t="shared" si="117"/>
        <v>4966.9775952753826</v>
      </c>
      <c r="BB163" s="235">
        <f t="shared" si="118"/>
        <v>916.35573805795048</v>
      </c>
      <c r="BC163" s="235">
        <f t="shared" si="119"/>
        <v>53.18888888888889</v>
      </c>
      <c r="BD163" s="235">
        <f t="shared" si="120"/>
        <v>112.67052202318322</v>
      </c>
      <c r="BE163" s="235">
        <f t="shared" si="121"/>
        <v>-6.2927442454054372</v>
      </c>
      <c r="BF163" s="235">
        <f t="shared" si="122"/>
        <v>3577.2222222222222</v>
      </c>
      <c r="BG163" s="235">
        <f t="shared" si="123"/>
        <v>5636.1265941907786</v>
      </c>
      <c r="BH163" s="235">
        <f t="shared" si="124"/>
        <v>1518.3178502536657</v>
      </c>
      <c r="BI163">
        <v>5000</v>
      </c>
      <c r="BJ163" s="235">
        <f t="shared" si="125"/>
        <v>0</v>
      </c>
      <c r="BK163" s="235">
        <f t="shared" si="126"/>
        <v>0</v>
      </c>
      <c r="BL163" s="235">
        <f t="shared" si="127"/>
        <v>0</v>
      </c>
      <c r="BO163" s="235">
        <f t="shared" si="128"/>
        <v>44858</v>
      </c>
      <c r="CD163" s="533">
        <f t="shared" si="129"/>
        <v>11.5</v>
      </c>
      <c r="CE163" s="102">
        <f t="shared" si="130"/>
        <v>8.4</v>
      </c>
      <c r="CF163" s="102">
        <f t="shared" si="131"/>
        <v>87</v>
      </c>
      <c r="CG163" s="102">
        <f t="shared" si="132"/>
        <v>7.8</v>
      </c>
      <c r="CH163" s="102">
        <f t="shared" si="133"/>
        <v>0.85</v>
      </c>
      <c r="CI163" s="102">
        <f t="shared" si="134"/>
        <v>58.1</v>
      </c>
      <c r="CJ163" s="102">
        <f t="shared" si="135"/>
        <v>1.1000000000000001</v>
      </c>
      <c r="CK163" s="102">
        <f t="shared" si="136"/>
        <v>11</v>
      </c>
      <c r="CL163" s="102">
        <f t="shared" si="137"/>
        <v>61</v>
      </c>
      <c r="CM163" s="102">
        <f t="shared" si="138"/>
        <v>2200</v>
      </c>
      <c r="CN163" s="102">
        <f t="shared" si="139"/>
        <v>22</v>
      </c>
      <c r="CO163" s="102">
        <f t="shared" si="140"/>
        <v>2900</v>
      </c>
      <c r="CP163" s="102" t="str">
        <f t="shared" si="141"/>
        <v/>
      </c>
    </row>
    <row r="164" spans="2:94">
      <c r="B164" t="s">
        <v>252</v>
      </c>
      <c r="C164" s="231">
        <v>44881</v>
      </c>
      <c r="D164" s="233">
        <v>10</v>
      </c>
      <c r="E164" s="233">
        <v>8.5</v>
      </c>
      <c r="F164" s="235">
        <v>75</v>
      </c>
      <c r="G164" s="233">
        <v>7.9</v>
      </c>
      <c r="H164" s="233">
        <v>1.4</v>
      </c>
      <c r="I164" s="233">
        <v>59.2</v>
      </c>
      <c r="J164" s="233">
        <v>0.9</v>
      </c>
      <c r="K164" s="235">
        <v>49</v>
      </c>
      <c r="L164" s="235">
        <v>81</v>
      </c>
      <c r="M164" s="235">
        <v>2700</v>
      </c>
      <c r="N164" s="235">
        <v>34</v>
      </c>
      <c r="O164" s="235">
        <v>3600</v>
      </c>
      <c r="Q164">
        <v>2022</v>
      </c>
      <c r="R164">
        <v>11</v>
      </c>
      <c r="T164" s="226"/>
      <c r="U164" s="226"/>
      <c r="V164" s="226"/>
      <c r="W164" s="226"/>
      <c r="X164" s="226"/>
      <c r="Y164" s="226"/>
      <c r="Z164" s="226"/>
      <c r="AA164" s="233">
        <f t="shared" si="95"/>
        <v>10.332000000000001</v>
      </c>
      <c r="AB164" s="233">
        <f t="shared" si="96"/>
        <v>12.739174193481931</v>
      </c>
      <c r="AC164" s="233">
        <f t="shared" si="97"/>
        <v>7.9248258065180703</v>
      </c>
      <c r="AD164">
        <v>2.95</v>
      </c>
      <c r="AE164" s="233">
        <f t="shared" si="98"/>
        <v>7.9374301675977676</v>
      </c>
      <c r="AF164" s="233">
        <f t="shared" si="99"/>
        <v>8.0830597168027865</v>
      </c>
      <c r="AG164" s="233">
        <f t="shared" si="100"/>
        <v>7.7918006183927488</v>
      </c>
      <c r="AH164">
        <v>6.5</v>
      </c>
      <c r="AI164" s="233">
        <f t="shared" si="101"/>
        <v>3.3601117318435763</v>
      </c>
      <c r="AJ164" s="233">
        <f t="shared" si="102"/>
        <v>6.3851512410714601</v>
      </c>
      <c r="AK164" s="233">
        <f t="shared" si="103"/>
        <v>0.33507222261569281</v>
      </c>
      <c r="AL164">
        <v>7</v>
      </c>
      <c r="AM164" s="233">
        <f t="shared" si="104"/>
        <v>48.104347826086951</v>
      </c>
      <c r="AN164" s="233">
        <f t="shared" si="105"/>
        <v>52.277593646348265</v>
      </c>
      <c r="AO164" s="233">
        <f t="shared" si="106"/>
        <v>43.931102005825636</v>
      </c>
      <c r="AP164" s="233">
        <f t="shared" si="107"/>
        <v>2.0655865921787711</v>
      </c>
      <c r="AQ164" s="233">
        <f t="shared" si="108"/>
        <v>3.1665882132978602</v>
      </c>
      <c r="AR164" s="233">
        <f t="shared" si="109"/>
        <v>0.96458497105968211</v>
      </c>
      <c r="AS164" s="235">
        <f t="shared" si="110"/>
        <v>33.105027932960894</v>
      </c>
      <c r="AT164" s="235">
        <f t="shared" si="111"/>
        <v>50.535961542150602</v>
      </c>
      <c r="AU164" s="235">
        <f t="shared" si="112"/>
        <v>15.67409432377119</v>
      </c>
      <c r="AV164">
        <v>100</v>
      </c>
      <c r="AW164" s="235">
        <f t="shared" si="113"/>
        <v>62.766666666666666</v>
      </c>
      <c r="AX164" s="235">
        <f t="shared" si="114"/>
        <v>80.98511149172171</v>
      </c>
      <c r="AY164" s="235">
        <f t="shared" si="115"/>
        <v>44.548221841611614</v>
      </c>
      <c r="AZ164" s="235">
        <f t="shared" si="116"/>
        <v>2941.6666666666665</v>
      </c>
      <c r="BA164" s="235">
        <f t="shared" si="117"/>
        <v>4966.9775952753826</v>
      </c>
      <c r="BB164" s="235">
        <f t="shared" si="118"/>
        <v>916.35573805795048</v>
      </c>
      <c r="BC164" s="235">
        <f t="shared" si="119"/>
        <v>53.18888888888889</v>
      </c>
      <c r="BD164" s="235">
        <f t="shared" si="120"/>
        <v>112.67052202318322</v>
      </c>
      <c r="BE164" s="235">
        <f t="shared" si="121"/>
        <v>-6.2927442454054372</v>
      </c>
      <c r="BF164" s="235">
        <f t="shared" si="122"/>
        <v>3577.2222222222222</v>
      </c>
      <c r="BG164" s="235">
        <f t="shared" si="123"/>
        <v>5636.1265941907786</v>
      </c>
      <c r="BH164" s="235">
        <f t="shared" si="124"/>
        <v>1518.3178502536657</v>
      </c>
      <c r="BI164">
        <v>5000</v>
      </c>
      <c r="BJ164" s="235">
        <f t="shared" si="125"/>
        <v>0</v>
      </c>
      <c r="BK164" s="235">
        <f t="shared" si="126"/>
        <v>0</v>
      </c>
      <c r="BL164" s="235">
        <f t="shared" si="127"/>
        <v>0</v>
      </c>
      <c r="BO164" s="235">
        <f t="shared" si="128"/>
        <v>44881</v>
      </c>
      <c r="CD164" s="533">
        <f t="shared" si="129"/>
        <v>10</v>
      </c>
      <c r="CE164" s="102">
        <f t="shared" si="130"/>
        <v>8.5</v>
      </c>
      <c r="CF164" s="102">
        <f t="shared" si="131"/>
        <v>75</v>
      </c>
      <c r="CG164" s="102">
        <f t="shared" si="132"/>
        <v>7.9</v>
      </c>
      <c r="CH164" s="102">
        <f t="shared" si="133"/>
        <v>1.4</v>
      </c>
      <c r="CI164" s="102">
        <f t="shared" si="134"/>
        <v>59.2</v>
      </c>
      <c r="CJ164" s="102">
        <f t="shared" si="135"/>
        <v>0.9</v>
      </c>
      <c r="CK164" s="102">
        <f t="shared" si="136"/>
        <v>49</v>
      </c>
      <c r="CL164" s="102">
        <f t="shared" si="137"/>
        <v>81</v>
      </c>
      <c r="CM164" s="102">
        <f t="shared" si="138"/>
        <v>2700</v>
      </c>
      <c r="CN164" s="102">
        <f t="shared" si="139"/>
        <v>34</v>
      </c>
      <c r="CO164" s="102">
        <f t="shared" si="140"/>
        <v>3600</v>
      </c>
      <c r="CP164" s="102" t="str">
        <f t="shared" si="141"/>
        <v/>
      </c>
    </row>
    <row r="165" spans="2:94">
      <c r="B165" t="s">
        <v>252</v>
      </c>
      <c r="C165" s="231">
        <v>44916</v>
      </c>
      <c r="D165" s="233">
        <v>1.7</v>
      </c>
      <c r="E165" s="233">
        <v>13.3</v>
      </c>
      <c r="F165" s="235">
        <v>95</v>
      </c>
      <c r="G165" s="233">
        <v>7.8</v>
      </c>
      <c r="H165" s="233">
        <v>6.1</v>
      </c>
      <c r="J165" s="233">
        <v>3.9</v>
      </c>
      <c r="K165" s="235">
        <v>41</v>
      </c>
      <c r="L165" s="235">
        <v>82</v>
      </c>
      <c r="M165" s="235">
        <v>3600</v>
      </c>
      <c r="N165" s="235">
        <v>600</v>
      </c>
      <c r="O165" s="235">
        <v>4700</v>
      </c>
      <c r="Q165">
        <v>2022</v>
      </c>
      <c r="R165">
        <v>12</v>
      </c>
      <c r="T165" s="226"/>
      <c r="U165" s="226"/>
      <c r="V165" s="226"/>
      <c r="W165" s="226"/>
      <c r="X165" s="226"/>
      <c r="Y165" s="226"/>
      <c r="Z165" s="226"/>
      <c r="AA165" s="233">
        <f t="shared" si="95"/>
        <v>10.332000000000001</v>
      </c>
      <c r="AB165" s="233">
        <f t="shared" si="96"/>
        <v>12.739174193481931</v>
      </c>
      <c r="AC165" s="233">
        <f t="shared" si="97"/>
        <v>7.9248258065180703</v>
      </c>
      <c r="AD165">
        <v>2.95</v>
      </c>
      <c r="AE165" s="233">
        <f t="shared" si="98"/>
        <v>7.9374301675977676</v>
      </c>
      <c r="AF165" s="233">
        <f t="shared" si="99"/>
        <v>8.0830597168027865</v>
      </c>
      <c r="AG165" s="233">
        <f t="shared" si="100"/>
        <v>7.7918006183927488</v>
      </c>
      <c r="AH165">
        <v>6.5</v>
      </c>
      <c r="AI165" s="233">
        <f t="shared" si="101"/>
        <v>3.3601117318435763</v>
      </c>
      <c r="AJ165" s="233">
        <f t="shared" si="102"/>
        <v>6.3851512410714601</v>
      </c>
      <c r="AK165" s="233">
        <f t="shared" si="103"/>
        <v>0.33507222261569281</v>
      </c>
      <c r="AL165">
        <v>7</v>
      </c>
      <c r="AM165" s="233">
        <f t="shared" si="104"/>
        <v>48.104347826086951</v>
      </c>
      <c r="AN165" s="233">
        <f t="shared" si="105"/>
        <v>52.277593646348265</v>
      </c>
      <c r="AO165" s="233">
        <f t="shared" si="106"/>
        <v>43.931102005825636</v>
      </c>
      <c r="AP165" s="233">
        <f t="shared" si="107"/>
        <v>2.0655865921787711</v>
      </c>
      <c r="AQ165" s="233">
        <f t="shared" si="108"/>
        <v>3.1665882132978602</v>
      </c>
      <c r="AR165" s="233">
        <f t="shared" si="109"/>
        <v>0.96458497105968211</v>
      </c>
      <c r="AS165" s="235">
        <f t="shared" si="110"/>
        <v>33.105027932960894</v>
      </c>
      <c r="AT165" s="235">
        <f t="shared" si="111"/>
        <v>50.535961542150602</v>
      </c>
      <c r="AU165" s="235">
        <f t="shared" si="112"/>
        <v>15.67409432377119</v>
      </c>
      <c r="AV165">
        <v>100</v>
      </c>
      <c r="AW165" s="235">
        <f t="shared" si="113"/>
        <v>62.766666666666666</v>
      </c>
      <c r="AX165" s="235">
        <f t="shared" si="114"/>
        <v>80.98511149172171</v>
      </c>
      <c r="AY165" s="235">
        <f t="shared" si="115"/>
        <v>44.548221841611614</v>
      </c>
      <c r="AZ165" s="235">
        <f t="shared" si="116"/>
        <v>2941.6666666666665</v>
      </c>
      <c r="BA165" s="235">
        <f t="shared" si="117"/>
        <v>4966.9775952753826</v>
      </c>
      <c r="BB165" s="235">
        <f t="shared" si="118"/>
        <v>916.35573805795048</v>
      </c>
      <c r="BC165" s="235">
        <f t="shared" si="119"/>
        <v>53.18888888888889</v>
      </c>
      <c r="BD165" s="235">
        <f t="shared" si="120"/>
        <v>112.67052202318322</v>
      </c>
      <c r="BE165" s="235">
        <f t="shared" si="121"/>
        <v>-6.2927442454054372</v>
      </c>
      <c r="BF165" s="235">
        <f t="shared" si="122"/>
        <v>3577.2222222222222</v>
      </c>
      <c r="BG165" s="235">
        <f t="shared" si="123"/>
        <v>5636.1265941907786</v>
      </c>
      <c r="BH165" s="235">
        <f t="shared" si="124"/>
        <v>1518.3178502536657</v>
      </c>
      <c r="BI165">
        <v>5000</v>
      </c>
      <c r="BJ165" s="235">
        <f t="shared" si="125"/>
        <v>0</v>
      </c>
      <c r="BK165" s="235">
        <f t="shared" si="126"/>
        <v>0</v>
      </c>
      <c r="BL165" s="235">
        <f t="shared" si="127"/>
        <v>0</v>
      </c>
      <c r="BO165" s="235">
        <f t="shared" si="128"/>
        <v>44916</v>
      </c>
      <c r="CD165" s="533">
        <f t="shared" si="129"/>
        <v>1.7</v>
      </c>
      <c r="CE165" s="102">
        <f t="shared" si="130"/>
        <v>13.3</v>
      </c>
      <c r="CF165" s="102">
        <f t="shared" si="131"/>
        <v>95</v>
      </c>
      <c r="CG165" s="102">
        <f t="shared" si="132"/>
        <v>7.8</v>
      </c>
      <c r="CH165" s="102">
        <f t="shared" si="133"/>
        <v>6.1</v>
      </c>
      <c r="CI165" s="102" t="str">
        <f t="shared" si="134"/>
        <v/>
      </c>
      <c r="CJ165" s="102">
        <f t="shared" si="135"/>
        <v>3.9</v>
      </c>
      <c r="CK165" s="102">
        <f t="shared" si="136"/>
        <v>41</v>
      </c>
      <c r="CL165" s="102">
        <f t="shared" si="137"/>
        <v>82</v>
      </c>
      <c r="CM165" s="102">
        <f t="shared" si="138"/>
        <v>3600</v>
      </c>
      <c r="CN165" s="102">
        <f t="shared" si="139"/>
        <v>600</v>
      </c>
      <c r="CO165" s="102">
        <f t="shared" si="140"/>
        <v>4700</v>
      </c>
      <c r="CP165" s="102" t="str">
        <f t="shared" si="141"/>
        <v/>
      </c>
    </row>
    <row r="166" spans="2:94">
      <c r="B166" t="s">
        <v>252</v>
      </c>
      <c r="C166" s="231">
        <v>44944</v>
      </c>
      <c r="D166" s="233">
        <v>4</v>
      </c>
      <c r="E166" s="233">
        <v>12.6</v>
      </c>
      <c r="F166" s="235">
        <v>97</v>
      </c>
      <c r="G166" s="233">
        <v>7.9</v>
      </c>
      <c r="H166" s="233">
        <v>5.7</v>
      </c>
      <c r="I166" s="233">
        <v>43.6</v>
      </c>
      <c r="J166" s="233">
        <v>2.1</v>
      </c>
      <c r="K166" s="235">
        <v>40</v>
      </c>
      <c r="L166" s="235">
        <v>79</v>
      </c>
      <c r="M166" s="235">
        <v>5600</v>
      </c>
      <c r="N166" s="235">
        <v>100</v>
      </c>
      <c r="O166" s="235">
        <v>6100</v>
      </c>
      <c r="Q166">
        <v>2023</v>
      </c>
      <c r="R166">
        <v>1</v>
      </c>
      <c r="T166" s="226"/>
      <c r="U166" s="226"/>
      <c r="V166" s="226"/>
      <c r="W166" s="226"/>
      <c r="X166" s="226"/>
      <c r="Y166" s="226"/>
      <c r="Z166" s="226"/>
      <c r="AA166" s="233">
        <f t="shared" si="95"/>
        <v>10.332000000000001</v>
      </c>
      <c r="AB166" s="233">
        <f t="shared" si="96"/>
        <v>12.739174193481931</v>
      </c>
      <c r="AC166" s="233">
        <f t="shared" si="97"/>
        <v>7.9248258065180703</v>
      </c>
      <c r="AD166">
        <v>2.95</v>
      </c>
      <c r="AE166" s="233">
        <f t="shared" si="98"/>
        <v>7.9374301675977676</v>
      </c>
      <c r="AF166" s="233">
        <f t="shared" si="99"/>
        <v>8.0830597168027865</v>
      </c>
      <c r="AG166" s="233">
        <f t="shared" si="100"/>
        <v>7.7918006183927488</v>
      </c>
      <c r="AH166">
        <v>6.5</v>
      </c>
      <c r="AI166" s="233">
        <f t="shared" si="101"/>
        <v>3.3601117318435763</v>
      </c>
      <c r="AJ166" s="233">
        <f t="shared" si="102"/>
        <v>6.3851512410714601</v>
      </c>
      <c r="AK166" s="233">
        <f t="shared" si="103"/>
        <v>0.33507222261569281</v>
      </c>
      <c r="AL166">
        <v>7</v>
      </c>
      <c r="AM166" s="233">
        <f t="shared" si="104"/>
        <v>48.104347826086951</v>
      </c>
      <c r="AN166" s="233">
        <f t="shared" si="105"/>
        <v>52.277593646348265</v>
      </c>
      <c r="AO166" s="233">
        <f t="shared" si="106"/>
        <v>43.931102005825636</v>
      </c>
      <c r="AP166" s="233">
        <f t="shared" si="107"/>
        <v>2.0655865921787711</v>
      </c>
      <c r="AQ166" s="233">
        <f t="shared" si="108"/>
        <v>3.1665882132978602</v>
      </c>
      <c r="AR166" s="233">
        <f t="shared" si="109"/>
        <v>0.96458497105968211</v>
      </c>
      <c r="AS166" s="235">
        <f t="shared" si="110"/>
        <v>33.105027932960894</v>
      </c>
      <c r="AT166" s="235">
        <f t="shared" si="111"/>
        <v>50.535961542150602</v>
      </c>
      <c r="AU166" s="235">
        <f t="shared" si="112"/>
        <v>15.67409432377119</v>
      </c>
      <c r="AV166">
        <v>100</v>
      </c>
      <c r="AW166" s="235">
        <f t="shared" si="113"/>
        <v>62.766666666666666</v>
      </c>
      <c r="AX166" s="235">
        <f t="shared" si="114"/>
        <v>80.98511149172171</v>
      </c>
      <c r="AY166" s="235">
        <f t="shared" si="115"/>
        <v>44.548221841611614</v>
      </c>
      <c r="AZ166" s="235">
        <f t="shared" si="116"/>
        <v>2941.6666666666665</v>
      </c>
      <c r="BA166" s="235">
        <f t="shared" si="117"/>
        <v>4966.9775952753826</v>
      </c>
      <c r="BB166" s="235">
        <f t="shared" si="118"/>
        <v>916.35573805795048</v>
      </c>
      <c r="BC166" s="235">
        <f t="shared" si="119"/>
        <v>53.18888888888889</v>
      </c>
      <c r="BD166" s="235">
        <f t="shared" si="120"/>
        <v>112.67052202318322</v>
      </c>
      <c r="BE166" s="235">
        <f t="shared" si="121"/>
        <v>-6.2927442454054372</v>
      </c>
      <c r="BF166" s="235">
        <f t="shared" si="122"/>
        <v>3577.2222222222222</v>
      </c>
      <c r="BG166" s="235">
        <f t="shared" si="123"/>
        <v>5636.1265941907786</v>
      </c>
      <c r="BH166" s="235">
        <f t="shared" si="124"/>
        <v>1518.3178502536657</v>
      </c>
      <c r="BI166">
        <v>5000</v>
      </c>
      <c r="BJ166" s="235">
        <f t="shared" si="125"/>
        <v>0</v>
      </c>
      <c r="BK166" s="235">
        <f t="shared" si="126"/>
        <v>0</v>
      </c>
      <c r="BL166" s="235">
        <f t="shared" si="127"/>
        <v>0</v>
      </c>
      <c r="BO166" s="235">
        <f t="shared" si="128"/>
        <v>44944</v>
      </c>
      <c r="CD166" s="533">
        <f t="shared" si="129"/>
        <v>4</v>
      </c>
      <c r="CE166" s="102">
        <f t="shared" si="130"/>
        <v>12.6</v>
      </c>
      <c r="CF166" s="102">
        <f t="shared" si="131"/>
        <v>97</v>
      </c>
      <c r="CG166" s="102">
        <f t="shared" si="132"/>
        <v>7.9</v>
      </c>
      <c r="CH166" s="102">
        <f t="shared" si="133"/>
        <v>5.7</v>
      </c>
      <c r="CI166" s="102">
        <f t="shared" si="134"/>
        <v>43.6</v>
      </c>
      <c r="CJ166" s="102">
        <f t="shared" si="135"/>
        <v>2.1</v>
      </c>
      <c r="CK166" s="102">
        <f t="shared" si="136"/>
        <v>40</v>
      </c>
      <c r="CL166" s="102">
        <f t="shared" si="137"/>
        <v>79</v>
      </c>
      <c r="CM166" s="102">
        <f t="shared" si="138"/>
        <v>5600</v>
      </c>
      <c r="CN166" s="102">
        <f t="shared" si="139"/>
        <v>100</v>
      </c>
      <c r="CO166" s="102">
        <f t="shared" si="140"/>
        <v>6100</v>
      </c>
      <c r="CP166" s="102" t="str">
        <f t="shared" si="141"/>
        <v/>
      </c>
    </row>
    <row r="167" spans="2:94">
      <c r="B167" t="s">
        <v>252</v>
      </c>
      <c r="C167" s="231">
        <v>44970</v>
      </c>
      <c r="D167" s="233">
        <v>5</v>
      </c>
      <c r="E167" s="233">
        <v>13.2</v>
      </c>
      <c r="F167" s="235">
        <v>99</v>
      </c>
      <c r="G167" s="233">
        <v>8</v>
      </c>
      <c r="H167" s="233">
        <v>2.6</v>
      </c>
      <c r="I167" s="233">
        <v>47.8</v>
      </c>
      <c r="J167" s="233">
        <v>2.2000000000000002</v>
      </c>
      <c r="K167" s="235">
        <v>21</v>
      </c>
      <c r="L167" s="235">
        <v>51</v>
      </c>
      <c r="M167" s="235">
        <v>4300</v>
      </c>
      <c r="N167" s="235">
        <v>54</v>
      </c>
      <c r="O167" s="235">
        <v>4800</v>
      </c>
      <c r="Q167">
        <v>2023</v>
      </c>
      <c r="R167">
        <v>2</v>
      </c>
      <c r="T167" s="226"/>
      <c r="U167" s="226"/>
      <c r="V167" s="226"/>
      <c r="W167" s="226"/>
      <c r="X167" s="226"/>
      <c r="Y167" s="226"/>
      <c r="Z167" s="226"/>
      <c r="AA167" s="233">
        <f t="shared" si="95"/>
        <v>10.332000000000001</v>
      </c>
      <c r="AB167" s="233">
        <f t="shared" si="96"/>
        <v>12.739174193481931</v>
      </c>
      <c r="AC167" s="233">
        <f t="shared" si="97"/>
        <v>7.9248258065180703</v>
      </c>
      <c r="AD167">
        <v>2.95</v>
      </c>
      <c r="AE167" s="233">
        <f t="shared" si="98"/>
        <v>7.9374301675977676</v>
      </c>
      <c r="AF167" s="233">
        <f t="shared" si="99"/>
        <v>8.0830597168027865</v>
      </c>
      <c r="AG167" s="233">
        <f t="shared" si="100"/>
        <v>7.7918006183927488</v>
      </c>
      <c r="AH167">
        <v>6.5</v>
      </c>
      <c r="AI167" s="233">
        <f t="shared" si="101"/>
        <v>3.3601117318435763</v>
      </c>
      <c r="AJ167" s="233">
        <f t="shared" si="102"/>
        <v>6.3851512410714601</v>
      </c>
      <c r="AK167" s="233">
        <f t="shared" si="103"/>
        <v>0.33507222261569281</v>
      </c>
      <c r="AL167">
        <v>7</v>
      </c>
      <c r="AM167" s="233">
        <f t="shared" si="104"/>
        <v>48.104347826086951</v>
      </c>
      <c r="AN167" s="233">
        <f t="shared" si="105"/>
        <v>52.277593646348265</v>
      </c>
      <c r="AO167" s="233">
        <f t="shared" si="106"/>
        <v>43.931102005825636</v>
      </c>
      <c r="AP167" s="233">
        <f t="shared" si="107"/>
        <v>2.0655865921787711</v>
      </c>
      <c r="AQ167" s="233">
        <f t="shared" si="108"/>
        <v>3.1665882132978602</v>
      </c>
      <c r="AR167" s="233">
        <f t="shared" si="109"/>
        <v>0.96458497105968211</v>
      </c>
      <c r="AS167" s="235">
        <f t="shared" si="110"/>
        <v>33.105027932960894</v>
      </c>
      <c r="AT167" s="235">
        <f t="shared" si="111"/>
        <v>50.535961542150602</v>
      </c>
      <c r="AU167" s="235">
        <f t="shared" si="112"/>
        <v>15.67409432377119</v>
      </c>
      <c r="AV167">
        <v>100</v>
      </c>
      <c r="AW167" s="235">
        <f t="shared" si="113"/>
        <v>62.766666666666666</v>
      </c>
      <c r="AX167" s="235">
        <f t="shared" si="114"/>
        <v>80.98511149172171</v>
      </c>
      <c r="AY167" s="235">
        <f t="shared" si="115"/>
        <v>44.548221841611614</v>
      </c>
      <c r="AZ167" s="235">
        <f t="shared" si="116"/>
        <v>2941.6666666666665</v>
      </c>
      <c r="BA167" s="235">
        <f t="shared" si="117"/>
        <v>4966.9775952753826</v>
      </c>
      <c r="BB167" s="235">
        <f t="shared" si="118"/>
        <v>916.35573805795048</v>
      </c>
      <c r="BC167" s="235">
        <f t="shared" si="119"/>
        <v>53.18888888888889</v>
      </c>
      <c r="BD167" s="235">
        <f t="shared" si="120"/>
        <v>112.67052202318322</v>
      </c>
      <c r="BE167" s="235">
        <f t="shared" si="121"/>
        <v>-6.2927442454054372</v>
      </c>
      <c r="BF167" s="235">
        <f t="shared" si="122"/>
        <v>3577.2222222222222</v>
      </c>
      <c r="BG167" s="235">
        <f t="shared" si="123"/>
        <v>5636.1265941907786</v>
      </c>
      <c r="BH167" s="235">
        <f t="shared" si="124"/>
        <v>1518.3178502536657</v>
      </c>
      <c r="BI167">
        <v>5000</v>
      </c>
      <c r="BJ167" s="235">
        <f t="shared" si="125"/>
        <v>0</v>
      </c>
      <c r="BK167" s="235">
        <f t="shared" si="126"/>
        <v>0</v>
      </c>
      <c r="BL167" s="235">
        <f t="shared" si="127"/>
        <v>0</v>
      </c>
      <c r="BO167" s="235">
        <f t="shared" si="128"/>
        <v>44970</v>
      </c>
      <c r="CD167" s="533">
        <f t="shared" si="129"/>
        <v>5</v>
      </c>
      <c r="CE167" s="102">
        <f t="shared" si="130"/>
        <v>13.2</v>
      </c>
      <c r="CF167" s="102">
        <f t="shared" si="131"/>
        <v>99</v>
      </c>
      <c r="CG167" s="102">
        <f t="shared" si="132"/>
        <v>8</v>
      </c>
      <c r="CH167" s="102">
        <f t="shared" si="133"/>
        <v>2.6</v>
      </c>
      <c r="CI167" s="102">
        <f t="shared" si="134"/>
        <v>47.8</v>
      </c>
      <c r="CJ167" s="102">
        <f t="shared" si="135"/>
        <v>2.2000000000000002</v>
      </c>
      <c r="CK167" s="102">
        <f t="shared" si="136"/>
        <v>21</v>
      </c>
      <c r="CL167" s="102">
        <f t="shared" si="137"/>
        <v>51</v>
      </c>
      <c r="CM167" s="102">
        <f t="shared" si="138"/>
        <v>4300</v>
      </c>
      <c r="CN167" s="102">
        <f t="shared" si="139"/>
        <v>54</v>
      </c>
      <c r="CO167" s="102">
        <f t="shared" si="140"/>
        <v>4800</v>
      </c>
      <c r="CP167" s="102" t="str">
        <f t="shared" si="141"/>
        <v/>
      </c>
    </row>
    <row r="168" spans="2:94">
      <c r="B168" t="s">
        <v>252</v>
      </c>
      <c r="C168" s="231">
        <v>45006</v>
      </c>
      <c r="D168" s="233">
        <v>5.4</v>
      </c>
      <c r="E168" s="233">
        <v>12.9</v>
      </c>
      <c r="F168" s="235">
        <v>102</v>
      </c>
      <c r="G168" s="233">
        <v>8.1</v>
      </c>
      <c r="H168" s="233">
        <v>4.4000000000000004</v>
      </c>
      <c r="I168" s="233">
        <v>47.3</v>
      </c>
      <c r="J168" s="233">
        <v>2.6</v>
      </c>
      <c r="K168" s="235">
        <v>6.1</v>
      </c>
      <c r="L168" s="235">
        <v>40</v>
      </c>
      <c r="M168" s="235">
        <v>4700</v>
      </c>
      <c r="N168" s="235">
        <v>27</v>
      </c>
      <c r="O168" s="235">
        <v>5600</v>
      </c>
      <c r="Q168">
        <v>2023</v>
      </c>
      <c r="R168">
        <v>3</v>
      </c>
      <c r="T168" s="226"/>
      <c r="U168" s="226"/>
      <c r="V168" s="226"/>
      <c r="W168" s="226"/>
      <c r="X168" s="226"/>
      <c r="Y168" s="226"/>
      <c r="Z168" s="226"/>
      <c r="AA168" s="233">
        <f t="shared" si="95"/>
        <v>10.332000000000001</v>
      </c>
      <c r="AB168" s="233">
        <f t="shared" si="96"/>
        <v>12.739174193481931</v>
      </c>
      <c r="AC168" s="233">
        <f t="shared" si="97"/>
        <v>7.9248258065180703</v>
      </c>
      <c r="AD168">
        <v>2.95</v>
      </c>
      <c r="AE168" s="233">
        <f t="shared" si="98"/>
        <v>7.9374301675977676</v>
      </c>
      <c r="AF168" s="233">
        <f t="shared" si="99"/>
        <v>8.0830597168027865</v>
      </c>
      <c r="AG168" s="233">
        <f t="shared" si="100"/>
        <v>7.7918006183927488</v>
      </c>
      <c r="AH168">
        <v>6.5</v>
      </c>
      <c r="AI168" s="233">
        <f t="shared" si="101"/>
        <v>3.3601117318435763</v>
      </c>
      <c r="AJ168" s="233">
        <f t="shared" si="102"/>
        <v>6.3851512410714601</v>
      </c>
      <c r="AK168" s="233">
        <f t="shared" si="103"/>
        <v>0.33507222261569281</v>
      </c>
      <c r="AL168">
        <v>7</v>
      </c>
      <c r="AM168" s="233">
        <f t="shared" si="104"/>
        <v>48.104347826086951</v>
      </c>
      <c r="AN168" s="233">
        <f t="shared" si="105"/>
        <v>52.277593646348265</v>
      </c>
      <c r="AO168" s="233">
        <f t="shared" si="106"/>
        <v>43.931102005825636</v>
      </c>
      <c r="AP168" s="233">
        <f t="shared" si="107"/>
        <v>2.0655865921787711</v>
      </c>
      <c r="AQ168" s="233">
        <f t="shared" si="108"/>
        <v>3.1665882132978602</v>
      </c>
      <c r="AR168" s="233">
        <f t="shared" si="109"/>
        <v>0.96458497105968211</v>
      </c>
      <c r="AS168" s="235">
        <f t="shared" si="110"/>
        <v>33.105027932960894</v>
      </c>
      <c r="AT168" s="235">
        <f t="shared" si="111"/>
        <v>50.535961542150602</v>
      </c>
      <c r="AU168" s="235">
        <f t="shared" si="112"/>
        <v>15.67409432377119</v>
      </c>
      <c r="AV168">
        <v>100</v>
      </c>
      <c r="AW168" s="235">
        <f t="shared" si="113"/>
        <v>62.766666666666666</v>
      </c>
      <c r="AX168" s="235">
        <f t="shared" si="114"/>
        <v>80.98511149172171</v>
      </c>
      <c r="AY168" s="235">
        <f t="shared" si="115"/>
        <v>44.548221841611614</v>
      </c>
      <c r="AZ168" s="235">
        <f t="shared" si="116"/>
        <v>2941.6666666666665</v>
      </c>
      <c r="BA168" s="235">
        <f t="shared" si="117"/>
        <v>4966.9775952753826</v>
      </c>
      <c r="BB168" s="235">
        <f t="shared" si="118"/>
        <v>916.35573805795048</v>
      </c>
      <c r="BC168" s="235">
        <f t="shared" si="119"/>
        <v>53.18888888888889</v>
      </c>
      <c r="BD168" s="235">
        <f t="shared" si="120"/>
        <v>112.67052202318322</v>
      </c>
      <c r="BE168" s="235">
        <f t="shared" si="121"/>
        <v>-6.2927442454054372</v>
      </c>
      <c r="BF168" s="235">
        <f t="shared" si="122"/>
        <v>3577.2222222222222</v>
      </c>
      <c r="BG168" s="235">
        <f t="shared" si="123"/>
        <v>5636.1265941907786</v>
      </c>
      <c r="BH168" s="235">
        <f t="shared" si="124"/>
        <v>1518.3178502536657</v>
      </c>
      <c r="BI168">
        <v>5000</v>
      </c>
      <c r="BJ168" s="235">
        <f t="shared" si="125"/>
        <v>0</v>
      </c>
      <c r="BK168" s="235">
        <f t="shared" si="126"/>
        <v>0</v>
      </c>
      <c r="BL168" s="235">
        <f t="shared" si="127"/>
        <v>0</v>
      </c>
      <c r="BO168" s="235">
        <f t="shared" si="128"/>
        <v>45006</v>
      </c>
      <c r="CD168" s="533">
        <f t="shared" si="129"/>
        <v>5.4</v>
      </c>
      <c r="CE168" s="102">
        <f t="shared" si="130"/>
        <v>12.9</v>
      </c>
      <c r="CF168" s="102">
        <f t="shared" si="131"/>
        <v>102</v>
      </c>
      <c r="CG168" s="102">
        <f t="shared" si="132"/>
        <v>8.1</v>
      </c>
      <c r="CH168" s="102">
        <f t="shared" si="133"/>
        <v>4.4000000000000004</v>
      </c>
      <c r="CI168" s="102">
        <f t="shared" si="134"/>
        <v>47.3</v>
      </c>
      <c r="CJ168" s="102">
        <f t="shared" si="135"/>
        <v>2.6</v>
      </c>
      <c r="CK168" s="102">
        <f t="shared" si="136"/>
        <v>6.1</v>
      </c>
      <c r="CL168" s="102">
        <f t="shared" si="137"/>
        <v>40</v>
      </c>
      <c r="CM168" s="102">
        <f t="shared" si="138"/>
        <v>4700</v>
      </c>
      <c r="CN168" s="102">
        <f t="shared" si="139"/>
        <v>27</v>
      </c>
      <c r="CO168" s="102">
        <f t="shared" si="140"/>
        <v>5600</v>
      </c>
      <c r="CP168" s="102" t="str">
        <f t="shared" si="141"/>
        <v/>
      </c>
    </row>
    <row r="169" spans="2:94">
      <c r="B169" t="s">
        <v>252</v>
      </c>
      <c r="C169" s="231">
        <v>45034</v>
      </c>
      <c r="D169" s="233">
        <v>10.199999999999999</v>
      </c>
      <c r="E169" s="233">
        <v>11.7</v>
      </c>
      <c r="F169" s="235">
        <v>102</v>
      </c>
      <c r="G169" s="233">
        <v>8.1</v>
      </c>
      <c r="H169" s="233">
        <v>2.5</v>
      </c>
      <c r="I169" s="233">
        <v>49.8</v>
      </c>
      <c r="J169" s="233">
        <v>2.4</v>
      </c>
      <c r="K169" s="235">
        <v>6.2</v>
      </c>
      <c r="L169" s="235">
        <v>30</v>
      </c>
      <c r="M169" s="235">
        <v>2400</v>
      </c>
      <c r="N169" s="235">
        <v>15</v>
      </c>
      <c r="O169" s="235">
        <v>3400</v>
      </c>
      <c r="Q169">
        <v>2023</v>
      </c>
      <c r="R169">
        <v>4</v>
      </c>
      <c r="T169" s="226"/>
      <c r="U169" s="226"/>
      <c r="V169" s="226"/>
      <c r="W169" s="226"/>
      <c r="X169" s="226"/>
      <c r="Y169" s="226"/>
      <c r="Z169" s="226"/>
      <c r="AA169" s="233">
        <f t="shared" si="95"/>
        <v>10.332000000000001</v>
      </c>
      <c r="AB169" s="233">
        <f t="shared" si="96"/>
        <v>12.739174193481931</v>
      </c>
      <c r="AC169" s="233">
        <f t="shared" si="97"/>
        <v>7.9248258065180703</v>
      </c>
      <c r="AD169">
        <v>2.95</v>
      </c>
      <c r="AE169" s="233">
        <f t="shared" si="98"/>
        <v>7.9374301675977676</v>
      </c>
      <c r="AF169" s="233">
        <f t="shared" si="99"/>
        <v>8.0830597168027865</v>
      </c>
      <c r="AG169" s="233">
        <f t="shared" si="100"/>
        <v>7.7918006183927488</v>
      </c>
      <c r="AH169">
        <v>6.5</v>
      </c>
      <c r="AI169" s="233">
        <f t="shared" si="101"/>
        <v>3.3601117318435763</v>
      </c>
      <c r="AJ169" s="233">
        <f t="shared" si="102"/>
        <v>6.3851512410714601</v>
      </c>
      <c r="AK169" s="233">
        <f t="shared" si="103"/>
        <v>0.33507222261569281</v>
      </c>
      <c r="AL169">
        <v>7</v>
      </c>
      <c r="AM169" s="233">
        <f t="shared" si="104"/>
        <v>48.104347826086951</v>
      </c>
      <c r="AN169" s="233">
        <f t="shared" si="105"/>
        <v>52.277593646348265</v>
      </c>
      <c r="AO169" s="233">
        <f t="shared" si="106"/>
        <v>43.931102005825636</v>
      </c>
      <c r="AP169" s="233">
        <f t="shared" si="107"/>
        <v>2.0655865921787711</v>
      </c>
      <c r="AQ169" s="233">
        <f t="shared" si="108"/>
        <v>3.1665882132978602</v>
      </c>
      <c r="AR169" s="233">
        <f t="shared" si="109"/>
        <v>0.96458497105968211</v>
      </c>
      <c r="AS169" s="235">
        <f t="shared" si="110"/>
        <v>33.105027932960894</v>
      </c>
      <c r="AT169" s="235">
        <f t="shared" si="111"/>
        <v>50.535961542150602</v>
      </c>
      <c r="AU169" s="235">
        <f t="shared" si="112"/>
        <v>15.67409432377119</v>
      </c>
      <c r="AV169">
        <v>100</v>
      </c>
      <c r="AW169" s="235">
        <f t="shared" si="113"/>
        <v>62.766666666666666</v>
      </c>
      <c r="AX169" s="235">
        <f t="shared" si="114"/>
        <v>80.98511149172171</v>
      </c>
      <c r="AY169" s="235">
        <f t="shared" si="115"/>
        <v>44.548221841611614</v>
      </c>
      <c r="AZ169" s="235">
        <f t="shared" si="116"/>
        <v>2941.6666666666665</v>
      </c>
      <c r="BA169" s="235">
        <f t="shared" si="117"/>
        <v>4966.9775952753826</v>
      </c>
      <c r="BB169" s="235">
        <f t="shared" si="118"/>
        <v>916.35573805795048</v>
      </c>
      <c r="BC169" s="235">
        <f t="shared" si="119"/>
        <v>53.18888888888889</v>
      </c>
      <c r="BD169" s="235">
        <f t="shared" si="120"/>
        <v>112.67052202318322</v>
      </c>
      <c r="BE169" s="235">
        <f t="shared" si="121"/>
        <v>-6.2927442454054372</v>
      </c>
      <c r="BF169" s="235">
        <f t="shared" si="122"/>
        <v>3577.2222222222222</v>
      </c>
      <c r="BG169" s="235">
        <f t="shared" si="123"/>
        <v>5636.1265941907786</v>
      </c>
      <c r="BH169" s="235">
        <f t="shared" si="124"/>
        <v>1518.3178502536657</v>
      </c>
      <c r="BI169">
        <v>5000</v>
      </c>
      <c r="BJ169" s="235">
        <f t="shared" si="125"/>
        <v>0</v>
      </c>
      <c r="BK169" s="235">
        <f t="shared" si="126"/>
        <v>0</v>
      </c>
      <c r="BL169" s="235">
        <f t="shared" si="127"/>
        <v>0</v>
      </c>
      <c r="BO169" s="235">
        <f t="shared" si="128"/>
        <v>45034</v>
      </c>
      <c r="CD169" s="533">
        <f t="shared" si="129"/>
        <v>10.199999999999999</v>
      </c>
      <c r="CE169" s="102">
        <f t="shared" si="130"/>
        <v>11.7</v>
      </c>
      <c r="CF169" s="102">
        <f t="shared" si="131"/>
        <v>102</v>
      </c>
      <c r="CG169" s="102">
        <f t="shared" si="132"/>
        <v>8.1</v>
      </c>
      <c r="CH169" s="102">
        <f t="shared" si="133"/>
        <v>2.5</v>
      </c>
      <c r="CI169" s="102">
        <f t="shared" si="134"/>
        <v>49.8</v>
      </c>
      <c r="CJ169" s="102">
        <f t="shared" si="135"/>
        <v>2.4</v>
      </c>
      <c r="CK169" s="102">
        <f t="shared" si="136"/>
        <v>6.2</v>
      </c>
      <c r="CL169" s="102">
        <f t="shared" si="137"/>
        <v>30</v>
      </c>
      <c r="CM169" s="102">
        <f t="shared" si="138"/>
        <v>2400</v>
      </c>
      <c r="CN169" s="102">
        <f t="shared" si="139"/>
        <v>15</v>
      </c>
      <c r="CO169" s="102">
        <f t="shared" si="140"/>
        <v>3400</v>
      </c>
      <c r="CP169" s="102" t="str">
        <f t="shared" si="141"/>
        <v/>
      </c>
    </row>
    <row r="170" spans="2:94">
      <c r="B170" t="s">
        <v>252</v>
      </c>
      <c r="C170" s="231">
        <v>45061</v>
      </c>
      <c r="D170" s="233">
        <v>16.8</v>
      </c>
      <c r="E170" s="233">
        <v>9.8000000000000007</v>
      </c>
      <c r="F170" s="235">
        <v>101</v>
      </c>
      <c r="G170" s="233">
        <v>8</v>
      </c>
      <c r="H170" s="233">
        <v>2.5</v>
      </c>
      <c r="I170" s="233">
        <v>51.9</v>
      </c>
      <c r="J170" s="233">
        <v>2</v>
      </c>
      <c r="K170" s="235">
        <v>4.5</v>
      </c>
      <c r="L170" s="235">
        <v>41</v>
      </c>
      <c r="M170" s="235">
        <v>1400</v>
      </c>
      <c r="N170" s="235" t="s">
        <v>148</v>
      </c>
      <c r="O170" s="235">
        <v>2600</v>
      </c>
      <c r="Q170">
        <v>2023</v>
      </c>
      <c r="R170">
        <v>5</v>
      </c>
      <c r="T170" s="226"/>
      <c r="U170" s="226"/>
      <c r="V170" s="226"/>
      <c r="W170" s="226"/>
      <c r="X170" s="226"/>
      <c r="Y170" s="226"/>
      <c r="Z170" s="226"/>
      <c r="AA170" s="233">
        <f t="shared" si="95"/>
        <v>10.332000000000001</v>
      </c>
      <c r="AB170" s="233">
        <f t="shared" si="96"/>
        <v>12.739174193481931</v>
      </c>
      <c r="AC170" s="233">
        <f t="shared" si="97"/>
        <v>7.9248258065180703</v>
      </c>
      <c r="AD170">
        <v>2.95</v>
      </c>
      <c r="AE170" s="233">
        <f t="shared" si="98"/>
        <v>7.9374301675977676</v>
      </c>
      <c r="AF170" s="233">
        <f t="shared" si="99"/>
        <v>8.0830597168027865</v>
      </c>
      <c r="AG170" s="233">
        <f t="shared" si="100"/>
        <v>7.7918006183927488</v>
      </c>
      <c r="AH170">
        <v>6.5</v>
      </c>
      <c r="AI170" s="233">
        <f t="shared" si="101"/>
        <v>3.3601117318435763</v>
      </c>
      <c r="AJ170" s="233">
        <f t="shared" si="102"/>
        <v>6.3851512410714601</v>
      </c>
      <c r="AK170" s="233">
        <f t="shared" si="103"/>
        <v>0.33507222261569281</v>
      </c>
      <c r="AL170">
        <v>7</v>
      </c>
      <c r="AM170" s="233">
        <f t="shared" si="104"/>
        <v>48.104347826086951</v>
      </c>
      <c r="AN170" s="233">
        <f t="shared" si="105"/>
        <v>52.277593646348265</v>
      </c>
      <c r="AO170" s="233">
        <f t="shared" si="106"/>
        <v>43.931102005825636</v>
      </c>
      <c r="AP170" s="233">
        <f t="shared" si="107"/>
        <v>2.0655865921787711</v>
      </c>
      <c r="AQ170" s="233">
        <f t="shared" si="108"/>
        <v>3.1665882132978602</v>
      </c>
      <c r="AR170" s="233">
        <f t="shared" si="109"/>
        <v>0.96458497105968211</v>
      </c>
      <c r="AS170" s="235">
        <f t="shared" si="110"/>
        <v>33.105027932960894</v>
      </c>
      <c r="AT170" s="235">
        <f t="shared" si="111"/>
        <v>50.535961542150602</v>
      </c>
      <c r="AU170" s="235">
        <f t="shared" si="112"/>
        <v>15.67409432377119</v>
      </c>
      <c r="AV170">
        <v>100</v>
      </c>
      <c r="AW170" s="235">
        <f t="shared" si="113"/>
        <v>62.766666666666666</v>
      </c>
      <c r="AX170" s="235">
        <f t="shared" si="114"/>
        <v>80.98511149172171</v>
      </c>
      <c r="AY170" s="235">
        <f t="shared" si="115"/>
        <v>44.548221841611614</v>
      </c>
      <c r="AZ170" s="235">
        <f t="shared" si="116"/>
        <v>2941.6666666666665</v>
      </c>
      <c r="BA170" s="235">
        <f t="shared" si="117"/>
        <v>4966.9775952753826</v>
      </c>
      <c r="BB170" s="235">
        <f t="shared" si="118"/>
        <v>916.35573805795048</v>
      </c>
      <c r="BC170" s="235">
        <f t="shared" si="119"/>
        <v>53.18888888888889</v>
      </c>
      <c r="BD170" s="235">
        <f t="shared" si="120"/>
        <v>112.67052202318322</v>
      </c>
      <c r="BE170" s="235">
        <f t="shared" si="121"/>
        <v>-6.2927442454054372</v>
      </c>
      <c r="BF170" s="235">
        <f t="shared" si="122"/>
        <v>3577.2222222222222</v>
      </c>
      <c r="BG170" s="235">
        <f t="shared" si="123"/>
        <v>5636.1265941907786</v>
      </c>
      <c r="BH170" s="235">
        <f t="shared" si="124"/>
        <v>1518.3178502536657</v>
      </c>
      <c r="BI170">
        <v>5000</v>
      </c>
      <c r="BJ170" s="235">
        <f t="shared" si="125"/>
        <v>0</v>
      </c>
      <c r="BK170" s="235">
        <f t="shared" si="126"/>
        <v>0</v>
      </c>
      <c r="BL170" s="235">
        <f t="shared" si="127"/>
        <v>0</v>
      </c>
      <c r="BO170" s="235">
        <f t="shared" si="128"/>
        <v>45061</v>
      </c>
      <c r="CD170" s="533">
        <f t="shared" si="129"/>
        <v>16.8</v>
      </c>
      <c r="CE170" s="102">
        <f t="shared" si="130"/>
        <v>9.8000000000000007</v>
      </c>
      <c r="CF170" s="102">
        <f t="shared" si="131"/>
        <v>101</v>
      </c>
      <c r="CG170" s="102">
        <f t="shared" si="132"/>
        <v>8</v>
      </c>
      <c r="CH170" s="102">
        <f t="shared" si="133"/>
        <v>2.5</v>
      </c>
      <c r="CI170" s="102">
        <f t="shared" si="134"/>
        <v>51.9</v>
      </c>
      <c r="CJ170" s="102">
        <f t="shared" si="135"/>
        <v>2</v>
      </c>
      <c r="CK170" s="102">
        <f t="shared" si="136"/>
        <v>4.5</v>
      </c>
      <c r="CL170" s="102">
        <f t="shared" si="137"/>
        <v>41</v>
      </c>
      <c r="CM170" s="102">
        <f t="shared" si="138"/>
        <v>1400</v>
      </c>
      <c r="CN170" s="102">
        <f t="shared" si="139"/>
        <v>10</v>
      </c>
      <c r="CO170" s="102">
        <f t="shared" si="140"/>
        <v>2600</v>
      </c>
      <c r="CP170" s="102" t="str">
        <f t="shared" si="141"/>
        <v/>
      </c>
    </row>
    <row r="171" spans="2:94">
      <c r="B171" t="s">
        <v>252</v>
      </c>
      <c r="C171" s="231">
        <v>45096</v>
      </c>
      <c r="D171" s="233">
        <v>20.5</v>
      </c>
      <c r="E171" s="233">
        <v>6.9</v>
      </c>
      <c r="F171" s="235">
        <v>76</v>
      </c>
      <c r="G171" s="233">
        <v>7.8</v>
      </c>
      <c r="H171" s="233">
        <v>0.93</v>
      </c>
      <c r="I171" s="233">
        <v>49.7</v>
      </c>
      <c r="J171" s="233">
        <v>0.89</v>
      </c>
      <c r="K171" s="235">
        <v>43</v>
      </c>
      <c r="L171" s="235">
        <v>62</v>
      </c>
      <c r="M171" s="235">
        <v>1200</v>
      </c>
      <c r="N171" s="235">
        <v>55</v>
      </c>
      <c r="O171" s="235">
        <v>1700</v>
      </c>
      <c r="Q171">
        <v>2023</v>
      </c>
      <c r="R171">
        <v>6</v>
      </c>
      <c r="T171" s="226"/>
      <c r="U171" s="226"/>
      <c r="V171" s="226"/>
      <c r="W171" s="226"/>
      <c r="X171" s="226"/>
      <c r="Y171" s="226"/>
      <c r="Z171" s="226"/>
      <c r="AA171" s="233">
        <f t="shared" si="95"/>
        <v>10.332000000000001</v>
      </c>
      <c r="AB171" s="233">
        <f t="shared" si="96"/>
        <v>12.739174193481931</v>
      </c>
      <c r="AC171" s="233">
        <f t="shared" si="97"/>
        <v>7.9248258065180703</v>
      </c>
      <c r="AD171">
        <v>2.95</v>
      </c>
      <c r="AE171" s="233">
        <f t="shared" si="98"/>
        <v>7.9374301675977676</v>
      </c>
      <c r="AF171" s="233">
        <f t="shared" si="99"/>
        <v>8.0830597168027865</v>
      </c>
      <c r="AG171" s="233">
        <f t="shared" si="100"/>
        <v>7.7918006183927488</v>
      </c>
      <c r="AH171">
        <v>6.5</v>
      </c>
      <c r="AI171" s="233">
        <f t="shared" si="101"/>
        <v>3.3601117318435763</v>
      </c>
      <c r="AJ171" s="233">
        <f t="shared" si="102"/>
        <v>6.3851512410714601</v>
      </c>
      <c r="AK171" s="233">
        <f t="shared" si="103"/>
        <v>0.33507222261569281</v>
      </c>
      <c r="AL171">
        <v>7</v>
      </c>
      <c r="AM171" s="233">
        <f t="shared" si="104"/>
        <v>48.104347826086951</v>
      </c>
      <c r="AN171" s="233">
        <f t="shared" si="105"/>
        <v>52.277593646348265</v>
      </c>
      <c r="AO171" s="233">
        <f t="shared" si="106"/>
        <v>43.931102005825636</v>
      </c>
      <c r="AP171" s="233">
        <f t="shared" si="107"/>
        <v>2.0655865921787711</v>
      </c>
      <c r="AQ171" s="233">
        <f t="shared" si="108"/>
        <v>3.1665882132978602</v>
      </c>
      <c r="AR171" s="233">
        <f t="shared" si="109"/>
        <v>0.96458497105968211</v>
      </c>
      <c r="AS171" s="235">
        <f t="shared" si="110"/>
        <v>33.105027932960894</v>
      </c>
      <c r="AT171" s="235">
        <f t="shared" si="111"/>
        <v>50.535961542150602</v>
      </c>
      <c r="AU171" s="235">
        <f t="shared" si="112"/>
        <v>15.67409432377119</v>
      </c>
      <c r="AV171">
        <v>100</v>
      </c>
      <c r="AW171" s="235">
        <f t="shared" si="113"/>
        <v>62.766666666666666</v>
      </c>
      <c r="AX171" s="235">
        <f t="shared" si="114"/>
        <v>80.98511149172171</v>
      </c>
      <c r="AY171" s="235">
        <f t="shared" si="115"/>
        <v>44.548221841611614</v>
      </c>
      <c r="AZ171" s="235">
        <f t="shared" si="116"/>
        <v>2941.6666666666665</v>
      </c>
      <c r="BA171" s="235">
        <f t="shared" si="117"/>
        <v>4966.9775952753826</v>
      </c>
      <c r="BB171" s="235">
        <f t="shared" si="118"/>
        <v>916.35573805795048</v>
      </c>
      <c r="BC171" s="235">
        <f t="shared" si="119"/>
        <v>53.18888888888889</v>
      </c>
      <c r="BD171" s="235">
        <f t="shared" si="120"/>
        <v>112.67052202318322</v>
      </c>
      <c r="BE171" s="235">
        <f t="shared" si="121"/>
        <v>-6.2927442454054372</v>
      </c>
      <c r="BF171" s="235">
        <f t="shared" si="122"/>
        <v>3577.2222222222222</v>
      </c>
      <c r="BG171" s="235">
        <f t="shared" si="123"/>
        <v>5636.1265941907786</v>
      </c>
      <c r="BH171" s="235">
        <f t="shared" si="124"/>
        <v>1518.3178502536657</v>
      </c>
      <c r="BI171">
        <v>5000</v>
      </c>
      <c r="BJ171" s="235">
        <f t="shared" si="125"/>
        <v>0</v>
      </c>
      <c r="BK171" s="235">
        <f t="shared" si="126"/>
        <v>0</v>
      </c>
      <c r="BL171" s="235">
        <f t="shared" si="127"/>
        <v>0</v>
      </c>
      <c r="BO171" s="235">
        <f t="shared" si="128"/>
        <v>45096</v>
      </c>
      <c r="CD171" s="533">
        <f t="shared" si="129"/>
        <v>20.5</v>
      </c>
      <c r="CE171" s="102">
        <f t="shared" si="130"/>
        <v>6.9</v>
      </c>
      <c r="CF171" s="102">
        <f t="shared" si="131"/>
        <v>76</v>
      </c>
      <c r="CG171" s="102">
        <f t="shared" si="132"/>
        <v>7.8</v>
      </c>
      <c r="CH171" s="102">
        <f t="shared" si="133"/>
        <v>0.93</v>
      </c>
      <c r="CI171" s="102">
        <f t="shared" si="134"/>
        <v>49.7</v>
      </c>
      <c r="CJ171" s="102">
        <f t="shared" si="135"/>
        <v>0.89</v>
      </c>
      <c r="CK171" s="102">
        <f t="shared" si="136"/>
        <v>43</v>
      </c>
      <c r="CL171" s="102">
        <f t="shared" si="137"/>
        <v>62</v>
      </c>
      <c r="CM171" s="102">
        <f t="shared" si="138"/>
        <v>1200</v>
      </c>
      <c r="CN171" s="102">
        <f t="shared" si="139"/>
        <v>55</v>
      </c>
      <c r="CO171" s="102">
        <f t="shared" si="140"/>
        <v>1700</v>
      </c>
      <c r="CP171" s="102" t="str">
        <f t="shared" si="141"/>
        <v/>
      </c>
    </row>
    <row r="172" spans="2:94">
      <c r="B172" t="s">
        <v>252</v>
      </c>
      <c r="C172" s="231">
        <v>45125</v>
      </c>
      <c r="D172" s="233">
        <v>19.600000000000001</v>
      </c>
      <c r="E172" s="233">
        <v>7.9</v>
      </c>
      <c r="F172" s="235">
        <v>85</v>
      </c>
      <c r="G172" s="233">
        <v>7.8</v>
      </c>
      <c r="H172" s="233">
        <v>0.87</v>
      </c>
      <c r="I172" s="233">
        <v>47.9</v>
      </c>
      <c r="J172" s="233">
        <v>0.72</v>
      </c>
      <c r="K172" s="235">
        <v>40</v>
      </c>
      <c r="L172" s="235">
        <v>67</v>
      </c>
      <c r="M172" s="235">
        <v>1000</v>
      </c>
      <c r="N172" s="235">
        <v>25</v>
      </c>
      <c r="O172" s="235">
        <v>1400</v>
      </c>
      <c r="Q172">
        <v>2023</v>
      </c>
      <c r="R172">
        <v>7</v>
      </c>
      <c r="T172" s="226"/>
      <c r="U172" s="226"/>
      <c r="V172" s="226"/>
      <c r="W172" s="226"/>
      <c r="X172" s="226"/>
      <c r="Y172" s="226"/>
      <c r="Z172" s="226"/>
      <c r="AA172" s="233">
        <f t="shared" si="95"/>
        <v>10.332000000000001</v>
      </c>
      <c r="AB172" s="233">
        <f t="shared" si="96"/>
        <v>12.739174193481931</v>
      </c>
      <c r="AC172" s="233">
        <f t="shared" si="97"/>
        <v>7.9248258065180703</v>
      </c>
      <c r="AD172">
        <v>2.95</v>
      </c>
      <c r="AE172" s="233">
        <f t="shared" si="98"/>
        <v>7.9374301675977676</v>
      </c>
      <c r="AF172" s="233">
        <f t="shared" si="99"/>
        <v>8.0830597168027865</v>
      </c>
      <c r="AG172" s="233">
        <f t="shared" si="100"/>
        <v>7.7918006183927488</v>
      </c>
      <c r="AH172">
        <v>6.5</v>
      </c>
      <c r="AI172" s="233">
        <f t="shared" si="101"/>
        <v>3.3601117318435763</v>
      </c>
      <c r="AJ172" s="233">
        <f t="shared" si="102"/>
        <v>6.3851512410714601</v>
      </c>
      <c r="AK172" s="233">
        <f t="shared" si="103"/>
        <v>0.33507222261569281</v>
      </c>
      <c r="AL172">
        <v>7</v>
      </c>
      <c r="AM172" s="233">
        <f t="shared" si="104"/>
        <v>48.104347826086951</v>
      </c>
      <c r="AN172" s="233">
        <f t="shared" si="105"/>
        <v>52.277593646348265</v>
      </c>
      <c r="AO172" s="233">
        <f t="shared" si="106"/>
        <v>43.931102005825636</v>
      </c>
      <c r="AP172" s="233">
        <f t="shared" si="107"/>
        <v>2.0655865921787711</v>
      </c>
      <c r="AQ172" s="233">
        <f t="shared" si="108"/>
        <v>3.1665882132978602</v>
      </c>
      <c r="AR172" s="233">
        <f t="shared" si="109"/>
        <v>0.96458497105968211</v>
      </c>
      <c r="AS172" s="235">
        <f t="shared" si="110"/>
        <v>33.105027932960894</v>
      </c>
      <c r="AT172" s="235">
        <f t="shared" si="111"/>
        <v>50.535961542150602</v>
      </c>
      <c r="AU172" s="235">
        <f t="shared" si="112"/>
        <v>15.67409432377119</v>
      </c>
      <c r="AV172">
        <v>100</v>
      </c>
      <c r="AW172" s="235">
        <f t="shared" si="113"/>
        <v>62.766666666666666</v>
      </c>
      <c r="AX172" s="235">
        <f t="shared" si="114"/>
        <v>80.98511149172171</v>
      </c>
      <c r="AY172" s="235">
        <f t="shared" si="115"/>
        <v>44.548221841611614</v>
      </c>
      <c r="AZ172" s="235">
        <f t="shared" si="116"/>
        <v>2941.6666666666665</v>
      </c>
      <c r="BA172" s="235">
        <f t="shared" si="117"/>
        <v>4966.9775952753826</v>
      </c>
      <c r="BB172" s="235">
        <f t="shared" si="118"/>
        <v>916.35573805795048</v>
      </c>
      <c r="BC172" s="235">
        <f t="shared" si="119"/>
        <v>53.18888888888889</v>
      </c>
      <c r="BD172" s="235">
        <f t="shared" si="120"/>
        <v>112.67052202318322</v>
      </c>
      <c r="BE172" s="235">
        <f t="shared" si="121"/>
        <v>-6.2927442454054372</v>
      </c>
      <c r="BF172" s="235">
        <f t="shared" si="122"/>
        <v>3577.2222222222222</v>
      </c>
      <c r="BG172" s="235">
        <f t="shared" si="123"/>
        <v>5636.1265941907786</v>
      </c>
      <c r="BH172" s="235">
        <f t="shared" si="124"/>
        <v>1518.3178502536657</v>
      </c>
      <c r="BI172">
        <v>5000</v>
      </c>
      <c r="BJ172" s="235">
        <f t="shared" si="125"/>
        <v>0</v>
      </c>
      <c r="BK172" s="235">
        <f t="shared" si="126"/>
        <v>0</v>
      </c>
      <c r="BL172" s="235">
        <f t="shared" si="127"/>
        <v>0</v>
      </c>
      <c r="BO172" s="235">
        <f t="shared" si="128"/>
        <v>45125</v>
      </c>
      <c r="CD172" s="533">
        <f t="shared" si="129"/>
        <v>19.600000000000001</v>
      </c>
      <c r="CE172" s="102">
        <f t="shared" si="130"/>
        <v>7.9</v>
      </c>
      <c r="CF172" s="102">
        <f t="shared" si="131"/>
        <v>85</v>
      </c>
      <c r="CG172" s="102">
        <f t="shared" si="132"/>
        <v>7.8</v>
      </c>
      <c r="CH172" s="102">
        <f t="shared" si="133"/>
        <v>0.87</v>
      </c>
      <c r="CI172" s="102">
        <f t="shared" si="134"/>
        <v>47.9</v>
      </c>
      <c r="CJ172" s="102">
        <f t="shared" si="135"/>
        <v>0.72</v>
      </c>
      <c r="CK172" s="102">
        <f t="shared" si="136"/>
        <v>40</v>
      </c>
      <c r="CL172" s="102">
        <f t="shared" si="137"/>
        <v>67</v>
      </c>
      <c r="CM172" s="102">
        <f t="shared" si="138"/>
        <v>1000</v>
      </c>
      <c r="CN172" s="102">
        <f t="shared" si="139"/>
        <v>25</v>
      </c>
      <c r="CO172" s="102">
        <f t="shared" si="140"/>
        <v>1400</v>
      </c>
      <c r="CP172" s="102" t="str">
        <f t="shared" si="141"/>
        <v/>
      </c>
    </row>
    <row r="173" spans="2:94">
      <c r="B173" t="s">
        <v>252</v>
      </c>
      <c r="C173" s="231">
        <v>45155</v>
      </c>
      <c r="D173" s="233">
        <v>18.600000000000001</v>
      </c>
      <c r="E173" s="233">
        <v>6.7</v>
      </c>
      <c r="F173" s="235">
        <v>71</v>
      </c>
      <c r="G173" s="233">
        <v>7.8</v>
      </c>
      <c r="H173" s="233">
        <v>0.77</v>
      </c>
      <c r="I173" s="233">
        <v>51.1</v>
      </c>
      <c r="J173" s="233">
        <v>1.1000000000000001</v>
      </c>
      <c r="K173" s="235">
        <v>57</v>
      </c>
      <c r="L173" s="235">
        <v>96</v>
      </c>
      <c r="M173" s="235">
        <v>3400</v>
      </c>
      <c r="N173" s="235">
        <v>42</v>
      </c>
      <c r="O173" s="235">
        <v>4000</v>
      </c>
      <c r="Q173">
        <v>2023</v>
      </c>
      <c r="R173">
        <v>8</v>
      </c>
      <c r="T173" s="226"/>
      <c r="U173" s="226"/>
      <c r="V173" s="226"/>
      <c r="W173" s="226"/>
      <c r="X173" s="226"/>
      <c r="Y173" s="226"/>
      <c r="Z173" s="226"/>
      <c r="AA173" s="233">
        <f t="shared" si="95"/>
        <v>10.332000000000001</v>
      </c>
      <c r="AB173" s="233">
        <f t="shared" si="96"/>
        <v>12.739174193481931</v>
      </c>
      <c r="AC173" s="233">
        <f t="shared" si="97"/>
        <v>7.9248258065180703</v>
      </c>
      <c r="AD173">
        <v>2.95</v>
      </c>
      <c r="AE173" s="233">
        <f t="shared" si="98"/>
        <v>7.9374301675977676</v>
      </c>
      <c r="AF173" s="233">
        <f t="shared" si="99"/>
        <v>8.0830597168027865</v>
      </c>
      <c r="AG173" s="233">
        <f t="shared" si="100"/>
        <v>7.7918006183927488</v>
      </c>
      <c r="AH173">
        <v>6.5</v>
      </c>
      <c r="AI173" s="233">
        <f t="shared" si="101"/>
        <v>3.3601117318435763</v>
      </c>
      <c r="AJ173" s="233">
        <f t="shared" si="102"/>
        <v>6.3851512410714601</v>
      </c>
      <c r="AK173" s="233">
        <f t="shared" si="103"/>
        <v>0.33507222261569281</v>
      </c>
      <c r="AL173">
        <v>7</v>
      </c>
      <c r="AM173" s="233">
        <f t="shared" si="104"/>
        <v>48.104347826086951</v>
      </c>
      <c r="AN173" s="233">
        <f t="shared" si="105"/>
        <v>52.277593646348265</v>
      </c>
      <c r="AO173" s="233">
        <f t="shared" si="106"/>
        <v>43.931102005825636</v>
      </c>
      <c r="AP173" s="233">
        <f t="shared" si="107"/>
        <v>2.0655865921787711</v>
      </c>
      <c r="AQ173" s="233">
        <f t="shared" si="108"/>
        <v>3.1665882132978602</v>
      </c>
      <c r="AR173" s="233">
        <f t="shared" si="109"/>
        <v>0.96458497105968211</v>
      </c>
      <c r="AS173" s="235">
        <f t="shared" si="110"/>
        <v>33.105027932960894</v>
      </c>
      <c r="AT173" s="235">
        <f t="shared" si="111"/>
        <v>50.535961542150602</v>
      </c>
      <c r="AU173" s="235">
        <f t="shared" si="112"/>
        <v>15.67409432377119</v>
      </c>
      <c r="AV173">
        <v>100</v>
      </c>
      <c r="AW173" s="235">
        <f t="shared" si="113"/>
        <v>62.766666666666666</v>
      </c>
      <c r="AX173" s="235">
        <f t="shared" si="114"/>
        <v>80.98511149172171</v>
      </c>
      <c r="AY173" s="235">
        <f t="shared" si="115"/>
        <v>44.548221841611614</v>
      </c>
      <c r="AZ173" s="235">
        <f t="shared" si="116"/>
        <v>2941.6666666666665</v>
      </c>
      <c r="BA173" s="235">
        <f t="shared" si="117"/>
        <v>4966.9775952753826</v>
      </c>
      <c r="BB173" s="235">
        <f t="shared" si="118"/>
        <v>916.35573805795048</v>
      </c>
      <c r="BC173" s="235">
        <f t="shared" si="119"/>
        <v>53.18888888888889</v>
      </c>
      <c r="BD173" s="235">
        <f t="shared" si="120"/>
        <v>112.67052202318322</v>
      </c>
      <c r="BE173" s="235">
        <f t="shared" si="121"/>
        <v>-6.2927442454054372</v>
      </c>
      <c r="BF173" s="235">
        <f t="shared" si="122"/>
        <v>3577.2222222222222</v>
      </c>
      <c r="BG173" s="235">
        <f t="shared" si="123"/>
        <v>5636.1265941907786</v>
      </c>
      <c r="BH173" s="235">
        <f t="shared" si="124"/>
        <v>1518.3178502536657</v>
      </c>
      <c r="BI173">
        <v>5000</v>
      </c>
      <c r="BJ173" s="235">
        <f t="shared" si="125"/>
        <v>0</v>
      </c>
      <c r="BK173" s="235">
        <f t="shared" si="126"/>
        <v>0</v>
      </c>
      <c r="BL173" s="235">
        <f t="shared" si="127"/>
        <v>0</v>
      </c>
      <c r="BO173" s="235">
        <f t="shared" si="128"/>
        <v>45155</v>
      </c>
      <c r="CD173" s="533">
        <f t="shared" si="129"/>
        <v>18.600000000000001</v>
      </c>
      <c r="CE173" s="102">
        <f t="shared" si="130"/>
        <v>6.7</v>
      </c>
      <c r="CF173" s="102">
        <f t="shared" si="131"/>
        <v>71</v>
      </c>
      <c r="CG173" s="102">
        <f t="shared" si="132"/>
        <v>7.8</v>
      </c>
      <c r="CH173" s="102">
        <f t="shared" si="133"/>
        <v>0.77</v>
      </c>
      <c r="CI173" s="102">
        <f t="shared" si="134"/>
        <v>51.1</v>
      </c>
      <c r="CJ173" s="102">
        <f t="shared" si="135"/>
        <v>1.1000000000000001</v>
      </c>
      <c r="CK173" s="102">
        <f t="shared" si="136"/>
        <v>57</v>
      </c>
      <c r="CL173" s="102">
        <f t="shared" si="137"/>
        <v>96</v>
      </c>
      <c r="CM173" s="102">
        <f t="shared" si="138"/>
        <v>3400</v>
      </c>
      <c r="CN173" s="102">
        <f t="shared" si="139"/>
        <v>42</v>
      </c>
      <c r="CO173" s="102">
        <f t="shared" si="140"/>
        <v>4000</v>
      </c>
      <c r="CP173" s="102" t="str">
        <f t="shared" si="141"/>
        <v/>
      </c>
    </row>
    <row r="174" spans="2:94">
      <c r="B174" t="s">
        <v>252</v>
      </c>
      <c r="C174" s="231">
        <v>45187</v>
      </c>
      <c r="D174" s="233">
        <v>17.100000000000001</v>
      </c>
      <c r="E174" s="233">
        <v>7.7</v>
      </c>
      <c r="F174" s="235">
        <v>80</v>
      </c>
      <c r="G174" s="233">
        <v>7.8</v>
      </c>
      <c r="H174" s="233">
        <v>1.5</v>
      </c>
      <c r="I174" s="233">
        <v>50</v>
      </c>
      <c r="J174" s="233">
        <v>0.7</v>
      </c>
      <c r="K174" s="235">
        <v>33</v>
      </c>
      <c r="L174" s="235">
        <v>67</v>
      </c>
      <c r="M174" s="235">
        <v>1400</v>
      </c>
      <c r="N174" s="235">
        <v>27</v>
      </c>
      <c r="O174" s="235">
        <v>2000</v>
      </c>
      <c r="Q174">
        <v>2023</v>
      </c>
      <c r="R174">
        <v>9</v>
      </c>
      <c r="T174" s="226"/>
      <c r="U174" s="226"/>
      <c r="V174" s="226"/>
      <c r="W174" s="226"/>
      <c r="X174" s="226"/>
      <c r="Y174" s="226"/>
      <c r="Z174" s="226"/>
      <c r="AA174" s="233">
        <f t="shared" si="95"/>
        <v>10.332000000000001</v>
      </c>
      <c r="AB174" s="233">
        <f t="shared" si="96"/>
        <v>12.739174193481931</v>
      </c>
      <c r="AC174" s="233">
        <f t="shared" si="97"/>
        <v>7.9248258065180703</v>
      </c>
      <c r="AD174">
        <v>2.95</v>
      </c>
      <c r="AE174" s="233">
        <f t="shared" si="98"/>
        <v>7.9374301675977676</v>
      </c>
      <c r="AF174" s="233">
        <f t="shared" si="99"/>
        <v>8.0830597168027865</v>
      </c>
      <c r="AG174" s="233">
        <f t="shared" si="100"/>
        <v>7.7918006183927488</v>
      </c>
      <c r="AH174">
        <v>6.5</v>
      </c>
      <c r="AI174" s="233">
        <f t="shared" si="101"/>
        <v>3.3601117318435763</v>
      </c>
      <c r="AJ174" s="233">
        <f t="shared" si="102"/>
        <v>6.3851512410714601</v>
      </c>
      <c r="AK174" s="233">
        <f t="shared" si="103"/>
        <v>0.33507222261569281</v>
      </c>
      <c r="AL174">
        <v>7</v>
      </c>
      <c r="AM174" s="233">
        <f t="shared" si="104"/>
        <v>48.104347826086951</v>
      </c>
      <c r="AN174" s="233">
        <f t="shared" si="105"/>
        <v>52.277593646348265</v>
      </c>
      <c r="AO174" s="233">
        <f t="shared" si="106"/>
        <v>43.931102005825636</v>
      </c>
      <c r="AP174" s="233">
        <f t="shared" si="107"/>
        <v>2.0655865921787711</v>
      </c>
      <c r="AQ174" s="233">
        <f t="shared" si="108"/>
        <v>3.1665882132978602</v>
      </c>
      <c r="AR174" s="233">
        <f t="shared" si="109"/>
        <v>0.96458497105968211</v>
      </c>
      <c r="AS174" s="235">
        <f t="shared" si="110"/>
        <v>33.105027932960894</v>
      </c>
      <c r="AT174" s="235">
        <f t="shared" si="111"/>
        <v>50.535961542150602</v>
      </c>
      <c r="AU174" s="235">
        <f t="shared" si="112"/>
        <v>15.67409432377119</v>
      </c>
      <c r="AV174">
        <v>100</v>
      </c>
      <c r="AW174" s="235">
        <f t="shared" si="113"/>
        <v>62.766666666666666</v>
      </c>
      <c r="AX174" s="235">
        <f t="shared" si="114"/>
        <v>80.98511149172171</v>
      </c>
      <c r="AY174" s="235">
        <f t="shared" si="115"/>
        <v>44.548221841611614</v>
      </c>
      <c r="AZ174" s="235">
        <f t="shared" si="116"/>
        <v>2941.6666666666665</v>
      </c>
      <c r="BA174" s="235">
        <f t="shared" si="117"/>
        <v>4966.9775952753826</v>
      </c>
      <c r="BB174" s="235">
        <f t="shared" si="118"/>
        <v>916.35573805795048</v>
      </c>
      <c r="BC174" s="235">
        <f t="shared" si="119"/>
        <v>53.18888888888889</v>
      </c>
      <c r="BD174" s="235">
        <f t="shared" si="120"/>
        <v>112.67052202318322</v>
      </c>
      <c r="BE174" s="235">
        <f t="shared" si="121"/>
        <v>-6.2927442454054372</v>
      </c>
      <c r="BF174" s="235">
        <f t="shared" si="122"/>
        <v>3577.2222222222222</v>
      </c>
      <c r="BG174" s="235">
        <f t="shared" si="123"/>
        <v>5636.1265941907786</v>
      </c>
      <c r="BH174" s="235">
        <f t="shared" si="124"/>
        <v>1518.3178502536657</v>
      </c>
      <c r="BI174">
        <v>5000</v>
      </c>
      <c r="BJ174" s="235">
        <f t="shared" si="125"/>
        <v>0</v>
      </c>
      <c r="BK174" s="235">
        <f t="shared" si="126"/>
        <v>0</v>
      </c>
      <c r="BL174" s="235">
        <f t="shared" si="127"/>
        <v>0</v>
      </c>
      <c r="BO174" s="235">
        <f t="shared" si="128"/>
        <v>45187</v>
      </c>
      <c r="CD174" s="533">
        <f t="shared" si="129"/>
        <v>17.100000000000001</v>
      </c>
      <c r="CE174" s="102">
        <f t="shared" si="130"/>
        <v>7.7</v>
      </c>
      <c r="CF174" s="102">
        <f t="shared" si="131"/>
        <v>80</v>
      </c>
      <c r="CG174" s="102">
        <f t="shared" si="132"/>
        <v>7.8</v>
      </c>
      <c r="CH174" s="102">
        <f t="shared" si="133"/>
        <v>1.5</v>
      </c>
      <c r="CI174" s="102">
        <f t="shared" si="134"/>
        <v>50</v>
      </c>
      <c r="CJ174" s="102">
        <f t="shared" si="135"/>
        <v>0.7</v>
      </c>
      <c r="CK174" s="102">
        <f t="shared" si="136"/>
        <v>33</v>
      </c>
      <c r="CL174" s="102">
        <f t="shared" si="137"/>
        <v>67</v>
      </c>
      <c r="CM174" s="102">
        <f t="shared" si="138"/>
        <v>1400</v>
      </c>
      <c r="CN174" s="102">
        <f t="shared" si="139"/>
        <v>27</v>
      </c>
      <c r="CO174" s="102">
        <f t="shared" si="140"/>
        <v>2000</v>
      </c>
      <c r="CP174" s="102" t="str">
        <f t="shared" si="141"/>
        <v/>
      </c>
    </row>
    <row r="175" spans="2:94">
      <c r="B175" t="s">
        <v>252</v>
      </c>
      <c r="C175" s="231">
        <v>45210</v>
      </c>
      <c r="D175" s="233">
        <v>12.4</v>
      </c>
      <c r="E175" s="233">
        <v>8.8000000000000007</v>
      </c>
      <c r="F175" s="235">
        <v>83</v>
      </c>
      <c r="G175" s="233">
        <v>7.8</v>
      </c>
      <c r="H175" s="233">
        <v>2.2000000000000002</v>
      </c>
      <c r="I175" s="233">
        <v>54.4</v>
      </c>
      <c r="J175" s="233">
        <v>1.1000000000000001</v>
      </c>
      <c r="K175" s="235">
        <v>60</v>
      </c>
      <c r="L175" s="235">
        <v>83</v>
      </c>
      <c r="M175" s="235">
        <v>3500</v>
      </c>
      <c r="N175" s="235">
        <v>34</v>
      </c>
      <c r="O175" s="235">
        <v>3800</v>
      </c>
      <c r="Q175">
        <v>2023</v>
      </c>
      <c r="R175">
        <v>10</v>
      </c>
      <c r="T175" s="226"/>
      <c r="U175" s="226"/>
      <c r="V175" s="226"/>
      <c r="W175" s="226"/>
      <c r="X175" s="226"/>
      <c r="Y175" s="226"/>
      <c r="Z175" s="226"/>
      <c r="AA175" s="233">
        <f t="shared" si="95"/>
        <v>10.332000000000001</v>
      </c>
      <c r="AB175" s="233">
        <f t="shared" si="96"/>
        <v>12.739174193481931</v>
      </c>
      <c r="AC175" s="233">
        <f t="shared" si="97"/>
        <v>7.9248258065180703</v>
      </c>
      <c r="AD175">
        <v>2.95</v>
      </c>
      <c r="AE175" s="233">
        <f t="shared" si="98"/>
        <v>7.9374301675977676</v>
      </c>
      <c r="AF175" s="233">
        <f t="shared" si="99"/>
        <v>8.0830597168027865</v>
      </c>
      <c r="AG175" s="233">
        <f t="shared" si="100"/>
        <v>7.7918006183927488</v>
      </c>
      <c r="AH175">
        <v>6.5</v>
      </c>
      <c r="AI175" s="233">
        <f t="shared" si="101"/>
        <v>3.3601117318435763</v>
      </c>
      <c r="AJ175" s="233">
        <f t="shared" si="102"/>
        <v>6.3851512410714601</v>
      </c>
      <c r="AK175" s="233">
        <f t="shared" si="103"/>
        <v>0.33507222261569281</v>
      </c>
      <c r="AL175">
        <v>7</v>
      </c>
      <c r="AM175" s="233">
        <f t="shared" si="104"/>
        <v>48.104347826086951</v>
      </c>
      <c r="AN175" s="233">
        <f t="shared" si="105"/>
        <v>52.277593646348265</v>
      </c>
      <c r="AO175" s="233">
        <f t="shared" si="106"/>
        <v>43.931102005825636</v>
      </c>
      <c r="AP175" s="233">
        <f t="shared" si="107"/>
        <v>2.0655865921787711</v>
      </c>
      <c r="AQ175" s="233">
        <f t="shared" si="108"/>
        <v>3.1665882132978602</v>
      </c>
      <c r="AR175" s="233">
        <f t="shared" si="109"/>
        <v>0.96458497105968211</v>
      </c>
      <c r="AS175" s="235">
        <f t="shared" si="110"/>
        <v>33.105027932960894</v>
      </c>
      <c r="AT175" s="235">
        <f t="shared" si="111"/>
        <v>50.535961542150602</v>
      </c>
      <c r="AU175" s="235">
        <f t="shared" si="112"/>
        <v>15.67409432377119</v>
      </c>
      <c r="AV175">
        <v>100</v>
      </c>
      <c r="AW175" s="235">
        <f t="shared" si="113"/>
        <v>62.766666666666666</v>
      </c>
      <c r="AX175" s="235">
        <f t="shared" si="114"/>
        <v>80.98511149172171</v>
      </c>
      <c r="AY175" s="235">
        <f t="shared" si="115"/>
        <v>44.548221841611614</v>
      </c>
      <c r="AZ175" s="235">
        <f t="shared" si="116"/>
        <v>2941.6666666666665</v>
      </c>
      <c r="BA175" s="235">
        <f t="shared" si="117"/>
        <v>4966.9775952753826</v>
      </c>
      <c r="BB175" s="235">
        <f t="shared" si="118"/>
        <v>916.35573805795048</v>
      </c>
      <c r="BC175" s="235">
        <f t="shared" si="119"/>
        <v>53.18888888888889</v>
      </c>
      <c r="BD175" s="235">
        <f t="shared" si="120"/>
        <v>112.67052202318322</v>
      </c>
      <c r="BE175" s="235">
        <f t="shared" si="121"/>
        <v>-6.2927442454054372</v>
      </c>
      <c r="BF175" s="235">
        <f t="shared" si="122"/>
        <v>3577.2222222222222</v>
      </c>
      <c r="BG175" s="235">
        <f t="shared" si="123"/>
        <v>5636.1265941907786</v>
      </c>
      <c r="BH175" s="235">
        <f t="shared" si="124"/>
        <v>1518.3178502536657</v>
      </c>
      <c r="BI175">
        <v>5000</v>
      </c>
      <c r="BJ175" s="235">
        <f t="shared" si="125"/>
        <v>0</v>
      </c>
      <c r="BK175" s="235">
        <f t="shared" si="126"/>
        <v>0</v>
      </c>
      <c r="BL175" s="235">
        <f t="shared" si="127"/>
        <v>0</v>
      </c>
      <c r="BO175" s="235">
        <f t="shared" si="128"/>
        <v>45210</v>
      </c>
      <c r="CD175" s="533">
        <f t="shared" si="129"/>
        <v>12.4</v>
      </c>
      <c r="CE175" s="102">
        <f t="shared" si="130"/>
        <v>8.8000000000000007</v>
      </c>
      <c r="CF175" s="102">
        <f t="shared" si="131"/>
        <v>83</v>
      </c>
      <c r="CG175" s="102">
        <f t="shared" si="132"/>
        <v>7.8</v>
      </c>
      <c r="CH175" s="102">
        <f t="shared" si="133"/>
        <v>2.2000000000000002</v>
      </c>
      <c r="CI175" s="102">
        <f t="shared" si="134"/>
        <v>54.4</v>
      </c>
      <c r="CJ175" s="102">
        <f t="shared" si="135"/>
        <v>1.1000000000000001</v>
      </c>
      <c r="CK175" s="102">
        <f t="shared" si="136"/>
        <v>60</v>
      </c>
      <c r="CL175" s="102">
        <f t="shared" si="137"/>
        <v>83</v>
      </c>
      <c r="CM175" s="102">
        <f t="shared" si="138"/>
        <v>3500</v>
      </c>
      <c r="CN175" s="102">
        <f t="shared" si="139"/>
        <v>34</v>
      </c>
      <c r="CO175" s="102">
        <f t="shared" si="140"/>
        <v>3800</v>
      </c>
      <c r="CP175" s="102" t="str">
        <f t="shared" si="141"/>
        <v/>
      </c>
    </row>
    <row r="176" spans="2:94">
      <c r="B176" t="s">
        <v>252</v>
      </c>
      <c r="C176" s="231">
        <v>45244</v>
      </c>
      <c r="D176" s="233">
        <v>7.5</v>
      </c>
      <c r="E176" s="233">
        <v>10.9</v>
      </c>
      <c r="F176" s="235">
        <v>92</v>
      </c>
      <c r="G176" s="233">
        <v>7.9</v>
      </c>
      <c r="H176" s="233">
        <v>3.2</v>
      </c>
      <c r="I176" s="233">
        <v>49.2</v>
      </c>
      <c r="J176" s="233">
        <v>1.6</v>
      </c>
      <c r="K176" s="235">
        <v>40</v>
      </c>
      <c r="L176" s="235">
        <v>64</v>
      </c>
      <c r="M176" s="235">
        <v>4300</v>
      </c>
      <c r="N176" s="235">
        <v>33</v>
      </c>
      <c r="O176" s="235">
        <v>4600</v>
      </c>
      <c r="Q176">
        <v>2023</v>
      </c>
      <c r="R176">
        <v>11</v>
      </c>
      <c r="T176" s="226"/>
      <c r="U176" s="226"/>
      <c r="V176" s="226"/>
      <c r="W176" s="226"/>
      <c r="X176" s="226"/>
      <c r="Y176" s="226"/>
      <c r="Z176" s="226"/>
      <c r="AA176" s="233">
        <f t="shared" si="95"/>
        <v>10.332000000000001</v>
      </c>
      <c r="AB176" s="233">
        <f t="shared" si="96"/>
        <v>12.739174193481931</v>
      </c>
      <c r="AC176" s="233">
        <f t="shared" si="97"/>
        <v>7.9248258065180703</v>
      </c>
      <c r="AD176">
        <v>2.95</v>
      </c>
      <c r="AE176" s="233">
        <f t="shared" si="98"/>
        <v>7.9374301675977676</v>
      </c>
      <c r="AF176" s="233">
        <f t="shared" si="99"/>
        <v>8.0830597168027865</v>
      </c>
      <c r="AG176" s="233">
        <f t="shared" si="100"/>
        <v>7.7918006183927488</v>
      </c>
      <c r="AH176">
        <v>6.5</v>
      </c>
      <c r="AI176" s="233">
        <f t="shared" si="101"/>
        <v>3.3601117318435763</v>
      </c>
      <c r="AJ176" s="233">
        <f t="shared" si="102"/>
        <v>6.3851512410714601</v>
      </c>
      <c r="AK176" s="233">
        <f t="shared" si="103"/>
        <v>0.33507222261569281</v>
      </c>
      <c r="AL176">
        <v>7</v>
      </c>
      <c r="AM176" s="233">
        <f t="shared" si="104"/>
        <v>48.104347826086951</v>
      </c>
      <c r="AN176" s="233">
        <f t="shared" si="105"/>
        <v>52.277593646348265</v>
      </c>
      <c r="AO176" s="233">
        <f t="shared" si="106"/>
        <v>43.931102005825636</v>
      </c>
      <c r="AP176" s="233">
        <f t="shared" si="107"/>
        <v>2.0655865921787711</v>
      </c>
      <c r="AQ176" s="233">
        <f t="shared" si="108"/>
        <v>3.1665882132978602</v>
      </c>
      <c r="AR176" s="233">
        <f t="shared" si="109"/>
        <v>0.96458497105968211</v>
      </c>
      <c r="AS176" s="235">
        <f t="shared" si="110"/>
        <v>33.105027932960894</v>
      </c>
      <c r="AT176" s="235">
        <f t="shared" si="111"/>
        <v>50.535961542150602</v>
      </c>
      <c r="AU176" s="235">
        <f t="shared" si="112"/>
        <v>15.67409432377119</v>
      </c>
      <c r="AV176">
        <v>100</v>
      </c>
      <c r="AW176" s="235">
        <f t="shared" si="113"/>
        <v>62.766666666666666</v>
      </c>
      <c r="AX176" s="235">
        <f t="shared" si="114"/>
        <v>80.98511149172171</v>
      </c>
      <c r="AY176" s="235">
        <f t="shared" si="115"/>
        <v>44.548221841611614</v>
      </c>
      <c r="AZ176" s="235">
        <f t="shared" si="116"/>
        <v>2941.6666666666665</v>
      </c>
      <c r="BA176" s="235">
        <f t="shared" si="117"/>
        <v>4966.9775952753826</v>
      </c>
      <c r="BB176" s="235">
        <f t="shared" si="118"/>
        <v>916.35573805795048</v>
      </c>
      <c r="BC176" s="235">
        <f t="shared" si="119"/>
        <v>53.18888888888889</v>
      </c>
      <c r="BD176" s="235">
        <f t="shared" si="120"/>
        <v>112.67052202318322</v>
      </c>
      <c r="BE176" s="235">
        <f t="shared" si="121"/>
        <v>-6.2927442454054372</v>
      </c>
      <c r="BF176" s="235">
        <f t="shared" si="122"/>
        <v>3577.2222222222222</v>
      </c>
      <c r="BG176" s="235">
        <f t="shared" si="123"/>
        <v>5636.1265941907786</v>
      </c>
      <c r="BH176" s="235">
        <f t="shared" si="124"/>
        <v>1518.3178502536657</v>
      </c>
      <c r="BI176">
        <v>5000</v>
      </c>
      <c r="BJ176" s="235">
        <f t="shared" si="125"/>
        <v>0</v>
      </c>
      <c r="BK176" s="235">
        <f t="shared" si="126"/>
        <v>0</v>
      </c>
      <c r="BL176" s="235">
        <f t="shared" si="127"/>
        <v>0</v>
      </c>
      <c r="BO176" s="235">
        <f t="shared" si="128"/>
        <v>45244</v>
      </c>
      <c r="CD176" s="533">
        <f t="shared" si="129"/>
        <v>7.5</v>
      </c>
      <c r="CE176" s="102">
        <f t="shared" si="130"/>
        <v>10.9</v>
      </c>
      <c r="CF176" s="102">
        <f t="shared" si="131"/>
        <v>92</v>
      </c>
      <c r="CG176" s="102">
        <f t="shared" si="132"/>
        <v>7.9</v>
      </c>
      <c r="CH176" s="102">
        <f t="shared" si="133"/>
        <v>3.2</v>
      </c>
      <c r="CI176" s="102">
        <f t="shared" si="134"/>
        <v>49.2</v>
      </c>
      <c r="CJ176" s="102">
        <f t="shared" si="135"/>
        <v>1.6</v>
      </c>
      <c r="CK176" s="102">
        <f t="shared" si="136"/>
        <v>40</v>
      </c>
      <c r="CL176" s="102">
        <f t="shared" si="137"/>
        <v>64</v>
      </c>
      <c r="CM176" s="102">
        <f t="shared" si="138"/>
        <v>4300</v>
      </c>
      <c r="CN176" s="102">
        <f t="shared" si="139"/>
        <v>33</v>
      </c>
      <c r="CO176" s="102">
        <f t="shared" si="140"/>
        <v>4600</v>
      </c>
      <c r="CP176" s="102" t="str">
        <f t="shared" si="141"/>
        <v/>
      </c>
    </row>
    <row r="177" spans="2:94">
      <c r="B177" t="s">
        <v>252</v>
      </c>
      <c r="C177" s="231">
        <v>45279</v>
      </c>
      <c r="D177" s="233">
        <v>5.4</v>
      </c>
      <c r="E177" s="233">
        <v>12.1</v>
      </c>
      <c r="F177" s="235">
        <v>95.2</v>
      </c>
      <c r="G177" s="233">
        <v>8</v>
      </c>
      <c r="H177" s="233">
        <v>3.7</v>
      </c>
      <c r="I177" s="233">
        <v>46.9</v>
      </c>
      <c r="J177" s="233">
        <v>2.2999999999999998</v>
      </c>
      <c r="K177" s="235">
        <v>38</v>
      </c>
      <c r="L177" s="235">
        <v>75</v>
      </c>
      <c r="M177" s="235">
        <v>4400</v>
      </c>
      <c r="N177" s="235">
        <v>83</v>
      </c>
      <c r="O177" s="235">
        <v>4700</v>
      </c>
      <c r="Q177">
        <v>2023</v>
      </c>
      <c r="R177">
        <v>12</v>
      </c>
      <c r="T177" s="226"/>
      <c r="U177" s="226"/>
      <c r="V177" s="226"/>
      <c r="W177" s="226"/>
      <c r="X177" s="226"/>
      <c r="Y177" s="226"/>
      <c r="Z177" s="226"/>
      <c r="AA177" s="233">
        <f t="shared" si="95"/>
        <v>10.332000000000001</v>
      </c>
      <c r="AB177" s="233">
        <f t="shared" si="96"/>
        <v>12.739174193481931</v>
      </c>
      <c r="AC177" s="233">
        <f t="shared" si="97"/>
        <v>7.9248258065180703</v>
      </c>
      <c r="AD177">
        <v>2.95</v>
      </c>
      <c r="AE177" s="233">
        <f t="shared" si="98"/>
        <v>7.9374301675977676</v>
      </c>
      <c r="AF177" s="233">
        <f t="shared" si="99"/>
        <v>8.0830597168027865</v>
      </c>
      <c r="AG177" s="233">
        <f t="shared" si="100"/>
        <v>7.7918006183927488</v>
      </c>
      <c r="AH177">
        <v>6.5</v>
      </c>
      <c r="AI177" s="233">
        <f t="shared" si="101"/>
        <v>3.3601117318435763</v>
      </c>
      <c r="AJ177" s="233">
        <f t="shared" si="102"/>
        <v>6.3851512410714601</v>
      </c>
      <c r="AK177" s="233">
        <f t="shared" si="103"/>
        <v>0.33507222261569281</v>
      </c>
      <c r="AL177">
        <v>7</v>
      </c>
      <c r="AM177" s="233">
        <f t="shared" si="104"/>
        <v>48.104347826086951</v>
      </c>
      <c r="AN177" s="233">
        <f t="shared" si="105"/>
        <v>52.277593646348265</v>
      </c>
      <c r="AO177" s="233">
        <f t="shared" si="106"/>
        <v>43.931102005825636</v>
      </c>
      <c r="AP177" s="233">
        <f t="shared" si="107"/>
        <v>2.0655865921787711</v>
      </c>
      <c r="AQ177" s="233">
        <f t="shared" si="108"/>
        <v>3.1665882132978602</v>
      </c>
      <c r="AR177" s="233">
        <f t="shared" si="109"/>
        <v>0.96458497105968211</v>
      </c>
      <c r="AS177" s="235">
        <f t="shared" si="110"/>
        <v>33.105027932960894</v>
      </c>
      <c r="AT177" s="235">
        <f t="shared" si="111"/>
        <v>50.535961542150602</v>
      </c>
      <c r="AU177" s="235">
        <f t="shared" si="112"/>
        <v>15.67409432377119</v>
      </c>
      <c r="AV177">
        <v>100</v>
      </c>
      <c r="AW177" s="235">
        <f t="shared" si="113"/>
        <v>62.766666666666666</v>
      </c>
      <c r="AX177" s="235">
        <f t="shared" si="114"/>
        <v>80.98511149172171</v>
      </c>
      <c r="AY177" s="235">
        <f t="shared" si="115"/>
        <v>44.548221841611614</v>
      </c>
      <c r="AZ177" s="235">
        <f t="shared" si="116"/>
        <v>2941.6666666666665</v>
      </c>
      <c r="BA177" s="235">
        <f t="shared" si="117"/>
        <v>4966.9775952753826</v>
      </c>
      <c r="BB177" s="235">
        <f t="shared" si="118"/>
        <v>916.35573805795048</v>
      </c>
      <c r="BC177" s="235">
        <f t="shared" si="119"/>
        <v>53.18888888888889</v>
      </c>
      <c r="BD177" s="235">
        <f t="shared" si="120"/>
        <v>112.67052202318322</v>
      </c>
      <c r="BE177" s="235">
        <f t="shared" si="121"/>
        <v>-6.2927442454054372</v>
      </c>
      <c r="BF177" s="235">
        <f t="shared" si="122"/>
        <v>3577.2222222222222</v>
      </c>
      <c r="BG177" s="235">
        <f t="shared" si="123"/>
        <v>5636.1265941907786</v>
      </c>
      <c r="BH177" s="235">
        <f t="shared" si="124"/>
        <v>1518.3178502536657</v>
      </c>
      <c r="BI177">
        <v>5000</v>
      </c>
      <c r="BJ177" s="235">
        <f t="shared" si="125"/>
        <v>0</v>
      </c>
      <c r="BK177" s="235">
        <f t="shared" si="126"/>
        <v>0</v>
      </c>
      <c r="BL177" s="235">
        <f t="shared" si="127"/>
        <v>0</v>
      </c>
      <c r="BO177" s="235">
        <f t="shared" si="128"/>
        <v>45279</v>
      </c>
      <c r="CD177" s="533">
        <f t="shared" si="129"/>
        <v>5.4</v>
      </c>
      <c r="CE177" s="102">
        <f t="shared" si="130"/>
        <v>12.1</v>
      </c>
      <c r="CF177" s="102">
        <f t="shared" si="131"/>
        <v>95.2</v>
      </c>
      <c r="CG177" s="102">
        <f t="shared" si="132"/>
        <v>8</v>
      </c>
      <c r="CH177" s="102">
        <f t="shared" si="133"/>
        <v>3.7</v>
      </c>
      <c r="CI177" s="102">
        <f t="shared" si="134"/>
        <v>46.9</v>
      </c>
      <c r="CJ177" s="102">
        <f t="shared" si="135"/>
        <v>2.2999999999999998</v>
      </c>
      <c r="CK177" s="102">
        <f t="shared" si="136"/>
        <v>38</v>
      </c>
      <c r="CL177" s="102">
        <f t="shared" si="137"/>
        <v>75</v>
      </c>
      <c r="CM177" s="102">
        <f t="shared" si="138"/>
        <v>4400</v>
      </c>
      <c r="CN177" s="102">
        <f t="shared" si="139"/>
        <v>83</v>
      </c>
      <c r="CO177" s="102">
        <f t="shared" si="140"/>
        <v>4700</v>
      </c>
      <c r="CP177" s="102" t="str">
        <f t="shared" si="141"/>
        <v/>
      </c>
    </row>
    <row r="178" spans="2:94">
      <c r="B178" t="s">
        <v>252</v>
      </c>
      <c r="C178" s="231">
        <v>45309</v>
      </c>
      <c r="D178" s="233">
        <v>0.2</v>
      </c>
      <c r="E178" s="233">
        <v>13.9</v>
      </c>
      <c r="F178" s="235">
        <v>95</v>
      </c>
      <c r="G178" s="233">
        <v>7.9</v>
      </c>
      <c r="H178" s="233">
        <v>4.5999999999999996</v>
      </c>
      <c r="I178" s="233">
        <v>44</v>
      </c>
      <c r="J178" s="233" t="s">
        <v>367</v>
      </c>
      <c r="K178" s="235">
        <v>38</v>
      </c>
      <c r="L178" s="235">
        <v>63</v>
      </c>
      <c r="M178" s="235">
        <v>3800</v>
      </c>
      <c r="N178" s="235">
        <v>110</v>
      </c>
      <c r="O178" s="235">
        <v>4500</v>
      </c>
      <c r="P178" t="s">
        <v>415</v>
      </c>
      <c r="Q178">
        <v>2024</v>
      </c>
      <c r="R178">
        <v>1</v>
      </c>
      <c r="T178" s="226"/>
      <c r="U178" s="226"/>
      <c r="V178" s="226"/>
      <c r="W178" s="226"/>
      <c r="X178" s="226"/>
      <c r="Y178" s="226"/>
      <c r="Z178" s="226"/>
      <c r="AA178" s="233">
        <f t="shared" si="95"/>
        <v>10.332000000000001</v>
      </c>
      <c r="AB178" s="233">
        <f t="shared" si="96"/>
        <v>12.739174193481931</v>
      </c>
      <c r="AC178" s="233">
        <f t="shared" si="97"/>
        <v>7.9248258065180703</v>
      </c>
      <c r="AD178">
        <v>2.95</v>
      </c>
      <c r="AE178" s="233">
        <f t="shared" si="98"/>
        <v>7.9374301675977676</v>
      </c>
      <c r="AF178" s="233">
        <f t="shared" si="99"/>
        <v>8.0830597168027865</v>
      </c>
      <c r="AG178" s="233">
        <f t="shared" si="100"/>
        <v>7.7918006183927488</v>
      </c>
      <c r="AH178">
        <v>6.5</v>
      </c>
      <c r="AI178" s="233">
        <f t="shared" si="101"/>
        <v>3.3601117318435763</v>
      </c>
      <c r="AJ178" s="233">
        <f t="shared" si="102"/>
        <v>6.3851512410714601</v>
      </c>
      <c r="AK178" s="233">
        <f t="shared" si="103"/>
        <v>0.33507222261569281</v>
      </c>
      <c r="AL178">
        <v>7</v>
      </c>
      <c r="AM178" s="233">
        <f t="shared" si="104"/>
        <v>48.104347826086951</v>
      </c>
      <c r="AN178" s="233">
        <f t="shared" si="105"/>
        <v>52.277593646348265</v>
      </c>
      <c r="AO178" s="233">
        <f t="shared" si="106"/>
        <v>43.931102005825636</v>
      </c>
      <c r="AP178" s="233">
        <f t="shared" si="107"/>
        <v>2.0655865921787711</v>
      </c>
      <c r="AQ178" s="233">
        <f t="shared" si="108"/>
        <v>3.1665882132978602</v>
      </c>
      <c r="AR178" s="233">
        <f t="shared" si="109"/>
        <v>0.96458497105968211</v>
      </c>
      <c r="AS178" s="235">
        <f t="shared" si="110"/>
        <v>33.105027932960894</v>
      </c>
      <c r="AT178" s="235">
        <f t="shared" si="111"/>
        <v>50.535961542150602</v>
      </c>
      <c r="AU178" s="235">
        <f t="shared" si="112"/>
        <v>15.67409432377119</v>
      </c>
      <c r="AV178">
        <v>100</v>
      </c>
      <c r="AW178" s="235">
        <f t="shared" si="113"/>
        <v>62.766666666666666</v>
      </c>
      <c r="AX178" s="235">
        <f t="shared" si="114"/>
        <v>80.98511149172171</v>
      </c>
      <c r="AY178" s="235">
        <f t="shared" si="115"/>
        <v>44.548221841611614</v>
      </c>
      <c r="AZ178" s="235">
        <f t="shared" si="116"/>
        <v>2941.6666666666665</v>
      </c>
      <c r="BA178" s="235">
        <f t="shared" si="117"/>
        <v>4966.9775952753826</v>
      </c>
      <c r="BB178" s="235">
        <f t="shared" si="118"/>
        <v>916.35573805795048</v>
      </c>
      <c r="BC178" s="235">
        <f t="shared" si="119"/>
        <v>53.18888888888889</v>
      </c>
      <c r="BD178" s="235">
        <f t="shared" si="120"/>
        <v>112.67052202318322</v>
      </c>
      <c r="BE178" s="235">
        <f t="shared" si="121"/>
        <v>-6.2927442454054372</v>
      </c>
      <c r="BF178" s="235">
        <f t="shared" si="122"/>
        <v>3577.2222222222222</v>
      </c>
      <c r="BG178" s="235">
        <f t="shared" si="123"/>
        <v>5636.1265941907786</v>
      </c>
      <c r="BH178" s="235">
        <f t="shared" si="124"/>
        <v>1518.3178502536657</v>
      </c>
      <c r="BI178">
        <v>5000</v>
      </c>
      <c r="BJ178" s="235">
        <f t="shared" si="125"/>
        <v>0</v>
      </c>
      <c r="BK178" s="235">
        <f t="shared" si="126"/>
        <v>0</v>
      </c>
      <c r="BL178" s="235">
        <f t="shared" si="127"/>
        <v>0</v>
      </c>
      <c r="BO178" s="235">
        <f t="shared" si="128"/>
        <v>45309</v>
      </c>
      <c r="CD178" s="533">
        <f t="shared" si="129"/>
        <v>0.2</v>
      </c>
      <c r="CE178" s="102">
        <f t="shared" si="130"/>
        <v>13.9</v>
      </c>
      <c r="CF178" s="102">
        <f t="shared" si="131"/>
        <v>95</v>
      </c>
      <c r="CG178" s="102">
        <f t="shared" si="132"/>
        <v>7.9</v>
      </c>
      <c r="CH178" s="102">
        <f t="shared" si="133"/>
        <v>4.5999999999999996</v>
      </c>
      <c r="CI178" s="102">
        <f t="shared" si="134"/>
        <v>44</v>
      </c>
      <c r="CJ178" s="102">
        <f t="shared" si="135"/>
        <v>3</v>
      </c>
      <c r="CK178" s="102">
        <f t="shared" si="136"/>
        <v>38</v>
      </c>
      <c r="CL178" s="102">
        <f t="shared" si="137"/>
        <v>63</v>
      </c>
      <c r="CM178" s="102">
        <f t="shared" si="138"/>
        <v>3800</v>
      </c>
      <c r="CN178" s="102">
        <f t="shared" si="139"/>
        <v>110</v>
      </c>
      <c r="CO178" s="102">
        <f t="shared" si="140"/>
        <v>4500</v>
      </c>
      <c r="CP178" s="102" t="str">
        <f t="shared" si="141"/>
        <v>BOD-analys med ATU</v>
      </c>
    </row>
    <row r="179" spans="2:94">
      <c r="B179" t="s">
        <v>252</v>
      </c>
      <c r="C179" s="231">
        <v>45346</v>
      </c>
      <c r="D179" s="233">
        <v>5</v>
      </c>
      <c r="E179" s="233">
        <v>12.7</v>
      </c>
      <c r="F179" s="235">
        <v>100</v>
      </c>
      <c r="G179" s="233">
        <v>7.8</v>
      </c>
      <c r="H179" s="233">
        <v>8.9</v>
      </c>
      <c r="I179" s="233">
        <v>36.6</v>
      </c>
      <c r="J179" s="233">
        <v>1.3</v>
      </c>
      <c r="K179" s="235">
        <v>29</v>
      </c>
      <c r="L179" s="235">
        <v>58</v>
      </c>
      <c r="M179" s="235">
        <v>3700</v>
      </c>
      <c r="N179" s="235" t="s">
        <v>148</v>
      </c>
      <c r="O179" s="235">
        <v>4000</v>
      </c>
      <c r="P179" t="s">
        <v>18</v>
      </c>
      <c r="Q179">
        <v>2024</v>
      </c>
      <c r="R179">
        <v>2</v>
      </c>
      <c r="T179" s="226"/>
      <c r="U179" s="226"/>
      <c r="V179" s="226"/>
      <c r="W179" s="226"/>
      <c r="X179" s="226"/>
      <c r="Y179" s="226"/>
      <c r="Z179" s="226"/>
      <c r="AA179" s="233">
        <f t="shared" si="95"/>
        <v>10.332000000000001</v>
      </c>
      <c r="AB179" s="233">
        <f t="shared" si="96"/>
        <v>12.739174193481931</v>
      </c>
      <c r="AC179" s="233">
        <f t="shared" si="97"/>
        <v>7.9248258065180703</v>
      </c>
      <c r="AD179">
        <v>2.95</v>
      </c>
      <c r="AE179" s="233">
        <f t="shared" si="98"/>
        <v>7.9374301675977676</v>
      </c>
      <c r="AF179" s="233">
        <f t="shared" si="99"/>
        <v>8.0830597168027865</v>
      </c>
      <c r="AG179" s="233">
        <f t="shared" si="100"/>
        <v>7.7918006183927488</v>
      </c>
      <c r="AH179">
        <v>6.5</v>
      </c>
      <c r="AI179" s="233">
        <f t="shared" si="101"/>
        <v>3.3601117318435763</v>
      </c>
      <c r="AJ179" s="233">
        <f t="shared" si="102"/>
        <v>6.3851512410714601</v>
      </c>
      <c r="AK179" s="233">
        <f t="shared" si="103"/>
        <v>0.33507222261569281</v>
      </c>
      <c r="AL179">
        <v>7</v>
      </c>
      <c r="AM179" s="233">
        <f t="shared" si="104"/>
        <v>48.104347826086951</v>
      </c>
      <c r="AN179" s="233">
        <f t="shared" si="105"/>
        <v>52.277593646348265</v>
      </c>
      <c r="AO179" s="233">
        <f t="shared" si="106"/>
        <v>43.931102005825636</v>
      </c>
      <c r="AP179" s="233">
        <f t="shared" si="107"/>
        <v>2.0655865921787711</v>
      </c>
      <c r="AQ179" s="233">
        <f t="shared" si="108"/>
        <v>3.1665882132978602</v>
      </c>
      <c r="AR179" s="233">
        <f t="shared" si="109"/>
        <v>0.96458497105968211</v>
      </c>
      <c r="AS179" s="235">
        <f t="shared" si="110"/>
        <v>33.105027932960894</v>
      </c>
      <c r="AT179" s="235">
        <f t="shared" si="111"/>
        <v>50.535961542150602</v>
      </c>
      <c r="AU179" s="235">
        <f t="shared" si="112"/>
        <v>15.67409432377119</v>
      </c>
      <c r="AV179">
        <v>100</v>
      </c>
      <c r="AW179" s="235">
        <f t="shared" si="113"/>
        <v>62.766666666666666</v>
      </c>
      <c r="AX179" s="235">
        <f t="shared" si="114"/>
        <v>80.98511149172171</v>
      </c>
      <c r="AY179" s="235">
        <f t="shared" si="115"/>
        <v>44.548221841611614</v>
      </c>
      <c r="AZ179" s="235">
        <f t="shared" si="116"/>
        <v>2941.6666666666665</v>
      </c>
      <c r="BA179" s="235">
        <f t="shared" si="117"/>
        <v>4966.9775952753826</v>
      </c>
      <c r="BB179" s="235">
        <f t="shared" si="118"/>
        <v>916.35573805795048</v>
      </c>
      <c r="BC179" s="235">
        <f t="shared" si="119"/>
        <v>53.18888888888889</v>
      </c>
      <c r="BD179" s="235">
        <f t="shared" si="120"/>
        <v>112.67052202318322</v>
      </c>
      <c r="BE179" s="235">
        <f t="shared" si="121"/>
        <v>-6.2927442454054372</v>
      </c>
      <c r="BF179" s="235">
        <f t="shared" si="122"/>
        <v>3577.2222222222222</v>
      </c>
      <c r="BG179" s="235">
        <f t="shared" si="123"/>
        <v>5636.1265941907786</v>
      </c>
      <c r="BH179" s="235">
        <f t="shared" si="124"/>
        <v>1518.3178502536657</v>
      </c>
      <c r="BI179">
        <v>5000</v>
      </c>
      <c r="BJ179" s="235">
        <f t="shared" si="125"/>
        <v>0</v>
      </c>
      <c r="BK179" s="235">
        <f t="shared" si="126"/>
        <v>0</v>
      </c>
      <c r="BL179" s="235">
        <f t="shared" si="127"/>
        <v>0</v>
      </c>
      <c r="BO179" s="235">
        <f t="shared" si="128"/>
        <v>45346</v>
      </c>
      <c r="CD179" s="533">
        <f t="shared" si="129"/>
        <v>5</v>
      </c>
      <c r="CE179" s="102">
        <f t="shared" si="130"/>
        <v>12.7</v>
      </c>
      <c r="CF179" s="102">
        <f t="shared" si="131"/>
        <v>100</v>
      </c>
      <c r="CG179" s="102">
        <f t="shared" si="132"/>
        <v>7.8</v>
      </c>
      <c r="CH179" s="102">
        <f t="shared" si="133"/>
        <v>8.9</v>
      </c>
      <c r="CI179" s="102">
        <f t="shared" si="134"/>
        <v>36.6</v>
      </c>
      <c r="CJ179" s="102">
        <f t="shared" si="135"/>
        <v>1.3</v>
      </c>
      <c r="CK179" s="102">
        <f t="shared" si="136"/>
        <v>29</v>
      </c>
      <c r="CL179" s="102">
        <f t="shared" si="137"/>
        <v>58</v>
      </c>
      <c r="CM179" s="102">
        <f t="shared" si="138"/>
        <v>3700</v>
      </c>
      <c r="CN179" s="102">
        <f t="shared" si="139"/>
        <v>10</v>
      </c>
      <c r="CO179" s="102">
        <f t="shared" si="140"/>
        <v>4000</v>
      </c>
      <c r="CP179" s="102" t="str">
        <f t="shared" si="141"/>
        <v/>
      </c>
    </row>
    <row r="180" spans="2:94">
      <c r="B180" t="s">
        <v>252</v>
      </c>
      <c r="C180" s="231">
        <v>45371</v>
      </c>
      <c r="D180" s="233">
        <v>6.6</v>
      </c>
      <c r="E180" s="233">
        <v>11.3</v>
      </c>
      <c r="F180" s="235">
        <v>92</v>
      </c>
      <c r="G180" s="233">
        <v>8</v>
      </c>
      <c r="H180" s="233">
        <v>2</v>
      </c>
      <c r="I180" s="233">
        <v>43.9</v>
      </c>
      <c r="J180" s="233">
        <v>1.9</v>
      </c>
      <c r="K180" s="235">
        <v>22</v>
      </c>
      <c r="L180" s="235">
        <v>48</v>
      </c>
      <c r="M180" s="235">
        <v>2600</v>
      </c>
      <c r="N180" s="235">
        <v>48</v>
      </c>
      <c r="O180" s="235">
        <v>3200</v>
      </c>
      <c r="P180" t="s">
        <v>18</v>
      </c>
      <c r="Q180">
        <v>2024</v>
      </c>
      <c r="R180">
        <v>3</v>
      </c>
      <c r="T180" s="226"/>
      <c r="U180" s="226"/>
      <c r="V180" s="226"/>
      <c r="W180" s="226"/>
      <c r="X180" s="226"/>
      <c r="Y180" s="226"/>
      <c r="Z180" s="226"/>
      <c r="AA180" s="233">
        <f t="shared" si="95"/>
        <v>10.332000000000001</v>
      </c>
      <c r="AB180" s="233">
        <f t="shared" si="96"/>
        <v>12.739174193481931</v>
      </c>
      <c r="AC180" s="233">
        <f t="shared" si="97"/>
        <v>7.9248258065180703</v>
      </c>
      <c r="AD180">
        <v>2.95</v>
      </c>
      <c r="AE180" s="233">
        <f t="shared" si="98"/>
        <v>7.9374301675977676</v>
      </c>
      <c r="AF180" s="233">
        <f t="shared" si="99"/>
        <v>8.0830597168027865</v>
      </c>
      <c r="AG180" s="233">
        <f t="shared" si="100"/>
        <v>7.7918006183927488</v>
      </c>
      <c r="AH180">
        <v>6.5</v>
      </c>
      <c r="AI180" s="233">
        <f t="shared" si="101"/>
        <v>3.3601117318435763</v>
      </c>
      <c r="AJ180" s="233">
        <f t="shared" si="102"/>
        <v>6.3851512410714601</v>
      </c>
      <c r="AK180" s="233">
        <f t="shared" si="103"/>
        <v>0.33507222261569281</v>
      </c>
      <c r="AL180">
        <v>7</v>
      </c>
      <c r="AM180" s="233">
        <f t="shared" si="104"/>
        <v>48.104347826086951</v>
      </c>
      <c r="AN180" s="233">
        <f t="shared" si="105"/>
        <v>52.277593646348265</v>
      </c>
      <c r="AO180" s="233">
        <f t="shared" si="106"/>
        <v>43.931102005825636</v>
      </c>
      <c r="AP180" s="233">
        <f t="shared" si="107"/>
        <v>2.0655865921787711</v>
      </c>
      <c r="AQ180" s="233">
        <f t="shared" si="108"/>
        <v>3.1665882132978602</v>
      </c>
      <c r="AR180" s="233">
        <f t="shared" si="109"/>
        <v>0.96458497105968211</v>
      </c>
      <c r="AS180" s="235">
        <f t="shared" si="110"/>
        <v>33.105027932960894</v>
      </c>
      <c r="AT180" s="235">
        <f t="shared" si="111"/>
        <v>50.535961542150602</v>
      </c>
      <c r="AU180" s="235">
        <f t="shared" si="112"/>
        <v>15.67409432377119</v>
      </c>
      <c r="AV180">
        <v>100</v>
      </c>
      <c r="AW180" s="235">
        <f t="shared" si="113"/>
        <v>62.766666666666666</v>
      </c>
      <c r="AX180" s="235">
        <f t="shared" si="114"/>
        <v>80.98511149172171</v>
      </c>
      <c r="AY180" s="235">
        <f t="shared" si="115"/>
        <v>44.548221841611614</v>
      </c>
      <c r="AZ180" s="235">
        <f t="shared" si="116"/>
        <v>2941.6666666666665</v>
      </c>
      <c r="BA180" s="235">
        <f t="shared" si="117"/>
        <v>4966.9775952753826</v>
      </c>
      <c r="BB180" s="235">
        <f t="shared" si="118"/>
        <v>916.35573805795048</v>
      </c>
      <c r="BC180" s="235">
        <f t="shared" si="119"/>
        <v>53.18888888888889</v>
      </c>
      <c r="BD180" s="235">
        <f t="shared" si="120"/>
        <v>112.67052202318322</v>
      </c>
      <c r="BE180" s="235">
        <f t="shared" si="121"/>
        <v>-6.2927442454054372</v>
      </c>
      <c r="BF180" s="235">
        <f t="shared" si="122"/>
        <v>3577.2222222222222</v>
      </c>
      <c r="BG180" s="235">
        <f t="shared" si="123"/>
        <v>5636.1265941907786</v>
      </c>
      <c r="BH180" s="235">
        <f t="shared" si="124"/>
        <v>1518.3178502536657</v>
      </c>
      <c r="BI180">
        <v>5000</v>
      </c>
      <c r="BJ180" s="235">
        <f t="shared" si="125"/>
        <v>0</v>
      </c>
      <c r="BK180" s="235">
        <f t="shared" si="126"/>
        <v>0</v>
      </c>
      <c r="BL180" s="235">
        <f t="shared" si="127"/>
        <v>0</v>
      </c>
      <c r="BO180" s="235">
        <f t="shared" si="128"/>
        <v>45371</v>
      </c>
      <c r="CD180" s="533">
        <f t="shared" si="129"/>
        <v>6.6</v>
      </c>
      <c r="CE180" s="102">
        <f t="shared" si="130"/>
        <v>11.3</v>
      </c>
      <c r="CF180" s="102">
        <f t="shared" si="131"/>
        <v>92</v>
      </c>
      <c r="CG180" s="102">
        <f t="shared" si="132"/>
        <v>8</v>
      </c>
      <c r="CH180" s="102">
        <f t="shared" si="133"/>
        <v>2</v>
      </c>
      <c r="CI180" s="102">
        <f t="shared" si="134"/>
        <v>43.9</v>
      </c>
      <c r="CJ180" s="102">
        <f t="shared" si="135"/>
        <v>1.9</v>
      </c>
      <c r="CK180" s="102">
        <f t="shared" si="136"/>
        <v>22</v>
      </c>
      <c r="CL180" s="102">
        <f t="shared" si="137"/>
        <v>48</v>
      </c>
      <c r="CM180" s="102">
        <f t="shared" si="138"/>
        <v>2600</v>
      </c>
      <c r="CN180" s="102">
        <f t="shared" si="139"/>
        <v>48</v>
      </c>
      <c r="CO180" s="102">
        <f t="shared" si="140"/>
        <v>3200</v>
      </c>
      <c r="CP180" s="102" t="str">
        <f t="shared" si="141"/>
        <v/>
      </c>
    </row>
    <row r="181" spans="2:94">
      <c r="B181" t="s">
        <v>252</v>
      </c>
      <c r="C181" s="231">
        <v>45398</v>
      </c>
      <c r="D181" s="233">
        <v>11</v>
      </c>
      <c r="E181" s="233">
        <v>11.1</v>
      </c>
      <c r="F181" s="235">
        <v>101</v>
      </c>
      <c r="G181" s="233">
        <v>8.1</v>
      </c>
      <c r="H181" s="233">
        <v>4.5999999999999996</v>
      </c>
      <c r="I181" s="233">
        <v>45.3</v>
      </c>
      <c r="J181" s="233">
        <v>2.4</v>
      </c>
      <c r="K181" s="235">
        <v>6.6</v>
      </c>
      <c r="L181" s="235">
        <v>42</v>
      </c>
      <c r="M181" s="235">
        <v>2700</v>
      </c>
      <c r="N181" s="235">
        <v>14</v>
      </c>
      <c r="O181" s="235">
        <v>3900</v>
      </c>
      <c r="P181" t="s">
        <v>18</v>
      </c>
      <c r="Q181">
        <v>2024</v>
      </c>
      <c r="R181">
        <v>4</v>
      </c>
      <c r="T181" s="226"/>
      <c r="U181" s="226"/>
      <c r="V181" s="226"/>
      <c r="W181" s="226"/>
      <c r="X181" s="226"/>
      <c r="Y181" s="226"/>
      <c r="Z181" s="226"/>
      <c r="AA181" s="233">
        <f t="shared" si="95"/>
        <v>10.332000000000001</v>
      </c>
      <c r="AB181" s="233">
        <f t="shared" si="96"/>
        <v>12.739174193481931</v>
      </c>
      <c r="AC181" s="233">
        <f t="shared" si="97"/>
        <v>7.9248258065180703</v>
      </c>
      <c r="AD181">
        <v>2.95</v>
      </c>
      <c r="AE181" s="233">
        <f t="shared" si="98"/>
        <v>7.9374301675977676</v>
      </c>
      <c r="AF181" s="233">
        <f t="shared" si="99"/>
        <v>8.0830597168027865</v>
      </c>
      <c r="AG181" s="233">
        <f t="shared" si="100"/>
        <v>7.7918006183927488</v>
      </c>
      <c r="AH181">
        <v>6.5</v>
      </c>
      <c r="AI181" s="233">
        <f t="shared" si="101"/>
        <v>3.3601117318435763</v>
      </c>
      <c r="AJ181" s="233">
        <f t="shared" si="102"/>
        <v>6.3851512410714601</v>
      </c>
      <c r="AK181" s="233">
        <f t="shared" si="103"/>
        <v>0.33507222261569281</v>
      </c>
      <c r="AL181">
        <v>7</v>
      </c>
      <c r="AM181" s="233">
        <f t="shared" si="104"/>
        <v>48.104347826086951</v>
      </c>
      <c r="AN181" s="233">
        <f t="shared" si="105"/>
        <v>52.277593646348265</v>
      </c>
      <c r="AO181" s="233">
        <f t="shared" si="106"/>
        <v>43.931102005825636</v>
      </c>
      <c r="AP181" s="233">
        <f t="shared" si="107"/>
        <v>2.0655865921787711</v>
      </c>
      <c r="AQ181" s="233">
        <f t="shared" si="108"/>
        <v>3.1665882132978602</v>
      </c>
      <c r="AR181" s="233">
        <f t="shared" si="109"/>
        <v>0.96458497105968211</v>
      </c>
      <c r="AS181" s="235">
        <f t="shared" si="110"/>
        <v>33.105027932960894</v>
      </c>
      <c r="AT181" s="235">
        <f t="shared" si="111"/>
        <v>50.535961542150602</v>
      </c>
      <c r="AU181" s="235">
        <f t="shared" si="112"/>
        <v>15.67409432377119</v>
      </c>
      <c r="AV181">
        <v>100</v>
      </c>
      <c r="AW181" s="235">
        <f t="shared" si="113"/>
        <v>62.766666666666666</v>
      </c>
      <c r="AX181" s="235">
        <f t="shared" si="114"/>
        <v>80.98511149172171</v>
      </c>
      <c r="AY181" s="235">
        <f t="shared" si="115"/>
        <v>44.548221841611614</v>
      </c>
      <c r="AZ181" s="235">
        <f t="shared" si="116"/>
        <v>2941.6666666666665</v>
      </c>
      <c r="BA181" s="235">
        <f t="shared" si="117"/>
        <v>4966.9775952753826</v>
      </c>
      <c r="BB181" s="235">
        <f t="shared" si="118"/>
        <v>916.35573805795048</v>
      </c>
      <c r="BC181" s="235">
        <f t="shared" si="119"/>
        <v>53.18888888888889</v>
      </c>
      <c r="BD181" s="235">
        <f t="shared" si="120"/>
        <v>112.67052202318322</v>
      </c>
      <c r="BE181" s="235">
        <f t="shared" si="121"/>
        <v>-6.2927442454054372</v>
      </c>
      <c r="BF181" s="235">
        <f t="shared" si="122"/>
        <v>3577.2222222222222</v>
      </c>
      <c r="BG181" s="235">
        <f t="shared" si="123"/>
        <v>5636.1265941907786</v>
      </c>
      <c r="BH181" s="235">
        <f t="shared" si="124"/>
        <v>1518.3178502536657</v>
      </c>
      <c r="BI181">
        <v>5000</v>
      </c>
      <c r="BJ181" s="235">
        <f t="shared" si="125"/>
        <v>0</v>
      </c>
      <c r="BK181" s="235">
        <f t="shared" si="126"/>
        <v>0</v>
      </c>
      <c r="BL181" s="235">
        <f t="shared" si="127"/>
        <v>0</v>
      </c>
      <c r="BO181" s="235">
        <f t="shared" si="128"/>
        <v>45398</v>
      </c>
      <c r="CD181" s="533">
        <f t="shared" si="129"/>
        <v>11</v>
      </c>
      <c r="CE181" s="102">
        <f t="shared" si="130"/>
        <v>11.1</v>
      </c>
      <c r="CF181" s="102">
        <f t="shared" si="131"/>
        <v>101</v>
      </c>
      <c r="CG181" s="102">
        <f t="shared" si="132"/>
        <v>8.1</v>
      </c>
      <c r="CH181" s="102">
        <f t="shared" si="133"/>
        <v>4.5999999999999996</v>
      </c>
      <c r="CI181" s="102">
        <f t="shared" si="134"/>
        <v>45.3</v>
      </c>
      <c r="CJ181" s="102">
        <f t="shared" si="135"/>
        <v>2.4</v>
      </c>
      <c r="CK181" s="102">
        <f t="shared" si="136"/>
        <v>6.6</v>
      </c>
      <c r="CL181" s="102">
        <f t="shared" si="137"/>
        <v>42</v>
      </c>
      <c r="CM181" s="102">
        <f t="shared" si="138"/>
        <v>2700</v>
      </c>
      <c r="CN181" s="102">
        <f t="shared" si="139"/>
        <v>14</v>
      </c>
      <c r="CO181" s="102">
        <f t="shared" si="140"/>
        <v>3900</v>
      </c>
      <c r="CP181" s="102" t="str">
        <f t="shared" si="141"/>
        <v/>
      </c>
    </row>
    <row r="182" spans="2:94">
      <c r="B182" t="s">
        <v>252</v>
      </c>
      <c r="C182" s="231">
        <v>45427</v>
      </c>
      <c r="D182" s="233">
        <v>16.7</v>
      </c>
      <c r="E182" s="233">
        <v>8.6</v>
      </c>
      <c r="F182" s="235">
        <v>89</v>
      </c>
      <c r="G182" s="233">
        <v>8</v>
      </c>
      <c r="H182" s="233">
        <v>2.2999999999999998</v>
      </c>
      <c r="I182" s="233">
        <v>46.5</v>
      </c>
      <c r="J182" s="233">
        <v>1.4</v>
      </c>
      <c r="K182" s="235">
        <v>17</v>
      </c>
      <c r="L182" s="235">
        <v>48</v>
      </c>
      <c r="M182" s="235">
        <v>2000</v>
      </c>
      <c r="N182" s="235">
        <v>23</v>
      </c>
      <c r="O182" s="235">
        <v>2600</v>
      </c>
      <c r="P182" t="s">
        <v>18</v>
      </c>
      <c r="Q182">
        <v>2024</v>
      </c>
      <c r="R182">
        <v>5</v>
      </c>
      <c r="T182" s="226"/>
      <c r="U182" s="226"/>
      <c r="V182" s="226"/>
      <c r="W182" s="226"/>
      <c r="X182" s="226"/>
      <c r="Y182" s="226"/>
      <c r="Z182" s="226"/>
      <c r="AA182" s="233">
        <f t="shared" si="95"/>
        <v>10.332000000000001</v>
      </c>
      <c r="AB182" s="233">
        <f t="shared" si="96"/>
        <v>12.739174193481931</v>
      </c>
      <c r="AC182" s="233">
        <f t="shared" si="97"/>
        <v>7.9248258065180703</v>
      </c>
      <c r="AD182">
        <v>2.95</v>
      </c>
      <c r="AE182" s="233">
        <f t="shared" si="98"/>
        <v>7.9374301675977676</v>
      </c>
      <c r="AF182" s="233">
        <f t="shared" si="99"/>
        <v>8.0830597168027865</v>
      </c>
      <c r="AG182" s="233">
        <f t="shared" si="100"/>
        <v>7.7918006183927488</v>
      </c>
      <c r="AH182">
        <v>6.5</v>
      </c>
      <c r="AI182" s="233">
        <f t="shared" si="101"/>
        <v>3.3601117318435763</v>
      </c>
      <c r="AJ182" s="233">
        <f t="shared" si="102"/>
        <v>6.3851512410714601</v>
      </c>
      <c r="AK182" s="233">
        <f t="shared" si="103"/>
        <v>0.33507222261569281</v>
      </c>
      <c r="AL182">
        <v>7</v>
      </c>
      <c r="AM182" s="233">
        <f t="shared" si="104"/>
        <v>48.104347826086951</v>
      </c>
      <c r="AN182" s="233">
        <f t="shared" si="105"/>
        <v>52.277593646348265</v>
      </c>
      <c r="AO182" s="233">
        <f t="shared" si="106"/>
        <v>43.931102005825636</v>
      </c>
      <c r="AP182" s="233">
        <f t="shared" si="107"/>
        <v>2.0655865921787711</v>
      </c>
      <c r="AQ182" s="233">
        <f t="shared" si="108"/>
        <v>3.1665882132978602</v>
      </c>
      <c r="AR182" s="233">
        <f t="shared" si="109"/>
        <v>0.96458497105968211</v>
      </c>
      <c r="AS182" s="235">
        <f t="shared" si="110"/>
        <v>33.105027932960894</v>
      </c>
      <c r="AT182" s="235">
        <f t="shared" si="111"/>
        <v>50.535961542150602</v>
      </c>
      <c r="AU182" s="235">
        <f t="shared" si="112"/>
        <v>15.67409432377119</v>
      </c>
      <c r="AV182">
        <v>100</v>
      </c>
      <c r="AW182" s="235">
        <f t="shared" si="113"/>
        <v>62.766666666666666</v>
      </c>
      <c r="AX182" s="235">
        <f t="shared" si="114"/>
        <v>80.98511149172171</v>
      </c>
      <c r="AY182" s="235">
        <f t="shared" si="115"/>
        <v>44.548221841611614</v>
      </c>
      <c r="AZ182" s="235">
        <f t="shared" si="116"/>
        <v>2941.6666666666665</v>
      </c>
      <c r="BA182" s="235">
        <f t="shared" si="117"/>
        <v>4966.9775952753826</v>
      </c>
      <c r="BB182" s="235">
        <f t="shared" si="118"/>
        <v>916.35573805795048</v>
      </c>
      <c r="BC182" s="235">
        <f t="shared" si="119"/>
        <v>53.18888888888889</v>
      </c>
      <c r="BD182" s="235">
        <f t="shared" si="120"/>
        <v>112.67052202318322</v>
      </c>
      <c r="BE182" s="235">
        <f t="shared" si="121"/>
        <v>-6.2927442454054372</v>
      </c>
      <c r="BF182" s="235">
        <f t="shared" si="122"/>
        <v>3577.2222222222222</v>
      </c>
      <c r="BG182" s="235">
        <f t="shared" si="123"/>
        <v>5636.1265941907786</v>
      </c>
      <c r="BH182" s="235">
        <f t="shared" si="124"/>
        <v>1518.3178502536657</v>
      </c>
      <c r="BI182">
        <v>5000</v>
      </c>
      <c r="BJ182" s="235">
        <f t="shared" si="125"/>
        <v>0</v>
      </c>
      <c r="BK182" s="235">
        <f t="shared" si="126"/>
        <v>0</v>
      </c>
      <c r="BL182" s="235">
        <f t="shared" si="127"/>
        <v>0</v>
      </c>
      <c r="BO182" s="235">
        <f t="shared" si="128"/>
        <v>45427</v>
      </c>
      <c r="CD182" s="533">
        <f t="shared" si="129"/>
        <v>16.7</v>
      </c>
      <c r="CE182" s="102">
        <f t="shared" si="130"/>
        <v>8.6</v>
      </c>
      <c r="CF182" s="102">
        <f t="shared" si="131"/>
        <v>89</v>
      </c>
      <c r="CG182" s="102">
        <f t="shared" si="132"/>
        <v>8</v>
      </c>
      <c r="CH182" s="102">
        <f t="shared" si="133"/>
        <v>2.2999999999999998</v>
      </c>
      <c r="CI182" s="102">
        <f t="shared" si="134"/>
        <v>46.5</v>
      </c>
      <c r="CJ182" s="102">
        <f t="shared" si="135"/>
        <v>1.4</v>
      </c>
      <c r="CK182" s="102">
        <f t="shared" si="136"/>
        <v>17</v>
      </c>
      <c r="CL182" s="102">
        <f t="shared" si="137"/>
        <v>48</v>
      </c>
      <c r="CM182" s="102">
        <f t="shared" si="138"/>
        <v>2000</v>
      </c>
      <c r="CN182" s="102">
        <f t="shared" si="139"/>
        <v>23</v>
      </c>
      <c r="CO182" s="102">
        <f t="shared" si="140"/>
        <v>2600</v>
      </c>
      <c r="CP182" s="102" t="str">
        <f t="shared" si="141"/>
        <v/>
      </c>
    </row>
    <row r="183" spans="2:94">
      <c r="B183" t="s">
        <v>252</v>
      </c>
      <c r="C183" s="231">
        <v>45456</v>
      </c>
      <c r="D183" s="233">
        <v>16.5</v>
      </c>
      <c r="E183" s="233">
        <v>8.6</v>
      </c>
      <c r="F183" s="235">
        <v>88</v>
      </c>
      <c r="G183" s="233">
        <v>8</v>
      </c>
      <c r="H183" s="233">
        <v>1.2</v>
      </c>
      <c r="I183" s="233">
        <v>47.3</v>
      </c>
      <c r="J183" s="233">
        <v>1.1000000000000001</v>
      </c>
      <c r="K183" s="235">
        <v>42</v>
      </c>
      <c r="L183" s="235">
        <v>60</v>
      </c>
      <c r="M183" s="235">
        <v>1200</v>
      </c>
      <c r="N183" s="235">
        <v>27</v>
      </c>
      <c r="O183" s="235">
        <v>1800</v>
      </c>
      <c r="P183" t="s">
        <v>18</v>
      </c>
      <c r="Q183">
        <v>2024</v>
      </c>
      <c r="R183">
        <v>6</v>
      </c>
      <c r="T183" s="226"/>
      <c r="U183" s="226"/>
      <c r="V183" s="226"/>
      <c r="W183" s="226"/>
      <c r="X183" s="226"/>
      <c r="Y183" s="226"/>
      <c r="Z183" s="226"/>
      <c r="AA183" s="233">
        <f t="shared" si="95"/>
        <v>10.332000000000001</v>
      </c>
      <c r="AB183" s="233">
        <f t="shared" si="96"/>
        <v>12.739174193481931</v>
      </c>
      <c r="AC183" s="233">
        <f t="shared" si="97"/>
        <v>7.9248258065180703</v>
      </c>
      <c r="AD183">
        <v>2.95</v>
      </c>
      <c r="AE183" s="233">
        <f t="shared" si="98"/>
        <v>7.9374301675977676</v>
      </c>
      <c r="AF183" s="233">
        <f t="shared" si="99"/>
        <v>8.0830597168027865</v>
      </c>
      <c r="AG183" s="233">
        <f t="shared" si="100"/>
        <v>7.7918006183927488</v>
      </c>
      <c r="AH183">
        <v>6.5</v>
      </c>
      <c r="AI183" s="233">
        <f t="shared" si="101"/>
        <v>3.3601117318435763</v>
      </c>
      <c r="AJ183" s="233">
        <f t="shared" si="102"/>
        <v>6.3851512410714601</v>
      </c>
      <c r="AK183" s="233">
        <f t="shared" si="103"/>
        <v>0.33507222261569281</v>
      </c>
      <c r="AL183">
        <v>7</v>
      </c>
      <c r="AM183" s="233">
        <f t="shared" si="104"/>
        <v>48.104347826086951</v>
      </c>
      <c r="AN183" s="233">
        <f t="shared" si="105"/>
        <v>52.277593646348265</v>
      </c>
      <c r="AO183" s="233">
        <f t="shared" si="106"/>
        <v>43.931102005825636</v>
      </c>
      <c r="AP183" s="233">
        <f t="shared" si="107"/>
        <v>2.0655865921787711</v>
      </c>
      <c r="AQ183" s="233">
        <f t="shared" si="108"/>
        <v>3.1665882132978602</v>
      </c>
      <c r="AR183" s="233">
        <f t="shared" si="109"/>
        <v>0.96458497105968211</v>
      </c>
      <c r="AS183" s="235">
        <f t="shared" si="110"/>
        <v>33.105027932960894</v>
      </c>
      <c r="AT183" s="235">
        <f t="shared" si="111"/>
        <v>50.535961542150602</v>
      </c>
      <c r="AU183" s="235">
        <f t="shared" si="112"/>
        <v>15.67409432377119</v>
      </c>
      <c r="AV183">
        <v>100</v>
      </c>
      <c r="AW183" s="235">
        <f t="shared" si="113"/>
        <v>62.766666666666666</v>
      </c>
      <c r="AX183" s="235">
        <f t="shared" si="114"/>
        <v>80.98511149172171</v>
      </c>
      <c r="AY183" s="235">
        <f t="shared" si="115"/>
        <v>44.548221841611614</v>
      </c>
      <c r="AZ183" s="235">
        <f t="shared" si="116"/>
        <v>2941.6666666666665</v>
      </c>
      <c r="BA183" s="235">
        <f t="shared" si="117"/>
        <v>4966.9775952753826</v>
      </c>
      <c r="BB183" s="235">
        <f t="shared" si="118"/>
        <v>916.35573805795048</v>
      </c>
      <c r="BC183" s="235">
        <f t="shared" si="119"/>
        <v>53.18888888888889</v>
      </c>
      <c r="BD183" s="235">
        <f t="shared" si="120"/>
        <v>112.67052202318322</v>
      </c>
      <c r="BE183" s="235">
        <f t="shared" si="121"/>
        <v>-6.2927442454054372</v>
      </c>
      <c r="BF183" s="235">
        <f t="shared" si="122"/>
        <v>3577.2222222222222</v>
      </c>
      <c r="BG183" s="235">
        <f t="shared" si="123"/>
        <v>5636.1265941907786</v>
      </c>
      <c r="BH183" s="235">
        <f t="shared" si="124"/>
        <v>1518.3178502536657</v>
      </c>
      <c r="BI183">
        <v>5000</v>
      </c>
      <c r="BJ183" s="235">
        <f t="shared" si="125"/>
        <v>0</v>
      </c>
      <c r="BK183" s="235">
        <f t="shared" si="126"/>
        <v>0</v>
      </c>
      <c r="BL183" s="235">
        <f t="shared" si="127"/>
        <v>0</v>
      </c>
      <c r="BO183" s="235">
        <f t="shared" si="128"/>
        <v>45456</v>
      </c>
      <c r="CD183" s="533">
        <f t="shared" si="129"/>
        <v>16.5</v>
      </c>
      <c r="CE183" s="102">
        <f t="shared" si="130"/>
        <v>8.6</v>
      </c>
      <c r="CF183" s="102">
        <f t="shared" si="131"/>
        <v>88</v>
      </c>
      <c r="CG183" s="102">
        <f t="shared" si="132"/>
        <v>8</v>
      </c>
      <c r="CH183" s="102">
        <f t="shared" si="133"/>
        <v>1.2</v>
      </c>
      <c r="CI183" s="102">
        <f t="shared" si="134"/>
        <v>47.3</v>
      </c>
      <c r="CJ183" s="102">
        <f t="shared" si="135"/>
        <v>1.1000000000000001</v>
      </c>
      <c r="CK183" s="102">
        <f t="shared" si="136"/>
        <v>42</v>
      </c>
      <c r="CL183" s="102">
        <f t="shared" si="137"/>
        <v>60</v>
      </c>
      <c r="CM183" s="102">
        <f t="shared" si="138"/>
        <v>1200</v>
      </c>
      <c r="CN183" s="102">
        <f t="shared" si="139"/>
        <v>27</v>
      </c>
      <c r="CO183" s="102">
        <f t="shared" si="140"/>
        <v>1800</v>
      </c>
      <c r="CP183" s="102" t="str">
        <f t="shared" si="141"/>
        <v/>
      </c>
    </row>
    <row r="184" spans="2:94">
      <c r="B184" t="s">
        <v>252</v>
      </c>
      <c r="C184" s="231">
        <v>45483</v>
      </c>
      <c r="D184" s="233">
        <v>18.8</v>
      </c>
      <c r="E184" s="233">
        <v>8.35</v>
      </c>
      <c r="F184" s="235">
        <v>90</v>
      </c>
      <c r="G184" s="233">
        <v>7.9</v>
      </c>
      <c r="H184" s="233">
        <v>0.82</v>
      </c>
      <c r="I184" s="233">
        <v>42.8</v>
      </c>
      <c r="J184" s="233">
        <v>0.86</v>
      </c>
      <c r="K184" s="235">
        <v>40</v>
      </c>
      <c r="L184" s="235">
        <v>65</v>
      </c>
      <c r="M184" s="235">
        <v>1200</v>
      </c>
      <c r="N184" s="235">
        <v>22</v>
      </c>
      <c r="O184" s="235">
        <v>1400</v>
      </c>
      <c r="P184" t="s">
        <v>18</v>
      </c>
      <c r="Q184">
        <v>2024</v>
      </c>
      <c r="R184">
        <v>7</v>
      </c>
      <c r="T184" s="226"/>
      <c r="U184" s="226"/>
      <c r="V184" s="226"/>
      <c r="W184" s="226"/>
      <c r="X184" s="226"/>
      <c r="Y184" s="226"/>
      <c r="Z184" s="226"/>
      <c r="AA184" s="233">
        <f t="shared" si="95"/>
        <v>10.332000000000001</v>
      </c>
      <c r="AB184" s="233">
        <f t="shared" si="96"/>
        <v>12.739174193481931</v>
      </c>
      <c r="AC184" s="233">
        <f t="shared" si="97"/>
        <v>7.9248258065180703</v>
      </c>
      <c r="AD184">
        <v>2.95</v>
      </c>
      <c r="AE184" s="233">
        <f t="shared" si="98"/>
        <v>7.9374301675977676</v>
      </c>
      <c r="AF184" s="233">
        <f t="shared" si="99"/>
        <v>8.0830597168027865</v>
      </c>
      <c r="AG184" s="233">
        <f t="shared" si="100"/>
        <v>7.7918006183927488</v>
      </c>
      <c r="AH184">
        <v>6.5</v>
      </c>
      <c r="AI184" s="233">
        <f t="shared" si="101"/>
        <v>3.3601117318435763</v>
      </c>
      <c r="AJ184" s="233">
        <f t="shared" si="102"/>
        <v>6.3851512410714601</v>
      </c>
      <c r="AK184" s="233">
        <f t="shared" si="103"/>
        <v>0.33507222261569281</v>
      </c>
      <c r="AL184">
        <v>7</v>
      </c>
      <c r="AM184" s="233">
        <f t="shared" si="104"/>
        <v>48.104347826086951</v>
      </c>
      <c r="AN184" s="233">
        <f t="shared" si="105"/>
        <v>52.277593646348265</v>
      </c>
      <c r="AO184" s="233">
        <f t="shared" si="106"/>
        <v>43.931102005825636</v>
      </c>
      <c r="AP184" s="233">
        <f t="shared" si="107"/>
        <v>2.0655865921787711</v>
      </c>
      <c r="AQ184" s="233">
        <f t="shared" si="108"/>
        <v>3.1665882132978602</v>
      </c>
      <c r="AR184" s="233">
        <f t="shared" si="109"/>
        <v>0.96458497105968211</v>
      </c>
      <c r="AS184" s="235">
        <f t="shared" si="110"/>
        <v>33.105027932960894</v>
      </c>
      <c r="AT184" s="235">
        <f t="shared" si="111"/>
        <v>50.535961542150602</v>
      </c>
      <c r="AU184" s="235">
        <f t="shared" si="112"/>
        <v>15.67409432377119</v>
      </c>
      <c r="AV184">
        <v>100</v>
      </c>
      <c r="AW184" s="235">
        <f t="shared" si="113"/>
        <v>62.766666666666666</v>
      </c>
      <c r="AX184" s="235">
        <f t="shared" si="114"/>
        <v>80.98511149172171</v>
      </c>
      <c r="AY184" s="235">
        <f t="shared" si="115"/>
        <v>44.548221841611614</v>
      </c>
      <c r="AZ184" s="235">
        <f t="shared" si="116"/>
        <v>2941.6666666666665</v>
      </c>
      <c r="BA184" s="235">
        <f t="shared" si="117"/>
        <v>4966.9775952753826</v>
      </c>
      <c r="BB184" s="235">
        <f t="shared" si="118"/>
        <v>916.35573805795048</v>
      </c>
      <c r="BC184" s="235">
        <f t="shared" si="119"/>
        <v>53.18888888888889</v>
      </c>
      <c r="BD184" s="235">
        <f t="shared" si="120"/>
        <v>112.67052202318322</v>
      </c>
      <c r="BE184" s="235">
        <f t="shared" si="121"/>
        <v>-6.2927442454054372</v>
      </c>
      <c r="BF184" s="235">
        <f t="shared" si="122"/>
        <v>3577.2222222222222</v>
      </c>
      <c r="BG184" s="235">
        <f t="shared" si="123"/>
        <v>5636.1265941907786</v>
      </c>
      <c r="BH184" s="235">
        <f t="shared" si="124"/>
        <v>1518.3178502536657</v>
      </c>
      <c r="BI184">
        <v>5000</v>
      </c>
      <c r="BJ184" s="235">
        <f t="shared" si="125"/>
        <v>0</v>
      </c>
      <c r="BK184" s="235">
        <f t="shared" si="126"/>
        <v>0</v>
      </c>
      <c r="BL184" s="235">
        <f t="shared" si="127"/>
        <v>0</v>
      </c>
      <c r="BO184" s="235">
        <f t="shared" si="128"/>
        <v>45483</v>
      </c>
      <c r="CD184" s="533">
        <f t="shared" si="129"/>
        <v>18.8</v>
      </c>
      <c r="CE184" s="102">
        <f t="shared" si="130"/>
        <v>8.35</v>
      </c>
      <c r="CF184" s="102">
        <f t="shared" si="131"/>
        <v>90</v>
      </c>
      <c r="CG184" s="102">
        <f t="shared" si="132"/>
        <v>7.9</v>
      </c>
      <c r="CH184" s="102">
        <f t="shared" si="133"/>
        <v>0.82</v>
      </c>
      <c r="CI184" s="102">
        <f t="shared" si="134"/>
        <v>42.8</v>
      </c>
      <c r="CJ184" s="102">
        <f t="shared" si="135"/>
        <v>0.86</v>
      </c>
      <c r="CK184" s="102">
        <f t="shared" si="136"/>
        <v>40</v>
      </c>
      <c r="CL184" s="102">
        <f t="shared" si="137"/>
        <v>65</v>
      </c>
      <c r="CM184" s="102">
        <f t="shared" si="138"/>
        <v>1200</v>
      </c>
      <c r="CN184" s="102">
        <f t="shared" si="139"/>
        <v>22</v>
      </c>
      <c r="CO184" s="102">
        <f t="shared" si="140"/>
        <v>1400</v>
      </c>
      <c r="CP184" s="102" t="str">
        <f t="shared" si="141"/>
        <v/>
      </c>
    </row>
    <row r="185" spans="2:94">
      <c r="B185" t="s">
        <v>252</v>
      </c>
      <c r="C185" s="231">
        <v>45524</v>
      </c>
      <c r="D185" s="233">
        <v>19.8</v>
      </c>
      <c r="E185" s="233">
        <v>8.1</v>
      </c>
      <c r="F185" s="235">
        <v>89</v>
      </c>
      <c r="G185" s="233">
        <v>7.8</v>
      </c>
      <c r="H185" s="233">
        <v>1.4</v>
      </c>
      <c r="I185" s="233">
        <v>45.5</v>
      </c>
      <c r="J185" s="233">
        <v>0.72</v>
      </c>
      <c r="K185" s="235">
        <v>9.6999999999999993</v>
      </c>
      <c r="L185" s="235">
        <v>70</v>
      </c>
      <c r="M185" s="235">
        <v>660</v>
      </c>
      <c r="N185" s="235">
        <v>15</v>
      </c>
      <c r="O185" s="235">
        <v>1100</v>
      </c>
      <c r="P185" t="s">
        <v>18</v>
      </c>
      <c r="Q185">
        <v>2024</v>
      </c>
      <c r="R185">
        <v>8</v>
      </c>
      <c r="T185" s="226"/>
      <c r="U185" s="226"/>
      <c r="V185" s="226"/>
      <c r="W185" s="226"/>
      <c r="X185" s="226"/>
      <c r="Y185" s="226"/>
      <c r="Z185" s="226"/>
      <c r="AA185" s="233">
        <f t="shared" si="95"/>
        <v>10.332000000000001</v>
      </c>
      <c r="AB185" s="233">
        <f t="shared" si="96"/>
        <v>12.739174193481931</v>
      </c>
      <c r="AC185" s="233">
        <f t="shared" si="97"/>
        <v>7.9248258065180703</v>
      </c>
      <c r="AD185">
        <v>2.95</v>
      </c>
      <c r="AE185" s="233">
        <f t="shared" si="98"/>
        <v>7.9374301675977676</v>
      </c>
      <c r="AF185" s="233">
        <f t="shared" si="99"/>
        <v>8.0830597168027865</v>
      </c>
      <c r="AG185" s="233">
        <f t="shared" si="100"/>
        <v>7.7918006183927488</v>
      </c>
      <c r="AH185">
        <v>6.5</v>
      </c>
      <c r="AI185" s="233">
        <f t="shared" si="101"/>
        <v>3.3601117318435763</v>
      </c>
      <c r="AJ185" s="233">
        <f t="shared" si="102"/>
        <v>6.3851512410714601</v>
      </c>
      <c r="AK185" s="233">
        <f t="shared" si="103"/>
        <v>0.33507222261569281</v>
      </c>
      <c r="AL185">
        <v>7</v>
      </c>
      <c r="AM185" s="233">
        <f t="shared" si="104"/>
        <v>48.104347826086951</v>
      </c>
      <c r="AN185" s="233">
        <f t="shared" si="105"/>
        <v>52.277593646348265</v>
      </c>
      <c r="AO185" s="233">
        <f t="shared" si="106"/>
        <v>43.931102005825636</v>
      </c>
      <c r="AP185" s="233">
        <f t="shared" si="107"/>
        <v>2.0655865921787711</v>
      </c>
      <c r="AQ185" s="233">
        <f t="shared" si="108"/>
        <v>3.1665882132978602</v>
      </c>
      <c r="AR185" s="233">
        <f t="shared" si="109"/>
        <v>0.96458497105968211</v>
      </c>
      <c r="AS185" s="235">
        <f t="shared" si="110"/>
        <v>33.105027932960894</v>
      </c>
      <c r="AT185" s="235">
        <f t="shared" si="111"/>
        <v>50.535961542150602</v>
      </c>
      <c r="AU185" s="235">
        <f t="shared" si="112"/>
        <v>15.67409432377119</v>
      </c>
      <c r="AV185">
        <v>100</v>
      </c>
      <c r="AW185" s="235">
        <f t="shared" si="113"/>
        <v>62.766666666666666</v>
      </c>
      <c r="AX185" s="235">
        <f t="shared" si="114"/>
        <v>80.98511149172171</v>
      </c>
      <c r="AY185" s="235">
        <f t="shared" si="115"/>
        <v>44.548221841611614</v>
      </c>
      <c r="AZ185" s="235">
        <f t="shared" si="116"/>
        <v>2941.6666666666665</v>
      </c>
      <c r="BA185" s="235">
        <f t="shared" si="117"/>
        <v>4966.9775952753826</v>
      </c>
      <c r="BB185" s="235">
        <f t="shared" si="118"/>
        <v>916.35573805795048</v>
      </c>
      <c r="BC185" s="235">
        <f t="shared" si="119"/>
        <v>53.18888888888889</v>
      </c>
      <c r="BD185" s="235">
        <f t="shared" si="120"/>
        <v>112.67052202318322</v>
      </c>
      <c r="BE185" s="235">
        <f t="shared" si="121"/>
        <v>-6.2927442454054372</v>
      </c>
      <c r="BF185" s="235">
        <f t="shared" si="122"/>
        <v>3577.2222222222222</v>
      </c>
      <c r="BG185" s="235">
        <f t="shared" si="123"/>
        <v>5636.1265941907786</v>
      </c>
      <c r="BH185" s="235">
        <f t="shared" si="124"/>
        <v>1518.3178502536657</v>
      </c>
      <c r="BI185">
        <v>5000</v>
      </c>
      <c r="BJ185" s="235">
        <f t="shared" si="125"/>
        <v>0</v>
      </c>
      <c r="BK185" s="235">
        <f t="shared" si="126"/>
        <v>0</v>
      </c>
      <c r="BL185" s="235">
        <f t="shared" si="127"/>
        <v>0</v>
      </c>
      <c r="BO185" s="235">
        <f t="shared" si="128"/>
        <v>45524</v>
      </c>
      <c r="CD185" s="533">
        <f t="shared" si="129"/>
        <v>19.8</v>
      </c>
      <c r="CE185" s="102">
        <f t="shared" si="130"/>
        <v>8.1</v>
      </c>
      <c r="CF185" s="102">
        <f t="shared" si="131"/>
        <v>89</v>
      </c>
      <c r="CG185" s="102">
        <f t="shared" si="132"/>
        <v>7.8</v>
      </c>
      <c r="CH185" s="102">
        <f t="shared" si="133"/>
        <v>1.4</v>
      </c>
      <c r="CI185" s="102">
        <f t="shared" si="134"/>
        <v>45.5</v>
      </c>
      <c r="CJ185" s="102">
        <f t="shared" si="135"/>
        <v>0.72</v>
      </c>
      <c r="CK185" s="102">
        <f t="shared" si="136"/>
        <v>9.6999999999999993</v>
      </c>
      <c r="CL185" s="102">
        <f t="shared" si="137"/>
        <v>70</v>
      </c>
      <c r="CM185" s="102">
        <f t="shared" si="138"/>
        <v>660</v>
      </c>
      <c r="CN185" s="102">
        <f t="shared" si="139"/>
        <v>15</v>
      </c>
      <c r="CO185" s="102">
        <f t="shared" si="140"/>
        <v>1100</v>
      </c>
      <c r="CP185" s="102" t="str">
        <f t="shared" si="141"/>
        <v/>
      </c>
    </row>
    <row r="186" spans="2:94">
      <c r="B186" t="s">
        <v>252</v>
      </c>
      <c r="C186" s="231">
        <v>45552</v>
      </c>
      <c r="D186" s="233">
        <v>15.4</v>
      </c>
      <c r="E186" s="233">
        <v>8.89</v>
      </c>
      <c r="F186" s="235">
        <v>89</v>
      </c>
      <c r="G186" s="233">
        <v>7.8</v>
      </c>
      <c r="H186" s="233">
        <v>1.3</v>
      </c>
      <c r="I186" s="233">
        <v>42.2</v>
      </c>
      <c r="J186" s="233">
        <v>0.93</v>
      </c>
      <c r="K186" s="235">
        <v>74</v>
      </c>
      <c r="L186" s="235">
        <v>98</v>
      </c>
      <c r="M186" s="235">
        <v>990</v>
      </c>
      <c r="N186" s="235" t="s">
        <v>148</v>
      </c>
      <c r="O186" s="235">
        <v>1400</v>
      </c>
      <c r="P186" t="s">
        <v>18</v>
      </c>
      <c r="Q186">
        <v>2024</v>
      </c>
      <c r="R186">
        <v>9</v>
      </c>
      <c r="T186" s="226"/>
      <c r="U186" s="226"/>
      <c r="V186" s="226"/>
      <c r="W186" s="226"/>
      <c r="X186" s="226"/>
      <c r="Y186" s="226"/>
      <c r="Z186" s="226"/>
      <c r="AA186" s="233">
        <f t="shared" si="95"/>
        <v>10.332000000000001</v>
      </c>
      <c r="AB186" s="233">
        <f t="shared" si="96"/>
        <v>12.739174193481931</v>
      </c>
      <c r="AC186" s="233">
        <f t="shared" si="97"/>
        <v>7.9248258065180703</v>
      </c>
      <c r="AD186">
        <v>2.95</v>
      </c>
      <c r="AE186" s="233">
        <f t="shared" si="98"/>
        <v>7.9374301675977676</v>
      </c>
      <c r="AF186" s="233">
        <f t="shared" si="99"/>
        <v>8.0830597168027865</v>
      </c>
      <c r="AG186" s="233">
        <f t="shared" si="100"/>
        <v>7.7918006183927488</v>
      </c>
      <c r="AH186">
        <v>6.5</v>
      </c>
      <c r="AI186" s="233">
        <f t="shared" si="101"/>
        <v>3.3601117318435763</v>
      </c>
      <c r="AJ186" s="233">
        <f t="shared" si="102"/>
        <v>6.3851512410714601</v>
      </c>
      <c r="AK186" s="233">
        <f t="shared" si="103"/>
        <v>0.33507222261569281</v>
      </c>
      <c r="AL186">
        <v>7</v>
      </c>
      <c r="AM186" s="233">
        <f t="shared" si="104"/>
        <v>48.104347826086951</v>
      </c>
      <c r="AN186" s="233">
        <f t="shared" si="105"/>
        <v>52.277593646348265</v>
      </c>
      <c r="AO186" s="233">
        <f t="shared" si="106"/>
        <v>43.931102005825636</v>
      </c>
      <c r="AP186" s="233">
        <f t="shared" si="107"/>
        <v>2.0655865921787711</v>
      </c>
      <c r="AQ186" s="233">
        <f t="shared" si="108"/>
        <v>3.1665882132978602</v>
      </c>
      <c r="AR186" s="233">
        <f t="shared" si="109"/>
        <v>0.96458497105968211</v>
      </c>
      <c r="AS186" s="235">
        <f t="shared" si="110"/>
        <v>33.105027932960894</v>
      </c>
      <c r="AT186" s="235">
        <f t="shared" si="111"/>
        <v>50.535961542150602</v>
      </c>
      <c r="AU186" s="235">
        <f t="shared" si="112"/>
        <v>15.67409432377119</v>
      </c>
      <c r="AV186">
        <v>100</v>
      </c>
      <c r="AW186" s="235">
        <f t="shared" si="113"/>
        <v>62.766666666666666</v>
      </c>
      <c r="AX186" s="235">
        <f t="shared" si="114"/>
        <v>80.98511149172171</v>
      </c>
      <c r="AY186" s="235">
        <f t="shared" si="115"/>
        <v>44.548221841611614</v>
      </c>
      <c r="AZ186" s="235">
        <f t="shared" si="116"/>
        <v>2941.6666666666665</v>
      </c>
      <c r="BA186" s="235">
        <f t="shared" si="117"/>
        <v>4966.9775952753826</v>
      </c>
      <c r="BB186" s="235">
        <f t="shared" si="118"/>
        <v>916.35573805795048</v>
      </c>
      <c r="BC186" s="235">
        <f t="shared" si="119"/>
        <v>53.18888888888889</v>
      </c>
      <c r="BD186" s="235">
        <f t="shared" si="120"/>
        <v>112.67052202318322</v>
      </c>
      <c r="BE186" s="235">
        <f t="shared" si="121"/>
        <v>-6.2927442454054372</v>
      </c>
      <c r="BF186" s="235">
        <f t="shared" si="122"/>
        <v>3577.2222222222222</v>
      </c>
      <c r="BG186" s="235">
        <f t="shared" si="123"/>
        <v>5636.1265941907786</v>
      </c>
      <c r="BH186" s="235">
        <f t="shared" si="124"/>
        <v>1518.3178502536657</v>
      </c>
      <c r="BI186">
        <v>5000</v>
      </c>
      <c r="BJ186" s="235">
        <f t="shared" si="125"/>
        <v>0</v>
      </c>
      <c r="BK186" s="235">
        <f t="shared" si="126"/>
        <v>0</v>
      </c>
      <c r="BL186" s="235">
        <f t="shared" si="127"/>
        <v>0</v>
      </c>
      <c r="BO186" s="235">
        <f t="shared" si="128"/>
        <v>45552</v>
      </c>
      <c r="CD186" s="533">
        <f t="shared" si="129"/>
        <v>15.4</v>
      </c>
      <c r="CE186" s="102">
        <f t="shared" si="130"/>
        <v>8.89</v>
      </c>
      <c r="CF186" s="102">
        <f t="shared" si="131"/>
        <v>89</v>
      </c>
      <c r="CG186" s="102">
        <f t="shared" si="132"/>
        <v>7.8</v>
      </c>
      <c r="CH186" s="102">
        <f t="shared" si="133"/>
        <v>1.3</v>
      </c>
      <c r="CI186" s="102">
        <f t="shared" si="134"/>
        <v>42.2</v>
      </c>
      <c r="CJ186" s="102">
        <f t="shared" si="135"/>
        <v>0.93</v>
      </c>
      <c r="CK186" s="102">
        <f t="shared" si="136"/>
        <v>74</v>
      </c>
      <c r="CL186" s="102">
        <f t="shared" si="137"/>
        <v>98</v>
      </c>
      <c r="CM186" s="102">
        <f t="shared" si="138"/>
        <v>990</v>
      </c>
      <c r="CN186" s="102">
        <f t="shared" si="139"/>
        <v>10</v>
      </c>
      <c r="CO186" s="102">
        <f t="shared" si="140"/>
        <v>1400</v>
      </c>
      <c r="CP186" s="102" t="str">
        <f t="shared" si="141"/>
        <v/>
      </c>
    </row>
    <row r="187" spans="2:94">
      <c r="B187" t="s">
        <v>252</v>
      </c>
      <c r="C187" s="231">
        <v>45575</v>
      </c>
      <c r="D187" s="233">
        <v>12.4</v>
      </c>
      <c r="E187" s="233">
        <v>9.19</v>
      </c>
      <c r="F187" s="235">
        <v>86</v>
      </c>
      <c r="G187" s="233">
        <v>7.7</v>
      </c>
      <c r="H187" s="233">
        <v>2.5</v>
      </c>
      <c r="I187" s="233">
        <v>44.3</v>
      </c>
      <c r="J187" s="233">
        <v>1.8</v>
      </c>
      <c r="K187" s="235">
        <v>60</v>
      </c>
      <c r="L187" s="235">
        <v>74</v>
      </c>
      <c r="M187" s="235">
        <v>1900</v>
      </c>
      <c r="N187" s="235">
        <v>39</v>
      </c>
      <c r="O187" s="235">
        <v>1900</v>
      </c>
      <c r="P187" t="s">
        <v>18</v>
      </c>
      <c r="Q187">
        <v>2024</v>
      </c>
      <c r="R187">
        <v>10</v>
      </c>
      <c r="T187" s="226"/>
      <c r="U187" s="226"/>
      <c r="V187" s="226"/>
      <c r="W187" s="226"/>
      <c r="X187" s="226"/>
      <c r="Y187" s="226"/>
      <c r="Z187" s="226"/>
      <c r="AA187" s="233">
        <f t="shared" si="95"/>
        <v>10.332000000000001</v>
      </c>
      <c r="AB187" s="233">
        <f t="shared" si="96"/>
        <v>12.739174193481931</v>
      </c>
      <c r="AC187" s="233">
        <f t="shared" si="97"/>
        <v>7.9248258065180703</v>
      </c>
      <c r="AD187">
        <v>2.95</v>
      </c>
      <c r="AE187" s="233">
        <f t="shared" si="98"/>
        <v>7.9374301675977676</v>
      </c>
      <c r="AF187" s="233">
        <f t="shared" si="99"/>
        <v>8.0830597168027865</v>
      </c>
      <c r="AG187" s="233">
        <f t="shared" si="100"/>
        <v>7.7918006183927488</v>
      </c>
      <c r="AH187">
        <v>6.5</v>
      </c>
      <c r="AI187" s="233">
        <f t="shared" si="101"/>
        <v>3.3601117318435763</v>
      </c>
      <c r="AJ187" s="233">
        <f t="shared" si="102"/>
        <v>6.3851512410714601</v>
      </c>
      <c r="AK187" s="233">
        <f t="shared" si="103"/>
        <v>0.33507222261569281</v>
      </c>
      <c r="AL187">
        <v>7</v>
      </c>
      <c r="AM187" s="233">
        <f t="shared" si="104"/>
        <v>48.104347826086951</v>
      </c>
      <c r="AN187" s="233">
        <f t="shared" si="105"/>
        <v>52.277593646348265</v>
      </c>
      <c r="AO187" s="233">
        <f t="shared" si="106"/>
        <v>43.931102005825636</v>
      </c>
      <c r="AP187" s="233">
        <f t="shared" si="107"/>
        <v>2.0655865921787711</v>
      </c>
      <c r="AQ187" s="233">
        <f t="shared" si="108"/>
        <v>3.1665882132978602</v>
      </c>
      <c r="AR187" s="233">
        <f t="shared" si="109"/>
        <v>0.96458497105968211</v>
      </c>
      <c r="AS187" s="235">
        <f t="shared" si="110"/>
        <v>33.105027932960894</v>
      </c>
      <c r="AT187" s="235">
        <f t="shared" si="111"/>
        <v>50.535961542150602</v>
      </c>
      <c r="AU187" s="235">
        <f t="shared" si="112"/>
        <v>15.67409432377119</v>
      </c>
      <c r="AV187">
        <v>100</v>
      </c>
      <c r="AW187" s="235">
        <f t="shared" si="113"/>
        <v>62.766666666666666</v>
      </c>
      <c r="AX187" s="235">
        <f t="shared" si="114"/>
        <v>80.98511149172171</v>
      </c>
      <c r="AY187" s="235">
        <f t="shared" si="115"/>
        <v>44.548221841611614</v>
      </c>
      <c r="AZ187" s="235">
        <f t="shared" si="116"/>
        <v>2941.6666666666665</v>
      </c>
      <c r="BA187" s="235">
        <f t="shared" si="117"/>
        <v>4966.9775952753826</v>
      </c>
      <c r="BB187" s="235">
        <f t="shared" si="118"/>
        <v>916.35573805795048</v>
      </c>
      <c r="BC187" s="235">
        <f t="shared" si="119"/>
        <v>53.18888888888889</v>
      </c>
      <c r="BD187" s="235">
        <f t="shared" si="120"/>
        <v>112.67052202318322</v>
      </c>
      <c r="BE187" s="235">
        <f t="shared" si="121"/>
        <v>-6.2927442454054372</v>
      </c>
      <c r="BF187" s="235">
        <f t="shared" si="122"/>
        <v>3577.2222222222222</v>
      </c>
      <c r="BG187" s="235">
        <f t="shared" si="123"/>
        <v>5636.1265941907786</v>
      </c>
      <c r="BH187" s="235">
        <f t="shared" si="124"/>
        <v>1518.3178502536657</v>
      </c>
      <c r="BI187">
        <v>5000</v>
      </c>
      <c r="BJ187" s="235">
        <f t="shared" si="125"/>
        <v>0</v>
      </c>
      <c r="BK187" s="235">
        <f t="shared" si="126"/>
        <v>0</v>
      </c>
      <c r="BL187" s="235">
        <f t="shared" si="127"/>
        <v>0</v>
      </c>
      <c r="BO187" s="235">
        <f t="shared" si="128"/>
        <v>45575</v>
      </c>
      <c r="CD187" s="533">
        <f t="shared" si="129"/>
        <v>12.4</v>
      </c>
      <c r="CE187" s="102">
        <f t="shared" si="130"/>
        <v>9.19</v>
      </c>
      <c r="CF187" s="102">
        <f t="shared" si="131"/>
        <v>86</v>
      </c>
      <c r="CG187" s="102">
        <f t="shared" si="132"/>
        <v>7.7</v>
      </c>
      <c r="CH187" s="102">
        <f t="shared" si="133"/>
        <v>2.5</v>
      </c>
      <c r="CI187" s="102">
        <f t="shared" si="134"/>
        <v>44.3</v>
      </c>
      <c r="CJ187" s="102">
        <f t="shared" si="135"/>
        <v>1.8</v>
      </c>
      <c r="CK187" s="102">
        <f t="shared" si="136"/>
        <v>60</v>
      </c>
      <c r="CL187" s="102">
        <f t="shared" si="137"/>
        <v>74</v>
      </c>
      <c r="CM187" s="102">
        <f t="shared" si="138"/>
        <v>1900</v>
      </c>
      <c r="CN187" s="102">
        <f t="shared" si="139"/>
        <v>39</v>
      </c>
      <c r="CO187" s="102">
        <f t="shared" si="140"/>
        <v>1900</v>
      </c>
      <c r="CP187" s="102" t="str">
        <f t="shared" si="141"/>
        <v/>
      </c>
    </row>
    <row r="188" spans="2:94">
      <c r="B188" t="s">
        <v>252</v>
      </c>
      <c r="C188" s="231">
        <v>45610</v>
      </c>
      <c r="D188" s="233">
        <v>8.3000000000000007</v>
      </c>
      <c r="E188" s="233">
        <v>11.26</v>
      </c>
      <c r="F188" s="235">
        <v>96</v>
      </c>
      <c r="G188" s="233">
        <v>7.9</v>
      </c>
      <c r="H188" s="233">
        <v>2.1</v>
      </c>
      <c r="I188" s="233">
        <v>46.7</v>
      </c>
      <c r="J188" s="233">
        <v>1.7</v>
      </c>
      <c r="K188" s="235">
        <v>54</v>
      </c>
      <c r="L188" s="235">
        <v>75</v>
      </c>
      <c r="M188" s="235">
        <v>1800</v>
      </c>
      <c r="N188" s="235">
        <v>37</v>
      </c>
      <c r="O188" s="235">
        <v>2100</v>
      </c>
      <c r="P188" t="s">
        <v>18</v>
      </c>
      <c r="Q188">
        <v>2024</v>
      </c>
      <c r="R188">
        <v>11</v>
      </c>
      <c r="T188" s="226"/>
      <c r="U188" s="226"/>
      <c r="V188" s="226"/>
      <c r="W188" s="226"/>
      <c r="X188" s="226"/>
      <c r="Y188" s="226"/>
      <c r="Z188" s="226"/>
      <c r="AA188" s="233">
        <f t="shared" si="95"/>
        <v>10.332000000000001</v>
      </c>
      <c r="AB188" s="233">
        <f t="shared" si="96"/>
        <v>12.739174193481931</v>
      </c>
      <c r="AC188" s="233">
        <f t="shared" si="97"/>
        <v>7.9248258065180703</v>
      </c>
      <c r="AD188">
        <v>2.95</v>
      </c>
      <c r="AE188" s="233">
        <f t="shared" si="98"/>
        <v>7.9374301675977676</v>
      </c>
      <c r="AF188" s="233">
        <f t="shared" si="99"/>
        <v>8.0830597168027865</v>
      </c>
      <c r="AG188" s="233">
        <f t="shared" si="100"/>
        <v>7.7918006183927488</v>
      </c>
      <c r="AH188">
        <v>6.5</v>
      </c>
      <c r="AI188" s="233">
        <f t="shared" si="101"/>
        <v>3.3601117318435763</v>
      </c>
      <c r="AJ188" s="233">
        <f t="shared" si="102"/>
        <v>6.3851512410714601</v>
      </c>
      <c r="AK188" s="233">
        <f t="shared" si="103"/>
        <v>0.33507222261569281</v>
      </c>
      <c r="AL188">
        <v>7</v>
      </c>
      <c r="AM188" s="233">
        <f t="shared" si="104"/>
        <v>48.104347826086951</v>
      </c>
      <c r="AN188" s="233">
        <f t="shared" si="105"/>
        <v>52.277593646348265</v>
      </c>
      <c r="AO188" s="233">
        <f t="shared" si="106"/>
        <v>43.931102005825636</v>
      </c>
      <c r="AP188" s="233">
        <f t="shared" si="107"/>
        <v>2.0655865921787711</v>
      </c>
      <c r="AQ188" s="233">
        <f t="shared" si="108"/>
        <v>3.1665882132978602</v>
      </c>
      <c r="AR188" s="233">
        <f t="shared" si="109"/>
        <v>0.96458497105968211</v>
      </c>
      <c r="AS188" s="235">
        <f t="shared" si="110"/>
        <v>33.105027932960894</v>
      </c>
      <c r="AT188" s="235">
        <f t="shared" si="111"/>
        <v>50.535961542150602</v>
      </c>
      <c r="AU188" s="235">
        <f t="shared" si="112"/>
        <v>15.67409432377119</v>
      </c>
      <c r="AV188">
        <v>100</v>
      </c>
      <c r="AW188" s="235">
        <f t="shared" si="113"/>
        <v>62.766666666666666</v>
      </c>
      <c r="AX188" s="235">
        <f t="shared" si="114"/>
        <v>80.98511149172171</v>
      </c>
      <c r="AY188" s="235">
        <f t="shared" si="115"/>
        <v>44.548221841611614</v>
      </c>
      <c r="AZ188" s="235">
        <f t="shared" si="116"/>
        <v>2941.6666666666665</v>
      </c>
      <c r="BA188" s="235">
        <f t="shared" si="117"/>
        <v>4966.9775952753826</v>
      </c>
      <c r="BB188" s="235">
        <f t="shared" si="118"/>
        <v>916.35573805795048</v>
      </c>
      <c r="BC188" s="235">
        <f t="shared" si="119"/>
        <v>53.18888888888889</v>
      </c>
      <c r="BD188" s="235">
        <f t="shared" si="120"/>
        <v>112.67052202318322</v>
      </c>
      <c r="BE188" s="235">
        <f t="shared" si="121"/>
        <v>-6.2927442454054372</v>
      </c>
      <c r="BF188" s="235">
        <f t="shared" si="122"/>
        <v>3577.2222222222222</v>
      </c>
      <c r="BG188" s="235">
        <f t="shared" si="123"/>
        <v>5636.1265941907786</v>
      </c>
      <c r="BH188" s="235">
        <f t="shared" si="124"/>
        <v>1518.3178502536657</v>
      </c>
      <c r="BI188">
        <v>5000</v>
      </c>
      <c r="BJ188" s="235">
        <f t="shared" si="125"/>
        <v>0</v>
      </c>
      <c r="BK188" s="235">
        <f t="shared" si="126"/>
        <v>0</v>
      </c>
      <c r="BL188" s="235">
        <f t="shared" si="127"/>
        <v>0</v>
      </c>
      <c r="BO188" s="235">
        <f t="shared" si="128"/>
        <v>45610</v>
      </c>
      <c r="CD188" s="533">
        <f t="shared" si="129"/>
        <v>8.3000000000000007</v>
      </c>
      <c r="CE188" s="102">
        <f t="shared" si="130"/>
        <v>11.26</v>
      </c>
      <c r="CF188" s="102">
        <f t="shared" si="131"/>
        <v>96</v>
      </c>
      <c r="CG188" s="102">
        <f t="shared" si="132"/>
        <v>7.9</v>
      </c>
      <c r="CH188" s="102">
        <f t="shared" si="133"/>
        <v>2.1</v>
      </c>
      <c r="CI188" s="102">
        <f t="shared" si="134"/>
        <v>46.7</v>
      </c>
      <c r="CJ188" s="102">
        <f t="shared" si="135"/>
        <v>1.7</v>
      </c>
      <c r="CK188" s="102">
        <f t="shared" si="136"/>
        <v>54</v>
      </c>
      <c r="CL188" s="102">
        <f t="shared" si="137"/>
        <v>75</v>
      </c>
      <c r="CM188" s="102">
        <f t="shared" si="138"/>
        <v>1800</v>
      </c>
      <c r="CN188" s="102">
        <f t="shared" si="139"/>
        <v>37</v>
      </c>
      <c r="CO188" s="102">
        <f t="shared" si="140"/>
        <v>2100</v>
      </c>
      <c r="CP188" s="102" t="str">
        <f t="shared" si="141"/>
        <v/>
      </c>
    </row>
    <row r="189" spans="2:94">
      <c r="B189" t="s">
        <v>252</v>
      </c>
      <c r="C189" s="231">
        <v>45642</v>
      </c>
      <c r="D189" s="233">
        <v>5.3</v>
      </c>
      <c r="E189" s="233">
        <v>12.12</v>
      </c>
      <c r="F189" s="235">
        <v>96</v>
      </c>
      <c r="G189" s="233">
        <v>8</v>
      </c>
      <c r="H189" s="233">
        <v>2.6</v>
      </c>
      <c r="I189" s="233">
        <v>52</v>
      </c>
      <c r="J189" s="233">
        <v>1.4</v>
      </c>
      <c r="K189" s="235">
        <v>44</v>
      </c>
      <c r="L189" s="235">
        <v>63</v>
      </c>
      <c r="M189" s="235">
        <v>3000</v>
      </c>
      <c r="N189" s="235">
        <v>61</v>
      </c>
      <c r="O189" s="235">
        <v>3500</v>
      </c>
      <c r="P189" t="s">
        <v>18</v>
      </c>
      <c r="Q189">
        <v>2024</v>
      </c>
      <c r="R189">
        <v>12</v>
      </c>
      <c r="T189" s="226"/>
      <c r="U189" s="226"/>
      <c r="V189" s="226"/>
      <c r="W189" s="226"/>
      <c r="X189" s="226"/>
      <c r="Y189" s="226"/>
      <c r="Z189" s="226"/>
      <c r="AA189" s="233">
        <f t="shared" si="95"/>
        <v>10.332000000000001</v>
      </c>
      <c r="AB189" s="233">
        <f t="shared" si="96"/>
        <v>12.739174193481931</v>
      </c>
      <c r="AC189" s="233">
        <f t="shared" si="97"/>
        <v>7.9248258065180703</v>
      </c>
      <c r="AD189">
        <v>2.95</v>
      </c>
      <c r="AE189" s="233">
        <f t="shared" si="98"/>
        <v>7.9374301675977676</v>
      </c>
      <c r="AF189" s="233">
        <f t="shared" si="99"/>
        <v>8.0830597168027865</v>
      </c>
      <c r="AG189" s="233">
        <f t="shared" si="100"/>
        <v>7.7918006183927488</v>
      </c>
      <c r="AH189">
        <v>6.5</v>
      </c>
      <c r="AI189" s="233">
        <f t="shared" si="101"/>
        <v>3.3601117318435763</v>
      </c>
      <c r="AJ189" s="233">
        <f t="shared" si="102"/>
        <v>6.3851512410714601</v>
      </c>
      <c r="AK189" s="233">
        <f t="shared" si="103"/>
        <v>0.33507222261569281</v>
      </c>
      <c r="AL189">
        <v>7</v>
      </c>
      <c r="AM189" s="233">
        <f t="shared" si="104"/>
        <v>48.104347826086951</v>
      </c>
      <c r="AN189" s="233">
        <f t="shared" si="105"/>
        <v>52.277593646348265</v>
      </c>
      <c r="AO189" s="233">
        <f t="shared" si="106"/>
        <v>43.931102005825636</v>
      </c>
      <c r="AP189" s="233">
        <f t="shared" si="107"/>
        <v>2.0655865921787711</v>
      </c>
      <c r="AQ189" s="233">
        <f t="shared" si="108"/>
        <v>3.1665882132978602</v>
      </c>
      <c r="AR189" s="233">
        <f t="shared" si="109"/>
        <v>0.96458497105968211</v>
      </c>
      <c r="AS189" s="235">
        <f t="shared" si="110"/>
        <v>33.105027932960894</v>
      </c>
      <c r="AT189" s="235">
        <f t="shared" si="111"/>
        <v>50.535961542150602</v>
      </c>
      <c r="AU189" s="235">
        <f t="shared" si="112"/>
        <v>15.67409432377119</v>
      </c>
      <c r="AV189">
        <v>100</v>
      </c>
      <c r="AW189" s="235">
        <f t="shared" si="113"/>
        <v>62.766666666666666</v>
      </c>
      <c r="AX189" s="235">
        <f t="shared" si="114"/>
        <v>80.98511149172171</v>
      </c>
      <c r="AY189" s="235">
        <f t="shared" si="115"/>
        <v>44.548221841611614</v>
      </c>
      <c r="AZ189" s="235">
        <f t="shared" si="116"/>
        <v>2941.6666666666665</v>
      </c>
      <c r="BA189" s="235">
        <f t="shared" si="117"/>
        <v>4966.9775952753826</v>
      </c>
      <c r="BB189" s="235">
        <f t="shared" si="118"/>
        <v>916.35573805795048</v>
      </c>
      <c r="BC189" s="235">
        <f t="shared" si="119"/>
        <v>53.18888888888889</v>
      </c>
      <c r="BD189" s="235">
        <f t="shared" si="120"/>
        <v>112.67052202318322</v>
      </c>
      <c r="BE189" s="235">
        <f t="shared" si="121"/>
        <v>-6.2927442454054372</v>
      </c>
      <c r="BF189" s="235">
        <f t="shared" si="122"/>
        <v>3577.2222222222222</v>
      </c>
      <c r="BG189" s="235">
        <f t="shared" si="123"/>
        <v>5636.1265941907786</v>
      </c>
      <c r="BH189" s="235">
        <f t="shared" si="124"/>
        <v>1518.3178502536657</v>
      </c>
      <c r="BI189">
        <v>5000</v>
      </c>
      <c r="BJ189" s="235">
        <f t="shared" si="125"/>
        <v>0</v>
      </c>
      <c r="BK189" s="235">
        <f t="shared" si="126"/>
        <v>0</v>
      </c>
      <c r="BL189" s="235">
        <f t="shared" si="127"/>
        <v>0</v>
      </c>
      <c r="BO189" s="235">
        <f t="shared" si="128"/>
        <v>45642</v>
      </c>
      <c r="CD189" s="533">
        <f t="shared" si="129"/>
        <v>5.3</v>
      </c>
      <c r="CE189" s="102">
        <f t="shared" si="130"/>
        <v>12.12</v>
      </c>
      <c r="CF189" s="102">
        <f t="shared" si="131"/>
        <v>96</v>
      </c>
      <c r="CG189" s="102">
        <f t="shared" si="132"/>
        <v>8</v>
      </c>
      <c r="CH189" s="102">
        <f t="shared" si="133"/>
        <v>2.6</v>
      </c>
      <c r="CI189" s="102">
        <f t="shared" si="134"/>
        <v>52</v>
      </c>
      <c r="CJ189" s="102">
        <f t="shared" si="135"/>
        <v>1.4</v>
      </c>
      <c r="CK189" s="102">
        <f t="shared" si="136"/>
        <v>44</v>
      </c>
      <c r="CL189" s="102">
        <f t="shared" si="137"/>
        <v>63</v>
      </c>
      <c r="CM189" s="102">
        <f t="shared" si="138"/>
        <v>3000</v>
      </c>
      <c r="CN189" s="102">
        <f t="shared" si="139"/>
        <v>61</v>
      </c>
      <c r="CO189" s="102">
        <f t="shared" si="140"/>
        <v>3500</v>
      </c>
      <c r="CP189" s="102" t="str">
        <f t="shared" si="141"/>
        <v/>
      </c>
    </row>
    <row r="190" spans="2:94">
      <c r="T190" s="226"/>
      <c r="U190" s="226"/>
      <c r="V190" s="226"/>
      <c r="W190" s="226"/>
      <c r="X190" s="226"/>
      <c r="Y190" s="226"/>
      <c r="Z190" s="226"/>
      <c r="AA190" s="233"/>
      <c r="AB190" s="233"/>
      <c r="AC190" s="233"/>
      <c r="AE190" s="233"/>
      <c r="AF190" s="233"/>
      <c r="AG190" s="233"/>
      <c r="AI190" s="233"/>
      <c r="AJ190" s="233"/>
      <c r="AK190" s="233"/>
      <c r="AM190" s="233"/>
      <c r="AN190" s="233"/>
      <c r="AO190" s="233"/>
      <c r="AP190" s="233"/>
      <c r="AQ190" s="233"/>
      <c r="AR190" s="233"/>
      <c r="AS190" s="235"/>
      <c r="AT190" s="235"/>
      <c r="AU190" s="235"/>
      <c r="AW190" s="235"/>
      <c r="AX190" s="235"/>
      <c r="AY190" s="235"/>
      <c r="AZ190" s="235"/>
      <c r="BA190" s="235"/>
      <c r="BB190" s="235"/>
      <c r="BC190" s="235"/>
      <c r="BD190" s="235"/>
      <c r="BE190" s="235"/>
      <c r="BF190" s="235"/>
      <c r="BG190" s="235"/>
      <c r="BH190" s="235"/>
      <c r="BJ190" s="235"/>
      <c r="BK190" s="235"/>
      <c r="BL190" s="235"/>
      <c r="BO190" s="235"/>
      <c r="CD190" s="533"/>
      <c r="CE190" s="102"/>
      <c r="CF190" s="102"/>
      <c r="CG190" s="102"/>
      <c r="CH190" s="102"/>
      <c r="CI190" s="102"/>
      <c r="CJ190" s="102"/>
      <c r="CK190" s="102"/>
      <c r="CL190" s="102"/>
      <c r="CM190" s="102"/>
      <c r="CN190" s="102"/>
      <c r="CO190" s="102"/>
    </row>
    <row r="191" spans="2:94">
      <c r="T191" s="226"/>
      <c r="U191" s="226"/>
      <c r="V191" s="226"/>
      <c r="W191" s="226"/>
      <c r="X191" s="226"/>
      <c r="Y191" s="226"/>
      <c r="Z191" s="226"/>
      <c r="AA191" s="233"/>
      <c r="AB191" s="233"/>
      <c r="AC191" s="233"/>
      <c r="AE191" s="233"/>
      <c r="AF191" s="233"/>
      <c r="AG191" s="233"/>
      <c r="AI191" s="233"/>
      <c r="AJ191" s="233"/>
      <c r="AK191" s="233"/>
      <c r="AM191" s="233"/>
      <c r="AN191" s="233"/>
      <c r="AO191" s="233"/>
      <c r="AP191" s="233"/>
      <c r="AQ191" s="233"/>
      <c r="AR191" s="233"/>
      <c r="AS191" s="235"/>
      <c r="AT191" s="235"/>
      <c r="AU191" s="235"/>
      <c r="AW191" s="235"/>
      <c r="AX191" s="235"/>
      <c r="AY191" s="235"/>
      <c r="AZ191" s="235"/>
      <c r="BA191" s="235"/>
      <c r="BB191" s="235"/>
      <c r="BC191" s="235"/>
      <c r="BD191" s="235"/>
      <c r="BE191" s="235"/>
      <c r="BF191" s="235"/>
      <c r="BG191" s="235"/>
      <c r="BH191" s="235"/>
      <c r="BJ191" s="235"/>
      <c r="BK191" s="235"/>
      <c r="BL191" s="235"/>
      <c r="BO191" s="235"/>
      <c r="CD191" s="533"/>
      <c r="CE191" s="102"/>
      <c r="CF191" s="102"/>
      <c r="CG191" s="102"/>
      <c r="CH191" s="102"/>
      <c r="CI191" s="102"/>
      <c r="CJ191" s="102"/>
      <c r="CK191" s="102"/>
      <c r="CL191" s="102"/>
      <c r="CM191" s="102"/>
      <c r="CN191" s="102"/>
      <c r="CO191" s="102"/>
    </row>
    <row r="192" spans="2:94">
      <c r="T192" s="226"/>
      <c r="U192" s="226"/>
      <c r="V192" s="226"/>
      <c r="W192" s="226"/>
      <c r="X192" s="226"/>
      <c r="Y192" s="226"/>
      <c r="Z192" s="226"/>
      <c r="AA192" s="233"/>
      <c r="AB192" s="233"/>
      <c r="AC192" s="233"/>
      <c r="AE192" s="233"/>
      <c r="AF192" s="233"/>
      <c r="AG192" s="233"/>
      <c r="AI192" s="233"/>
      <c r="AJ192" s="233"/>
      <c r="AK192" s="233"/>
      <c r="AM192" s="233"/>
      <c r="AN192" s="233"/>
      <c r="AO192" s="233"/>
      <c r="AP192" s="233"/>
      <c r="AQ192" s="233"/>
      <c r="AR192" s="233"/>
    </row>
    <row r="193" spans="1:26">
      <c r="C193" s="290" t="s">
        <v>150</v>
      </c>
      <c r="D193" s="237">
        <f>AVERAGE(CD$9:CD192)</f>
        <v>10.551666666666661</v>
      </c>
      <c r="E193" s="237">
        <f>AVERAGE(CE$9:CE192)</f>
        <v>10.332000000000001</v>
      </c>
      <c r="F193" s="238">
        <f>AVERAGE(CF$9:CF192)</f>
        <v>89.907777777777781</v>
      </c>
      <c r="G193" s="237">
        <f>AVERAGE(CG$9:CG192)</f>
        <v>7.9374301675977676</v>
      </c>
      <c r="H193" s="237">
        <f>AVERAGE(CH$9:CH192)</f>
        <v>3.3601117318435763</v>
      </c>
      <c r="I193" s="237">
        <f>AVERAGE(CI$9:CI192)</f>
        <v>48.104347826086951</v>
      </c>
      <c r="J193" s="237">
        <f>IFERROR(AVERAGE(CJ$9:CJ192),"")</f>
        <v>2.0655865921787711</v>
      </c>
      <c r="K193" s="238">
        <f>AVERAGE(CK$9:CK192)</f>
        <v>33.105027932960894</v>
      </c>
      <c r="L193" s="238">
        <f>AVERAGE(CL$9:CL192)</f>
        <v>62.766666666666666</v>
      </c>
      <c r="M193" s="238">
        <f>AVERAGE(CM$9:CM192)</f>
        <v>2941.6666666666665</v>
      </c>
      <c r="N193" s="238">
        <f>AVERAGE(CN$9:CN192)</f>
        <v>53.18888888888889</v>
      </c>
      <c r="O193" s="238">
        <f>AVERAGE(CO$9:CO192)</f>
        <v>3577.2222222222222</v>
      </c>
      <c r="T193" s="226"/>
      <c r="U193" s="226"/>
      <c r="V193" s="226"/>
      <c r="W193" s="226"/>
      <c r="X193" s="226"/>
      <c r="Y193" s="226"/>
      <c r="Z193" s="226"/>
    </row>
    <row r="194" spans="1:26">
      <c r="C194" s="290" t="s">
        <v>162</v>
      </c>
      <c r="D194" s="237">
        <f>STDEV(CD$9:CD192)</f>
        <v>6.5589673785303946</v>
      </c>
      <c r="E194" s="237">
        <f>STDEV(CE$9:CE192)</f>
        <v>2.4071741934819304</v>
      </c>
      <c r="F194" s="238">
        <f>STDEV(CF$9:CF192)</f>
        <v>9.9972088593903408</v>
      </c>
      <c r="G194" s="237">
        <f>STDEV(CG$9:CG192)</f>
        <v>0.14562954920501919</v>
      </c>
      <c r="H194" s="237">
        <f>STDEV(CH$9:CH192)</f>
        <v>3.0250395092278834</v>
      </c>
      <c r="I194" s="237">
        <f>STDEV(CI$9:CI192)</f>
        <v>4.173245820261311</v>
      </c>
      <c r="J194" s="237">
        <f>IFERROR(STDEV(CJ$9:CJ192),"")</f>
        <v>1.1010016211190889</v>
      </c>
      <c r="K194" s="238">
        <f>STDEV(CK$9:CK192)</f>
        <v>17.430933609189704</v>
      </c>
      <c r="L194" s="238">
        <f>STDEV(CL$9:CL192)</f>
        <v>18.218444825055052</v>
      </c>
      <c r="M194" s="238">
        <f>STDEV(CM$9:CM192)</f>
        <v>2025.310928608716</v>
      </c>
      <c r="N194" s="238">
        <f>STDEV(CN$9:CN192)</f>
        <v>59.481633134294327</v>
      </c>
      <c r="O194" s="238">
        <f>STDEV(CO$9:CO192)</f>
        <v>2058.9043719685565</v>
      </c>
      <c r="T194" s="226"/>
      <c r="U194" s="226"/>
      <c r="V194" s="226"/>
      <c r="W194" s="226"/>
      <c r="X194" s="226"/>
      <c r="Y194" s="226"/>
      <c r="Z194" s="226"/>
    </row>
    <row r="195" spans="1:26">
      <c r="C195" s="236" t="s">
        <v>151</v>
      </c>
      <c r="D195" s="237">
        <f>MAX(CD$9:CD192)</f>
        <v>22.7</v>
      </c>
      <c r="E195" s="237">
        <f>MAX(CE$9:CE192)</f>
        <v>14.8</v>
      </c>
      <c r="F195" s="238">
        <f>MAX(CF$9:CF192)</f>
        <v>119</v>
      </c>
      <c r="G195" s="237">
        <f>MAX(CG$9:CG192)</f>
        <v>8.25</v>
      </c>
      <c r="H195" s="237">
        <f>MAX(CH$9:CH192)</f>
        <v>19</v>
      </c>
      <c r="I195" s="237">
        <f>MAX(CI$9:CI192)</f>
        <v>59.2</v>
      </c>
      <c r="J195" s="237">
        <f>MAX(CJ$9:CJ192)</f>
        <v>5.9</v>
      </c>
      <c r="K195" s="238">
        <f>MAX(CK$9:CK192)</f>
        <v>83</v>
      </c>
      <c r="L195" s="238">
        <f>MAX(CL$9:CL192)</f>
        <v>120</v>
      </c>
      <c r="M195" s="238">
        <f>MAX(CM$9:CM192)</f>
        <v>12000</v>
      </c>
      <c r="N195" s="238">
        <f>MAX(CN$9:CN192)</f>
        <v>600</v>
      </c>
      <c r="O195" s="238">
        <f>MAX(CO$9:CO192)</f>
        <v>12000</v>
      </c>
      <c r="T195" s="226"/>
      <c r="U195" s="226"/>
      <c r="V195" s="226"/>
      <c r="W195" s="226"/>
      <c r="X195" s="226"/>
      <c r="Y195" s="226"/>
      <c r="Z195" s="226"/>
    </row>
    <row r="196" spans="1:26">
      <c r="C196" s="236" t="s">
        <v>152</v>
      </c>
      <c r="D196" s="237">
        <f>MIN(CD$9:CD192)</f>
        <v>0</v>
      </c>
      <c r="E196" s="237">
        <f>MIN(CE$9:CE192)</f>
        <v>5</v>
      </c>
      <c r="F196" s="238">
        <f>MIN(CF$9:CF192)</f>
        <v>56</v>
      </c>
      <c r="G196" s="237">
        <f>MIN(CG$9:CG192)</f>
        <v>7.43</v>
      </c>
      <c r="H196" s="237">
        <f>MIN(CH$9:CH192)</f>
        <v>0.42</v>
      </c>
      <c r="I196" s="237">
        <f>MIN(CI$9:CI192)</f>
        <v>36.6</v>
      </c>
      <c r="J196" s="237">
        <f>MIN(CJ$9:CJ192)</f>
        <v>0.5</v>
      </c>
      <c r="K196" s="238">
        <f>MIN(CK$9:CK192)</f>
        <v>2.8</v>
      </c>
      <c r="L196" s="238">
        <f>MIN(CL$9:CL192)</f>
        <v>20</v>
      </c>
      <c r="M196" s="238">
        <f>MIN(CM$9:CM192)</f>
        <v>350</v>
      </c>
      <c r="N196" s="238">
        <f>MIN(CN$9:CN192)</f>
        <v>10</v>
      </c>
      <c r="O196" s="238">
        <f>MIN(CO$9:CO192)</f>
        <v>1000</v>
      </c>
      <c r="T196" s="226"/>
      <c r="U196" s="226"/>
      <c r="V196" s="226"/>
      <c r="W196" s="226"/>
      <c r="X196" s="226"/>
      <c r="Y196" s="226"/>
      <c r="Z196" s="226"/>
    </row>
    <row r="197" spans="1:26">
      <c r="C197" s="290" t="s">
        <v>178</v>
      </c>
      <c r="D197" s="238">
        <f>COUNTA(D$9:D192)</f>
        <v>180</v>
      </c>
      <c r="E197" s="238">
        <f>COUNTA(E$9:E192)</f>
        <v>180</v>
      </c>
      <c r="F197" s="238">
        <f>COUNTA(F$9:F192)</f>
        <v>180</v>
      </c>
      <c r="G197" s="238">
        <f>COUNTA(G$9:G192)</f>
        <v>179</v>
      </c>
      <c r="H197" s="238">
        <f>COUNTA(H$9:H192)</f>
        <v>179</v>
      </c>
      <c r="I197" s="238">
        <f>COUNTA(I$9:I192)</f>
        <v>46</v>
      </c>
      <c r="J197" s="238">
        <f>COUNTA(J$9:J192)</f>
        <v>179</v>
      </c>
      <c r="K197" s="238">
        <f>COUNTA(K$9:K192)</f>
        <v>179</v>
      </c>
      <c r="L197" s="238">
        <f>COUNTA(L$9:L192)</f>
        <v>180</v>
      </c>
      <c r="M197" s="238">
        <f>COUNTA(M$9:M192)</f>
        <v>180</v>
      </c>
      <c r="N197" s="238">
        <f>COUNTA(N$9:N192)</f>
        <v>180</v>
      </c>
      <c r="O197" s="238">
        <f>COUNTA(O$9:O192)</f>
        <v>180</v>
      </c>
      <c r="T197" s="226"/>
      <c r="U197" s="226"/>
      <c r="V197" s="226"/>
      <c r="W197" s="226"/>
      <c r="X197" s="226"/>
      <c r="Y197" s="226"/>
      <c r="Z197" s="226"/>
    </row>
    <row r="198" spans="1:26" ht="13">
      <c r="C198" s="265" t="s">
        <v>170</v>
      </c>
      <c r="D198" s="237"/>
      <c r="E198" s="311"/>
      <c r="F198" s="239"/>
      <c r="G198" s="237"/>
      <c r="H198" s="237"/>
      <c r="I198" s="237"/>
      <c r="J198" s="237"/>
      <c r="K198" s="238"/>
      <c r="L198" s="245"/>
      <c r="M198" s="238"/>
      <c r="N198" s="238"/>
      <c r="O198" s="238"/>
      <c r="T198" s="226"/>
      <c r="U198" s="226"/>
      <c r="V198" s="226"/>
      <c r="W198" s="226"/>
      <c r="X198" s="226"/>
      <c r="Y198" s="226"/>
      <c r="Z198" s="226"/>
    </row>
    <row r="199" spans="1:26">
      <c r="T199" s="226"/>
      <c r="U199" s="226"/>
      <c r="V199" s="226"/>
      <c r="W199" s="226"/>
      <c r="X199" s="226"/>
      <c r="Y199" s="226"/>
      <c r="Z199" s="226"/>
    </row>
    <row r="200" spans="1:26">
      <c r="A200" s="226"/>
      <c r="B200" s="226"/>
      <c r="C200" s="230"/>
      <c r="D200" s="232"/>
      <c r="E200" s="232"/>
      <c r="F200" s="234"/>
      <c r="G200" s="232"/>
      <c r="H200" s="232"/>
      <c r="I200" s="232"/>
      <c r="J200" s="232"/>
      <c r="K200" s="234"/>
      <c r="L200" s="234"/>
      <c r="M200" s="234"/>
      <c r="N200" s="234"/>
      <c r="O200" s="234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</row>
    <row r="201" spans="1:26" ht="13">
      <c r="A201" s="226"/>
      <c r="B201" s="226"/>
      <c r="C201" s="230"/>
      <c r="D201" s="232"/>
      <c r="E201" s="362" t="s">
        <v>191</v>
      </c>
      <c r="F201" s="234"/>
      <c r="G201" s="232"/>
      <c r="H201" s="232"/>
      <c r="I201" s="232"/>
      <c r="J201" s="232"/>
      <c r="K201" s="234"/>
      <c r="L201" s="234"/>
      <c r="M201" s="234"/>
      <c r="N201" s="234"/>
      <c r="O201" s="234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</row>
    <row r="202" spans="1:26">
      <c r="A202" s="226"/>
      <c r="B202" s="226"/>
      <c r="C202" s="230"/>
      <c r="D202" s="232"/>
      <c r="E202" s="232"/>
      <c r="F202" s="234"/>
      <c r="G202" s="232"/>
      <c r="H202" s="232"/>
      <c r="I202" s="232"/>
      <c r="J202" s="232"/>
      <c r="K202" s="234"/>
      <c r="L202" s="234"/>
      <c r="M202" s="234"/>
      <c r="N202" s="234"/>
      <c r="O202" s="234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</row>
    <row r="203" spans="1:26">
      <c r="A203" s="226"/>
      <c r="B203" s="226"/>
      <c r="C203" s="230"/>
      <c r="D203" s="232"/>
      <c r="E203" s="232"/>
      <c r="F203" s="234"/>
      <c r="G203" s="232"/>
      <c r="H203" s="232"/>
      <c r="I203" s="232"/>
      <c r="J203" s="232"/>
      <c r="K203" s="234"/>
      <c r="L203" s="234"/>
      <c r="M203" s="234"/>
      <c r="N203" s="234"/>
      <c r="O203" s="234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</row>
    <row r="204" spans="1:26">
      <c r="A204" s="226"/>
      <c r="B204" s="226"/>
      <c r="C204" s="230"/>
      <c r="D204" s="232"/>
      <c r="E204" s="232"/>
      <c r="F204" s="234"/>
      <c r="G204" s="232"/>
      <c r="H204" s="232"/>
      <c r="I204" s="232"/>
      <c r="J204" s="232"/>
      <c r="K204" s="234"/>
      <c r="L204" s="234"/>
      <c r="M204" s="234"/>
      <c r="N204" s="234"/>
      <c r="O204" s="234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</row>
    <row r="205" spans="1:26">
      <c r="A205" s="226"/>
      <c r="B205" s="226"/>
      <c r="C205" s="230"/>
      <c r="D205" s="232"/>
      <c r="E205" s="232"/>
      <c r="F205" s="234"/>
      <c r="G205" s="232"/>
      <c r="H205" s="232"/>
      <c r="I205" s="232"/>
      <c r="J205" s="232"/>
      <c r="K205" s="234"/>
      <c r="L205" s="234"/>
      <c r="M205" s="234"/>
      <c r="N205" s="234"/>
      <c r="O205" s="234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</row>
    <row r="206" spans="1:26">
      <c r="A206" s="226"/>
      <c r="B206" s="226"/>
      <c r="C206" s="230"/>
      <c r="D206" s="232"/>
      <c r="E206" s="232"/>
      <c r="F206" s="234"/>
      <c r="G206" s="232"/>
      <c r="H206" s="232"/>
      <c r="I206" s="232"/>
      <c r="J206" s="232"/>
      <c r="K206" s="234"/>
      <c r="L206" s="234"/>
      <c r="M206" s="234"/>
      <c r="N206" s="234"/>
      <c r="O206" s="234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</row>
    <row r="207" spans="1:26">
      <c r="A207" s="226"/>
      <c r="B207" s="226"/>
      <c r="C207" s="230"/>
      <c r="D207" s="232"/>
      <c r="E207" s="232"/>
      <c r="F207" s="234"/>
      <c r="G207" s="232"/>
      <c r="H207" s="232"/>
      <c r="I207" s="232"/>
      <c r="J207" s="232"/>
      <c r="K207" s="234"/>
      <c r="L207" s="234"/>
      <c r="M207" s="234"/>
      <c r="N207" s="234"/>
      <c r="O207" s="234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</row>
    <row r="208" spans="1:26">
      <c r="A208" s="226"/>
      <c r="B208" s="226"/>
      <c r="C208" s="230"/>
      <c r="D208" s="232"/>
      <c r="E208" s="232"/>
      <c r="F208" s="234"/>
      <c r="G208" s="232"/>
      <c r="H208" s="232"/>
      <c r="I208" s="232"/>
      <c r="J208" s="232"/>
      <c r="K208" s="234"/>
      <c r="L208" s="234"/>
      <c r="M208" s="234"/>
      <c r="N208" s="234"/>
      <c r="O208" s="234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</row>
    <row r="209" spans="1:26">
      <c r="A209" s="226"/>
      <c r="B209" s="226"/>
      <c r="C209" s="230"/>
      <c r="D209" s="232"/>
      <c r="E209" s="232"/>
      <c r="F209" s="234"/>
      <c r="G209" s="232"/>
      <c r="H209" s="232"/>
      <c r="I209" s="232"/>
      <c r="J209" s="232"/>
      <c r="K209" s="234"/>
      <c r="L209" s="234"/>
      <c r="M209" s="234"/>
      <c r="N209" s="234"/>
      <c r="O209" s="234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</row>
    <row r="210" spans="1:26">
      <c r="A210" s="226"/>
      <c r="B210" s="226"/>
      <c r="C210" s="230"/>
      <c r="D210" s="232"/>
      <c r="E210" s="232"/>
      <c r="F210" s="234"/>
      <c r="G210" s="232"/>
      <c r="H210" s="232"/>
      <c r="I210" s="232"/>
      <c r="J210" s="232"/>
      <c r="K210" s="234"/>
      <c r="L210" s="234"/>
      <c r="M210" s="234"/>
      <c r="N210" s="234"/>
      <c r="O210" s="234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</row>
    <row r="211" spans="1:26">
      <c r="A211" s="226"/>
      <c r="B211" s="226"/>
      <c r="C211" s="230"/>
      <c r="D211" s="232"/>
      <c r="E211" s="232"/>
      <c r="F211" s="234"/>
      <c r="G211" s="232"/>
      <c r="H211" s="232"/>
      <c r="I211" s="232"/>
      <c r="J211" s="232"/>
      <c r="K211" s="234"/>
      <c r="L211" s="234"/>
      <c r="M211" s="234"/>
      <c r="N211" s="234"/>
      <c r="O211" s="234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</row>
    <row r="212" spans="1:26">
      <c r="A212" s="226"/>
      <c r="B212" s="226"/>
      <c r="C212" s="230"/>
      <c r="D212" s="232"/>
      <c r="E212" s="232"/>
      <c r="F212" s="234"/>
      <c r="G212" s="232"/>
      <c r="H212" s="232"/>
      <c r="I212" s="232"/>
      <c r="J212" s="232"/>
      <c r="K212" s="234"/>
      <c r="L212" s="234"/>
      <c r="M212" s="234"/>
      <c r="N212" s="234"/>
      <c r="O212" s="234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</row>
    <row r="213" spans="1:26">
      <c r="A213" s="226"/>
      <c r="B213" s="226"/>
      <c r="C213" s="230"/>
      <c r="D213" s="232"/>
      <c r="E213" s="232"/>
      <c r="F213" s="234"/>
      <c r="G213" s="232"/>
      <c r="H213" s="232"/>
      <c r="I213" s="232"/>
      <c r="J213" s="232"/>
      <c r="K213" s="234"/>
      <c r="L213" s="234"/>
      <c r="M213" s="234"/>
      <c r="N213" s="234"/>
      <c r="O213" s="234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</row>
    <row r="214" spans="1:26">
      <c r="A214" s="226"/>
      <c r="B214" s="226"/>
      <c r="C214" s="230"/>
      <c r="D214" s="232"/>
      <c r="E214" s="232"/>
      <c r="F214" s="234"/>
      <c r="G214" s="232"/>
      <c r="H214" s="232"/>
      <c r="I214" s="232"/>
      <c r="J214" s="232"/>
      <c r="K214" s="234"/>
      <c r="L214" s="234"/>
      <c r="M214" s="234"/>
      <c r="N214" s="234"/>
      <c r="O214" s="234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</row>
    <row r="215" spans="1:26">
      <c r="A215" s="226"/>
      <c r="B215" s="226"/>
      <c r="C215" s="230"/>
      <c r="D215" s="232"/>
      <c r="E215" s="232"/>
      <c r="F215" s="234"/>
      <c r="G215" s="232"/>
      <c r="H215" s="232"/>
      <c r="I215" s="232"/>
      <c r="J215" s="232"/>
      <c r="K215" s="234"/>
      <c r="L215" s="234"/>
      <c r="M215" s="234"/>
      <c r="N215" s="234"/>
      <c r="O215" s="234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>
      <c r="A216" s="226"/>
      <c r="B216" s="226"/>
      <c r="C216" s="230"/>
      <c r="D216" s="232"/>
      <c r="E216" s="232"/>
      <c r="F216" s="234"/>
      <c r="G216" s="232"/>
      <c r="H216" s="232"/>
      <c r="I216" s="232"/>
      <c r="J216" s="232"/>
      <c r="K216" s="234"/>
      <c r="L216" s="234"/>
      <c r="M216" s="234"/>
      <c r="N216" s="234"/>
      <c r="O216" s="234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>
      <c r="A217" s="226"/>
      <c r="B217" s="226"/>
      <c r="C217" s="230"/>
      <c r="D217" s="232"/>
      <c r="E217" s="232"/>
      <c r="F217" s="234"/>
      <c r="G217" s="232"/>
      <c r="H217" s="232"/>
      <c r="I217" s="232"/>
      <c r="J217" s="232"/>
      <c r="K217" s="234"/>
      <c r="L217" s="234"/>
      <c r="M217" s="234"/>
      <c r="N217" s="234"/>
      <c r="O217" s="234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</row>
    <row r="218" spans="1:26">
      <c r="A218" s="226"/>
      <c r="B218" s="226"/>
      <c r="C218" s="230"/>
      <c r="D218" s="232"/>
      <c r="E218" s="232"/>
      <c r="F218" s="234"/>
      <c r="G218" s="232"/>
      <c r="H218" s="232"/>
      <c r="I218" s="232"/>
      <c r="J218" s="232"/>
      <c r="K218" s="234"/>
      <c r="L218" s="234"/>
      <c r="M218" s="234"/>
      <c r="N218" s="234"/>
      <c r="O218" s="234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</row>
    <row r="219" spans="1:26">
      <c r="A219" s="226"/>
      <c r="B219" s="226"/>
      <c r="C219" s="230"/>
      <c r="D219" s="232"/>
      <c r="E219" s="232"/>
      <c r="F219" s="234"/>
      <c r="G219" s="232"/>
      <c r="H219" s="232"/>
      <c r="I219" s="232"/>
      <c r="J219" s="232"/>
      <c r="K219" s="234"/>
      <c r="L219" s="234"/>
      <c r="M219" s="234"/>
      <c r="N219" s="234"/>
      <c r="O219" s="234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</row>
    <row r="220" spans="1:26">
      <c r="A220" s="226"/>
      <c r="B220" s="226"/>
      <c r="C220" s="230"/>
      <c r="D220" s="232"/>
      <c r="E220" s="232"/>
      <c r="F220" s="234"/>
      <c r="G220" s="232"/>
      <c r="H220" s="232"/>
      <c r="I220" s="232"/>
      <c r="J220" s="232"/>
      <c r="K220" s="234"/>
      <c r="L220" s="234"/>
      <c r="M220" s="234"/>
      <c r="N220" s="234"/>
      <c r="O220" s="234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</row>
  </sheetData>
  <sheetProtection algorithmName="SHA-512" hashValue="mWb98RbFNtH2h4c4CBlqc0lfQEEf5gFSN/7vbGBV6IBO0ssdGIthw4HNCWJwqAGQ/hl1KG7hTkozoNGoRENOxw==" saltValue="PSoMAavx/9n/YU2WFUGYUA==" spinCount="100000" sheet="1" objects="1" scenario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3314" r:id="rId4" name="Drop Down 2">
              <controlPr defaultSize="0" print="0" autoLine="0" autoPict="0" macro="[0]!Sortera_statistik">
                <anchor moveWithCells="1">
                  <from>
                    <xdr:col>2</xdr:col>
                    <xdr:colOff>438150</xdr:colOff>
                    <xdr:row>3</xdr:row>
                    <xdr:rowOff>127000</xdr:rowOff>
                  </from>
                  <to>
                    <xdr:col>6</xdr:col>
                    <xdr:colOff>406400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6</vt:i4>
      </vt:variant>
    </vt:vector>
  </HeadingPairs>
  <TitlesOfParts>
    <vt:vector size="19" baseType="lpstr">
      <vt:lpstr>Start</vt:lpstr>
      <vt:lpstr>Resultat</vt:lpstr>
      <vt:lpstr>Sorterat</vt:lpstr>
      <vt:lpstr>Metaller</vt:lpstr>
      <vt:lpstr>Syreprofiler</vt:lpstr>
      <vt:lpstr>Vattenföring</vt:lpstr>
      <vt:lpstr>Statistik</vt:lpstr>
      <vt:lpstr>Diagram</vt:lpstr>
      <vt:lpstr>Rapport</vt:lpstr>
      <vt:lpstr>Kommentarer</vt:lpstr>
      <vt:lpstr>Kontakt</vt:lpstr>
      <vt:lpstr>Länkar</vt:lpstr>
      <vt:lpstr>Förklaring</vt:lpstr>
      <vt:lpstr>Indata!Utskriftsområde</vt:lpstr>
      <vt:lpstr>Kommentarer!Utskriftsområde</vt:lpstr>
      <vt:lpstr>Rapport!Utskriftsområde</vt:lpstr>
      <vt:lpstr>Syreprofiler!Utskriftsområde</vt:lpstr>
      <vt:lpstr>Indata!Utskriftsrubriker</vt:lpstr>
      <vt:lpstr>Rapport!Utskriftsrubriker</vt:lpstr>
    </vt:vector>
  </TitlesOfParts>
  <Company>Ekologgruppen i Landskrona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Denna redovisningsfil för vattenkontroll har utvecklats av Ekologgruppen i Landskrona AB_x000d_
Januari 2008</dc:description>
  <cp:lastModifiedBy>Therese Parodi</cp:lastModifiedBy>
  <cp:lastPrinted>2025-06-02T09:26:03Z</cp:lastPrinted>
  <dcterms:created xsi:type="dcterms:W3CDTF">2008-02-04T19:51:26Z</dcterms:created>
  <dcterms:modified xsi:type="dcterms:W3CDTF">2025-10-24T13:49:44Z</dcterms:modified>
</cp:coreProperties>
</file>