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harts/chart34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M:\DATA-NY\Vattenprogram\Kavlingan\Recipientkontroll\arsfiler\"/>
    </mc:Choice>
  </mc:AlternateContent>
  <xr:revisionPtr revIDLastSave="0" documentId="13_ncr:1_{1F1F7BE3-7734-47DD-A21E-34511D7D6741}" xr6:coauthVersionLast="47" xr6:coauthVersionMax="47" xr10:uidLastSave="{00000000-0000-0000-0000-000000000000}"/>
  <bookViews>
    <workbookView xWindow="-30828" yWindow="-2904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Kommentarer" sheetId="23416" r:id="rId13"/>
    <sheet name="Kontakt" sheetId="244" r:id="rId14"/>
    <sheet name="Länkar" sheetId="8" r:id="rId15"/>
    <sheet name="Förklaring" sheetId="1" r:id="rId16"/>
    <sheet name="Problemhantering" sheetId="23435" state="veryHidden" r:id="rId17"/>
    <sheet name="Provpunkter" sheetId="23426" state="veryHidden" r:id="rId18"/>
    <sheet name="Formler" sheetId="23432" state="veryHidden" r:id="rId19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2">Kommentarer!$A$11:$C$20</definedName>
    <definedName name="_xlnm.Print_Area" localSheetId="11">Rapport!$B$100:$Q$110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K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J200" i="23424"/>
  <c r="BL200" i="23424" s="1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J199" i="23424"/>
  <c r="BK199" i="23424" s="1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L198" i="23424"/>
  <c r="BJ198" i="23424"/>
  <c r="BK198" i="23424" s="1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J197" i="23424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K196" i="23424"/>
  <c r="BJ196" i="23424"/>
  <c r="BL196" i="23424" s="1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L195" i="23424"/>
  <c r="BK195" i="23424"/>
  <c r="BJ195" i="23424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L194" i="23424"/>
  <c r="BK194" i="23424"/>
  <c r="BJ194" i="23424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L193" i="23424"/>
  <c r="BK193" i="23424"/>
  <c r="BJ193" i="23424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L192" i="23424"/>
  <c r="BK192" i="23424"/>
  <c r="BJ192" i="23424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J191" i="23424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L190" i="23424"/>
  <c r="BJ190" i="23424"/>
  <c r="BK190" i="23424" s="1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J188" i="23424"/>
  <c r="BL188" i="23424" s="1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J187" i="23424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L186" i="23424"/>
  <c r="BJ186" i="23424"/>
  <c r="BK186" i="23424" s="1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J185" i="23424"/>
  <c r="BK185" i="23424" s="1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J184" i="23424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J183" i="23424"/>
  <c r="BL183" i="23424" s="1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J182" i="23424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L181" i="23424"/>
  <c r="BK181" i="23424"/>
  <c r="BJ181" i="23424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J180" i="23424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J179" i="23424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K178" i="23424"/>
  <c r="BJ178" i="23424"/>
  <c r="BL178" i="23424" s="1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K177" i="23424"/>
  <c r="BJ177" i="23424"/>
  <c r="BL177" i="23424" s="1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L176" i="23424"/>
  <c r="BK176" i="23424"/>
  <c r="BJ176" i="23424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K175" i="23424"/>
  <c r="BJ175" i="23424"/>
  <c r="BL175" i="23424" s="1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L174" i="23424"/>
  <c r="BK174" i="23424"/>
  <c r="BJ174" i="23424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L173" i="23424"/>
  <c r="BK173" i="23424"/>
  <c r="BJ173" i="23424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J172" i="23424"/>
  <c r="BK172" i="23424" s="1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L171" i="23424"/>
  <c r="BK171" i="23424"/>
  <c r="BJ171" i="23424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J170" i="23424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K168" i="23424"/>
  <c r="BJ168" i="23424"/>
  <c r="BL168" i="23424" s="1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L167" i="23424"/>
  <c r="BK167" i="23424"/>
  <c r="BJ167" i="23424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J166" i="23424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L165" i="23424"/>
  <c r="BJ165" i="23424"/>
  <c r="BK165" i="23424" s="1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K164" i="23424"/>
  <c r="BJ164" i="23424"/>
  <c r="BL164" i="23424" s="1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K163" i="23424"/>
  <c r="BJ163" i="23424"/>
  <c r="BL163" i="23424" s="1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L162" i="23424"/>
  <c r="BK162" i="23424"/>
  <c r="BJ162" i="23424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J161" i="23424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L160" i="23424"/>
  <c r="BJ160" i="23424"/>
  <c r="BK160" i="23424" s="1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K159" i="23424"/>
  <c r="BJ159" i="23424"/>
  <c r="BL159" i="23424" s="1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J158" i="23424"/>
  <c r="BL158" i="23424" s="1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K157" i="23424"/>
  <c r="BJ157" i="23424"/>
  <c r="BL157" i="23424" s="1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J156" i="23424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L155" i="23424"/>
  <c r="BJ155" i="23424"/>
  <c r="BK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L154" i="23424"/>
  <c r="BK154" i="23424"/>
  <c r="BJ154" i="23424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K153" i="23424"/>
  <c r="BJ153" i="23424"/>
  <c r="BL153" i="23424" s="1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L152" i="23424"/>
  <c r="BK152" i="23424"/>
  <c r="BJ152" i="23424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J151" i="23424"/>
  <c r="BL151" i="23424" s="1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J150" i="23424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L149" i="23424"/>
  <c r="BK149" i="23424"/>
  <c r="BJ149" i="23424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J148" i="23424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K147" i="23424"/>
  <c r="BJ147" i="23424"/>
  <c r="BL147" i="23424" s="1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L146" i="23424"/>
  <c r="BJ146" i="23424"/>
  <c r="BK146" i="23424" s="1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L145" i="23424"/>
  <c r="BK145" i="23424"/>
  <c r="BJ145" i="23424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L144" i="23424"/>
  <c r="BK144" i="23424"/>
  <c r="BJ144" i="23424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J143" i="23424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L142" i="23424"/>
  <c r="BJ142" i="23424"/>
  <c r="BK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L141" i="23424"/>
  <c r="BJ141" i="23424"/>
  <c r="BK141" i="23424" s="1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J140" i="23424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J139" i="23424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K138" i="23424"/>
  <c r="BJ138" i="23424"/>
  <c r="BL138" i="23424" s="1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L137" i="23424"/>
  <c r="BJ137" i="23424"/>
  <c r="BK137" i="23424" s="1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L136" i="23424"/>
  <c r="BK136" i="23424"/>
  <c r="BJ136" i="23424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K135" i="23424"/>
  <c r="BJ135" i="23424"/>
  <c r="BL135" i="23424" s="1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L134" i="23424"/>
  <c r="BK134" i="23424"/>
  <c r="BJ134" i="23424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L133" i="23424"/>
  <c r="BJ133" i="23424"/>
  <c r="BK133" i="23424" s="1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J132" i="23424"/>
  <c r="BL132" i="23424" s="1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J131" i="23424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L130" i="23424"/>
  <c r="BJ130" i="23424"/>
  <c r="BK130" i="23424" s="1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L129" i="23424"/>
  <c r="BJ129" i="23424"/>
  <c r="BK129" i="23424" s="1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K128" i="23424"/>
  <c r="BJ128" i="23424"/>
  <c r="BL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J126" i="23424"/>
  <c r="BK126" i="23424" s="1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L125" i="23424"/>
  <c r="BK125" i="23424"/>
  <c r="BJ125" i="23424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J124" i="23424"/>
  <c r="BL124" i="23424" s="1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L123" i="23424"/>
  <c r="BK123" i="23424"/>
  <c r="BJ123" i="23424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L122" i="23424"/>
  <c r="BJ122" i="23424"/>
  <c r="BK122" i="23424" s="1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L121" i="23424"/>
  <c r="BJ121" i="23424"/>
  <c r="BK121" i="23424" s="1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L120" i="23424"/>
  <c r="BJ120" i="23424"/>
  <c r="BK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K119" i="23424"/>
  <c r="BJ119" i="23424"/>
  <c r="BL119" i="23424" s="1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J118" i="23424"/>
  <c r="BL118" i="23424" s="1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K117" i="23424"/>
  <c r="BJ117" i="23424"/>
  <c r="BL117" i="23424" s="1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J116" i="23424"/>
  <c r="BK116" i="23424" s="1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J115" i="23424"/>
  <c r="BL115" i="23424" s="1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L114" i="23424"/>
  <c r="BK114" i="23424"/>
  <c r="BJ114" i="23424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L113" i="23424"/>
  <c r="BK113" i="23424"/>
  <c r="BJ113" i="23424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J112" i="23424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L111" i="23424"/>
  <c r="BK111" i="23424"/>
  <c r="BJ111" i="23424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J110" i="23424"/>
  <c r="BL110" i="23424" s="1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J109" i="23424"/>
  <c r="BK109" i="23424" s="1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L108" i="23424"/>
  <c r="BK108" i="23424"/>
  <c r="BJ108" i="23424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L107" i="23424"/>
  <c r="BK107" i="23424"/>
  <c r="BJ107" i="23424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L106" i="23424"/>
  <c r="BK106" i="23424"/>
  <c r="BJ106" i="23424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J105" i="23424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K103" i="23424"/>
  <c r="BJ103" i="23424"/>
  <c r="BL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L102" i="23424"/>
  <c r="BJ102" i="23424"/>
  <c r="BK102" i="23424" s="1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J101" i="23424"/>
  <c r="BL101" i="23424" s="1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J100" i="23424"/>
  <c r="BL100" i="23424" s="1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K99" i="23424"/>
  <c r="BJ99" i="23424"/>
  <c r="BL99" i="23424" s="1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J98" i="23424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L97" i="23424"/>
  <c r="BK97" i="23424"/>
  <c r="BJ97" i="23424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L96" i="23424"/>
  <c r="BJ96" i="23424"/>
  <c r="BK96" i="23424" s="1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L95" i="23424"/>
  <c r="BK95" i="23424"/>
  <c r="BJ95" i="23424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L94" i="23424"/>
  <c r="BJ94" i="23424"/>
  <c r="BK94" i="23424" s="1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L93" i="23424"/>
  <c r="BJ93" i="23424"/>
  <c r="BK93" i="23424" s="1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J92" i="23424"/>
  <c r="BK92" i="23424" s="1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L91" i="23424"/>
  <c r="BK91" i="23424"/>
  <c r="BJ91" i="23424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L90" i="23424"/>
  <c r="BK90" i="23424"/>
  <c r="BJ90" i="23424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K89" i="23424"/>
  <c r="BJ89" i="23424"/>
  <c r="BL89" i="23424" s="1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L88" i="23424"/>
  <c r="BJ88" i="23424"/>
  <c r="BK88" i="23424" s="1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L87" i="23424"/>
  <c r="BK87" i="23424"/>
  <c r="BJ87" i="23424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L86" i="23424"/>
  <c r="BK86" i="23424"/>
  <c r="BJ86" i="23424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J85" i="23424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J84" i="23424"/>
  <c r="BL84" i="23424" s="1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K83" i="23424"/>
  <c r="BJ83" i="23424"/>
  <c r="BL83" i="23424" s="1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K82" i="23424"/>
  <c r="BJ82" i="23424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L81" i="23424"/>
  <c r="BK81" i="23424"/>
  <c r="BJ81" i="23424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L80" i="23424"/>
  <c r="BK80" i="23424"/>
  <c r="BJ80" i="23424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L79" i="23424"/>
  <c r="BK79" i="23424"/>
  <c r="BJ79" i="23424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J78" i="23424"/>
  <c r="BK78" i="23424" s="1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J77" i="23424"/>
  <c r="BK77" i="23424" s="1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J76" i="23424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L75" i="23424"/>
  <c r="BK75" i="23424"/>
  <c r="BJ75" i="23424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J74" i="23424"/>
  <c r="BL74" i="23424" s="1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L73" i="23424"/>
  <c r="BK73" i="23424"/>
  <c r="BJ73" i="23424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J72" i="23424"/>
  <c r="BK72" i="23424" s="1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J71" i="23424"/>
  <c r="BL71" i="23424" s="1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J70" i="23424"/>
  <c r="BL70" i="23424" s="1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J69" i="23424"/>
  <c r="BL69" i="23424" s="1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K68" i="23424"/>
  <c r="BJ68" i="23424"/>
  <c r="BL68" i="23424" s="1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J67" i="23424"/>
  <c r="BL67" i="23424" s="1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J66" i="23424"/>
  <c r="BL66" i="23424" s="1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J65" i="23424"/>
  <c r="BL65" i="23424" s="1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L64" i="23424"/>
  <c r="BJ64" i="23424"/>
  <c r="BK64" i="23424" s="1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J63" i="23424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J62" i="23424"/>
  <c r="BL62" i="23424" s="1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L61" i="23424"/>
  <c r="BK61" i="23424"/>
  <c r="BJ61" i="23424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J60" i="23424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K59" i="23424"/>
  <c r="BJ59" i="23424"/>
  <c r="BL59" i="23424" s="1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L58" i="23424"/>
  <c r="BK58" i="23424"/>
  <c r="BJ58" i="23424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L57" i="23424"/>
  <c r="BK57" i="23424"/>
  <c r="BJ57" i="23424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L56" i="23424"/>
  <c r="BK56" i="23424"/>
  <c r="BJ56" i="23424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L55" i="23424"/>
  <c r="BJ55" i="23424"/>
  <c r="BK55" i="23424" s="1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J54" i="23424"/>
  <c r="BK54" i="23424" s="1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J53" i="23424"/>
  <c r="BK53" i="23424" s="1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K52" i="23424"/>
  <c r="BJ52" i="23424"/>
  <c r="BL52" i="23424" s="1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J51" i="23424"/>
  <c r="BL51" i="23424" s="1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J50" i="23424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J49" i="23424"/>
  <c r="BL49" i="23424" s="1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K48" i="23424"/>
  <c r="BJ48" i="23424"/>
  <c r="BL48" i="23424" s="1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K47" i="23424"/>
  <c r="BJ47" i="23424"/>
  <c r="BL47" i="23424" s="1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K46" i="23424"/>
  <c r="BJ46" i="23424"/>
  <c r="BL46" i="23424" s="1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J45" i="23424"/>
  <c r="BL45" i="23424" s="1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L44" i="23424"/>
  <c r="BK44" i="23424"/>
  <c r="BJ44" i="23424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J43" i="23424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J42" i="23424"/>
  <c r="BL42" i="23424" s="1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J41" i="23424"/>
  <c r="BK41" i="23424" s="1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K40" i="23424"/>
  <c r="BJ40" i="23424"/>
  <c r="BL40" i="23424" s="1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L39" i="23424"/>
  <c r="BK39" i="23424"/>
  <c r="BJ39" i="23424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L38" i="23424"/>
  <c r="BK38" i="23424"/>
  <c r="BJ38" i="23424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L37" i="23424"/>
  <c r="BK37" i="23424"/>
  <c r="BJ37" i="23424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J36" i="23424"/>
  <c r="BL36" i="23424" s="1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L35" i="23424"/>
  <c r="BJ35" i="23424"/>
  <c r="BK35" i="23424" s="1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J34" i="23424"/>
  <c r="BK34" i="23424" s="1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J33" i="23424"/>
  <c r="BL33" i="23424" s="1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L32" i="23424"/>
  <c r="BK32" i="23424"/>
  <c r="BJ32" i="23424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J31" i="23424"/>
  <c r="BL31" i="23424" s="1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L30" i="23424"/>
  <c r="BK30" i="23424"/>
  <c r="BJ30" i="23424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J29" i="23424"/>
  <c r="BL29" i="23424" s="1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L28" i="23424"/>
  <c r="BK28" i="23424"/>
  <c r="BJ28" i="23424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J27" i="23424"/>
  <c r="BL27" i="23424" s="1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K26" i="23424"/>
  <c r="BJ26" i="23424"/>
  <c r="BL26" i="23424" s="1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L25" i="23424"/>
  <c r="BK25" i="23424"/>
  <c r="BJ25" i="23424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J24" i="23424"/>
  <c r="BL24" i="23424" s="1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J23" i="23424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L22" i="23424"/>
  <c r="BJ22" i="23424"/>
  <c r="BK22" i="23424" s="1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L21" i="23424"/>
  <c r="BK21" i="23424"/>
  <c r="BJ21" i="23424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J20" i="23424"/>
  <c r="BL20" i="23424" s="1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L19" i="23424"/>
  <c r="BK19" i="23424"/>
  <c r="BJ19" i="23424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L18" i="23424"/>
  <c r="BK18" i="23424"/>
  <c r="BJ18" i="23424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L17" i="23424"/>
  <c r="BK17" i="23424"/>
  <c r="BJ17" i="23424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J16" i="23424"/>
  <c r="BL16" i="23424" s="1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L15" i="23424"/>
  <c r="BJ15" i="23424"/>
  <c r="BK15" i="23424" s="1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J14" i="23424"/>
  <c r="BK14" i="23424" s="1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L13" i="23424"/>
  <c r="BK13" i="23424"/>
  <c r="BJ13" i="23424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K12" i="23424"/>
  <c r="BJ12" i="23424"/>
  <c r="BL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J11" i="23424"/>
  <c r="BL11" i="23424" s="1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J10" i="23424"/>
  <c r="BK10" i="23424" s="1"/>
  <c r="BL201" i="23424" l="1"/>
  <c r="BK27" i="23424"/>
  <c r="BL53" i="23424"/>
  <c r="BL14" i="23424"/>
  <c r="BL10" i="23424"/>
  <c r="BK45" i="23424"/>
  <c r="BL92" i="23424"/>
  <c r="BL60" i="23424"/>
  <c r="BK60" i="23424"/>
  <c r="BK66" i="23424"/>
  <c r="BK71" i="23424"/>
  <c r="BK20" i="23424"/>
  <c r="BL23" i="23424"/>
  <c r="BK23" i="23424"/>
  <c r="BK36" i="23424"/>
  <c r="BL104" i="23424"/>
  <c r="BK104" i="23424"/>
  <c r="BL54" i="23424"/>
  <c r="BK67" i="23424"/>
  <c r="BK11" i="23424"/>
  <c r="BK31" i="23424"/>
  <c r="BL72" i="23424"/>
  <c r="BK50" i="23424"/>
  <c r="BL50" i="23424"/>
  <c r="BL43" i="23424"/>
  <c r="BK43" i="23424"/>
  <c r="BL85" i="23424"/>
  <c r="BK85" i="23424"/>
  <c r="BK42" i="23424"/>
  <c r="BK51" i="23424"/>
  <c r="BK74" i="23424"/>
  <c r="BL197" i="23424"/>
  <c r="BK197" i="23424"/>
  <c r="BK24" i="23424"/>
  <c r="BK115" i="23424"/>
  <c r="BL179" i="23424"/>
  <c r="BK179" i="23424"/>
  <c r="BK33" i="23424"/>
  <c r="BK16" i="23424"/>
  <c r="BL34" i="23424"/>
  <c r="BL41" i="23424"/>
  <c r="BL63" i="23424"/>
  <c r="BK63" i="23424"/>
  <c r="BK65" i="23424"/>
  <c r="BL76" i="23424"/>
  <c r="BK76" i="23424"/>
  <c r="BL78" i="23424"/>
  <c r="BK100" i="23424"/>
  <c r="BK118" i="23424"/>
  <c r="BL139" i="23424"/>
  <c r="BK139" i="23424"/>
  <c r="BK62" i="23424"/>
  <c r="BK70" i="23424"/>
  <c r="BK101" i="23424"/>
  <c r="BK110" i="23424"/>
  <c r="BK124" i="23424"/>
  <c r="BK150" i="23424"/>
  <c r="BL150" i="23424"/>
  <c r="BL131" i="23424"/>
  <c r="BK131" i="23424"/>
  <c r="BL77" i="23424"/>
  <c r="BK84" i="23424"/>
  <c r="BK29" i="23424"/>
  <c r="BK49" i="23424"/>
  <c r="BL109" i="23424"/>
  <c r="BL116" i="23424"/>
  <c r="BL143" i="23424"/>
  <c r="BK143" i="23424"/>
  <c r="BL156" i="23424"/>
  <c r="BK156" i="23424"/>
  <c r="BL161" i="23424"/>
  <c r="BK161" i="23424"/>
  <c r="BK69" i="23424"/>
  <c r="BL105" i="23424"/>
  <c r="BK105" i="23424"/>
  <c r="BL140" i="23424"/>
  <c r="BK140" i="23424"/>
  <c r="BK112" i="23424"/>
  <c r="BL112" i="23424"/>
  <c r="BL126" i="23424"/>
  <c r="BL98" i="23424"/>
  <c r="BK98" i="23424"/>
  <c r="BL148" i="23424"/>
  <c r="BK148" i="23424"/>
  <c r="BL182" i="23424"/>
  <c r="BK182" i="23424"/>
  <c r="BL127" i="23424"/>
  <c r="BK127" i="23424"/>
  <c r="BK151" i="23424"/>
  <c r="BL172" i="23424"/>
  <c r="BK132" i="23424"/>
  <c r="BK188" i="23424"/>
  <c r="BL187" i="23424"/>
  <c r="BK187" i="23424"/>
  <c r="BK191" i="23424"/>
  <c r="BL191" i="23424"/>
  <c r="BL180" i="23424"/>
  <c r="BK180" i="23424"/>
  <c r="BK166" i="23424"/>
  <c r="BL166" i="23424"/>
  <c r="BL184" i="23424"/>
  <c r="BK184" i="23424"/>
  <c r="BK158" i="23424"/>
  <c r="BL170" i="23424"/>
  <c r="BK170" i="23424"/>
  <c r="BL185" i="23424"/>
  <c r="BL199" i="23424"/>
  <c r="BK200" i="23424"/>
  <c r="BK183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AS194" i="23424" l="1"/>
  <c r="AS174" i="23424"/>
  <c r="AS154" i="23424"/>
  <c r="AS191" i="23424"/>
  <c r="AS188" i="23424"/>
  <c r="AS168" i="23424"/>
  <c r="AS185" i="23424"/>
  <c r="AS199" i="23424"/>
  <c r="AS187" i="23424"/>
  <c r="AS198" i="23424"/>
  <c r="AS169" i="23424"/>
  <c r="AS130" i="23424"/>
  <c r="AS180" i="23424"/>
  <c r="AS179" i="23424"/>
  <c r="AS158" i="23424"/>
  <c r="AS201" i="23424"/>
  <c r="AS192" i="23424"/>
  <c r="AS197" i="23424"/>
  <c r="AS189" i="23424"/>
  <c r="AS200" i="23424"/>
  <c r="AS196" i="23424"/>
  <c r="AS159" i="23424"/>
  <c r="AS155" i="23424"/>
  <c r="AS142" i="23424"/>
  <c r="AS133" i="23424"/>
  <c r="AS118" i="23424"/>
  <c r="AS170" i="23424"/>
  <c r="AS129" i="23424"/>
  <c r="AS160" i="23424"/>
  <c r="AS193" i="23424"/>
  <c r="AS184" i="23424"/>
  <c r="AS161" i="23424"/>
  <c r="AS136" i="23424"/>
  <c r="AS186" i="23424"/>
  <c r="AS182" i="23424"/>
  <c r="AS135" i="23424"/>
  <c r="AS176" i="23424"/>
  <c r="AS173" i="23424"/>
  <c r="AS156" i="23424"/>
  <c r="AS151" i="23424"/>
  <c r="AS141" i="23424"/>
  <c r="AS112" i="23424"/>
  <c r="AS103" i="23424"/>
  <c r="AS147" i="23424"/>
  <c r="AS134" i="23424"/>
  <c r="AS181" i="23424"/>
  <c r="AS125" i="23424"/>
  <c r="AS163" i="23424"/>
  <c r="AS115" i="23424"/>
  <c r="AS178" i="23424"/>
  <c r="AS171" i="23424"/>
  <c r="AS153" i="23424"/>
  <c r="AS143" i="23424"/>
  <c r="AS137" i="23424"/>
  <c r="AS164" i="23424"/>
  <c r="AS152" i="23424"/>
  <c r="AS150" i="23424"/>
  <c r="AS128" i="23424"/>
  <c r="AS101" i="23424"/>
  <c r="AS92" i="23424"/>
  <c r="AS111" i="23424"/>
  <c r="AS89" i="23424"/>
  <c r="AS123" i="23424"/>
  <c r="AS113" i="23424"/>
  <c r="AS190" i="23424"/>
  <c r="AS146" i="23424"/>
  <c r="AS114" i="23424"/>
  <c r="AS139" i="23424"/>
  <c r="AS131" i="23424"/>
  <c r="AS124" i="23424"/>
  <c r="AS110" i="23424"/>
  <c r="AS104" i="23424"/>
  <c r="AS177" i="23424"/>
  <c r="AS167" i="23424"/>
  <c r="AS108" i="23424"/>
  <c r="AS175" i="23424"/>
  <c r="AS148" i="23424"/>
  <c r="AS149" i="23424"/>
  <c r="AS122" i="23424"/>
  <c r="AS105" i="23424"/>
  <c r="AS66" i="23424"/>
  <c r="AS116" i="23424"/>
  <c r="AS86" i="23424"/>
  <c r="AS83" i="23424"/>
  <c r="AS80" i="23424"/>
  <c r="AS127" i="23424"/>
  <c r="AS77" i="23424"/>
  <c r="AS166" i="23424"/>
  <c r="AS119" i="23424"/>
  <c r="AS74" i="23424"/>
  <c r="AS132" i="23424"/>
  <c r="AS145" i="23424"/>
  <c r="AS85" i="23424"/>
  <c r="AS172" i="23424"/>
  <c r="AS165" i="23424"/>
  <c r="AS78" i="23424"/>
  <c r="AS75" i="23424"/>
  <c r="AS63" i="23424"/>
  <c r="AS43" i="23424"/>
  <c r="AS23" i="23424"/>
  <c r="AS14" i="23424"/>
  <c r="AS144" i="23424"/>
  <c r="AS96" i="23424"/>
  <c r="AS94" i="23424"/>
  <c r="AS60" i="23424"/>
  <c r="AS40" i="23424"/>
  <c r="AS20" i="23424"/>
  <c r="AS57" i="23424"/>
  <c r="AS37" i="23424"/>
  <c r="AS17" i="23424"/>
  <c r="AS79" i="23424"/>
  <c r="AS67" i="23424"/>
  <c r="AS54" i="23424"/>
  <c r="AS34" i="23424"/>
  <c r="AS51" i="23424"/>
  <c r="AS31" i="23424"/>
  <c r="AS11" i="23424"/>
  <c r="AS183" i="23424"/>
  <c r="AS120" i="23424"/>
  <c r="AS73" i="23424"/>
  <c r="AS126" i="23424"/>
  <c r="AS90" i="23424"/>
  <c r="AS87" i="23424"/>
  <c r="AS162" i="23424"/>
  <c r="AS157" i="23424"/>
  <c r="AS81" i="23424"/>
  <c r="AS72" i="23424"/>
  <c r="AS62" i="23424"/>
  <c r="AS42" i="23424"/>
  <c r="AS22" i="23424"/>
  <c r="AS195" i="23424"/>
  <c r="AS109" i="23424"/>
  <c r="AS117" i="23424"/>
  <c r="AS106" i="23424"/>
  <c r="AS100" i="23424"/>
  <c r="AS98" i="23424"/>
  <c r="AS35" i="23424"/>
  <c r="AS19" i="23424"/>
  <c r="AS26" i="23424"/>
  <c r="AS45" i="23424"/>
  <c r="AS21" i="23424"/>
  <c r="AS84" i="23424"/>
  <c r="AS64" i="23424"/>
  <c r="AS27" i="23424"/>
  <c r="AS13" i="23424"/>
  <c r="AS102" i="23424"/>
  <c r="AS91" i="23424"/>
  <c r="AS52" i="23424"/>
  <c r="AS36" i="23424"/>
  <c r="AS28" i="23424"/>
  <c r="AS44" i="23424"/>
  <c r="AS12" i="23424"/>
  <c r="AS53" i="23424"/>
  <c r="AS140" i="23424"/>
  <c r="AS95" i="23424"/>
  <c r="AS38" i="23424"/>
  <c r="AS29" i="23424"/>
  <c r="AS121" i="23424"/>
  <c r="AS70" i="23424"/>
  <c r="AS61" i="23424"/>
  <c r="AS93" i="23424"/>
  <c r="AS88" i="23424"/>
  <c r="AS82" i="23424"/>
  <c r="AS55" i="23424"/>
  <c r="AS10" i="23424"/>
  <c r="AS24" i="23424"/>
  <c r="AS69" i="23424"/>
  <c r="AS68" i="23424"/>
  <c r="AS47" i="23424"/>
  <c r="AS32" i="23424"/>
  <c r="AS39" i="23424"/>
  <c r="AS58" i="23424"/>
  <c r="AS25" i="23424"/>
  <c r="AS107" i="23424"/>
  <c r="AS46" i="23424"/>
  <c r="AS16" i="23424"/>
  <c r="AS50" i="23424"/>
  <c r="AS30" i="23424"/>
  <c r="AS15" i="23424"/>
  <c r="AS138" i="23424"/>
  <c r="AS76" i="23424"/>
  <c r="AS71" i="23424"/>
  <c r="AS49" i="23424"/>
  <c r="AS97" i="23424"/>
  <c r="AS18" i="23424"/>
  <c r="AS41" i="23424"/>
  <c r="AS99" i="23424"/>
  <c r="AS48" i="23424"/>
  <c r="AS33" i="23424"/>
  <c r="AS65" i="23424"/>
  <c r="AS59" i="23424"/>
  <c r="AS56" i="23424"/>
  <c r="AM192" i="23424"/>
  <c r="AM172" i="23424"/>
  <c r="AM152" i="23424"/>
  <c r="AM189" i="23424"/>
  <c r="AM186" i="23424"/>
  <c r="AM166" i="23424"/>
  <c r="AM197" i="23424"/>
  <c r="AM185" i="23424"/>
  <c r="AM196" i="23424"/>
  <c r="AM165" i="23424"/>
  <c r="AM148" i="23424"/>
  <c r="AM128" i="23424"/>
  <c r="AM200" i="23424"/>
  <c r="AM195" i="23424"/>
  <c r="AM190" i="23424"/>
  <c r="AM182" i="23424"/>
  <c r="AM170" i="23424"/>
  <c r="AM191" i="23424"/>
  <c r="AM180" i="23424"/>
  <c r="AM163" i="23424"/>
  <c r="AM147" i="23424"/>
  <c r="AM201" i="23424"/>
  <c r="AM157" i="23424"/>
  <c r="AM134" i="23424"/>
  <c r="AM123" i="23424"/>
  <c r="AM119" i="23424"/>
  <c r="AM194" i="23424"/>
  <c r="AM179" i="23424"/>
  <c r="AM178" i="23424"/>
  <c r="AM168" i="23424"/>
  <c r="AM158" i="23424"/>
  <c r="AM130" i="23424"/>
  <c r="AM169" i="23424"/>
  <c r="AM167" i="23424"/>
  <c r="AM143" i="23424"/>
  <c r="AM156" i="23424"/>
  <c r="AM137" i="23424"/>
  <c r="AM188" i="23424"/>
  <c r="AM184" i="23424"/>
  <c r="AM146" i="23424"/>
  <c r="AM136" i="23424"/>
  <c r="AM159" i="23424"/>
  <c r="AM113" i="23424"/>
  <c r="AM101" i="23424"/>
  <c r="AM193" i="23424"/>
  <c r="AM132" i="23424"/>
  <c r="AM131" i="23424"/>
  <c r="AM127" i="23424"/>
  <c r="AM117" i="23424"/>
  <c r="AM177" i="23424"/>
  <c r="AM162" i="23424"/>
  <c r="AM133" i="23424"/>
  <c r="AM181" i="23424"/>
  <c r="AM173" i="23424"/>
  <c r="AM151" i="23424"/>
  <c r="AM141" i="23424"/>
  <c r="AM121" i="23424"/>
  <c r="AM116" i="23424"/>
  <c r="AM109" i="23424"/>
  <c r="AM125" i="23424"/>
  <c r="AM145" i="23424"/>
  <c r="AM106" i="23424"/>
  <c r="AM90" i="23424"/>
  <c r="AM102" i="23424"/>
  <c r="AM164" i="23424"/>
  <c r="AM154" i="23424"/>
  <c r="AM122" i="23424"/>
  <c r="AM112" i="23424"/>
  <c r="AM98" i="23424"/>
  <c r="AM150" i="23424"/>
  <c r="AM187" i="23424"/>
  <c r="AM161" i="23424"/>
  <c r="AM115" i="23424"/>
  <c r="AM111" i="23424"/>
  <c r="AM171" i="23424"/>
  <c r="AM183" i="23424"/>
  <c r="AM118" i="23424"/>
  <c r="AM84" i="23424"/>
  <c r="AM105" i="23424"/>
  <c r="AM88" i="23424"/>
  <c r="AM81" i="23424"/>
  <c r="AM174" i="23424"/>
  <c r="AM78" i="23424"/>
  <c r="AM138" i="23424"/>
  <c r="AM99" i="23424"/>
  <c r="AM87" i="23424"/>
  <c r="AM155" i="23424"/>
  <c r="AM149" i="23424"/>
  <c r="AM100" i="23424"/>
  <c r="AM72" i="23424"/>
  <c r="AM135" i="23424"/>
  <c r="AM129" i="23424"/>
  <c r="AM83" i="23424"/>
  <c r="AM175" i="23424"/>
  <c r="AM91" i="23424"/>
  <c r="AM89" i="23424"/>
  <c r="AM69" i="23424"/>
  <c r="AM64" i="23424"/>
  <c r="AM61" i="23424"/>
  <c r="AM41" i="23424"/>
  <c r="AM21" i="23424"/>
  <c r="AM12" i="23424"/>
  <c r="AM110" i="23424"/>
  <c r="AM58" i="23424"/>
  <c r="AM38" i="23424"/>
  <c r="AM18" i="23424"/>
  <c r="AM104" i="23424"/>
  <c r="AM77" i="23424"/>
  <c r="AM55" i="23424"/>
  <c r="AM35" i="23424"/>
  <c r="AM15" i="23424"/>
  <c r="AM86" i="23424"/>
  <c r="AM85" i="23424"/>
  <c r="AM52" i="23424"/>
  <c r="AM32" i="23424"/>
  <c r="AM160" i="23424"/>
  <c r="AM76" i="23424"/>
  <c r="AM75" i="23424"/>
  <c r="AM49" i="23424"/>
  <c r="AM29" i="23424"/>
  <c r="AM144" i="23424"/>
  <c r="AM92" i="23424"/>
  <c r="AM68" i="23424"/>
  <c r="AM176" i="23424"/>
  <c r="AM124" i="23424"/>
  <c r="AM108" i="23424"/>
  <c r="AM94" i="23424"/>
  <c r="AM114" i="23424"/>
  <c r="AM96" i="23424"/>
  <c r="AM74" i="23424"/>
  <c r="AM60" i="23424"/>
  <c r="AM40" i="23424"/>
  <c r="AM20" i="23424"/>
  <c r="AM199" i="23424"/>
  <c r="AM140" i="23424"/>
  <c r="AM97" i="23424"/>
  <c r="AM34" i="23424"/>
  <c r="AM16" i="23424"/>
  <c r="AM10" i="23424"/>
  <c r="AM71" i="23424"/>
  <c r="AM66" i="23424"/>
  <c r="AM33" i="23424"/>
  <c r="AM24" i="23424"/>
  <c r="AM26" i="23424"/>
  <c r="AM25" i="23424"/>
  <c r="AM19" i="23424"/>
  <c r="AM28" i="23424"/>
  <c r="AM103" i="23424"/>
  <c r="AM51" i="23424"/>
  <c r="AM43" i="23424"/>
  <c r="AM42" i="23424"/>
  <c r="AM50" i="23424"/>
  <c r="AM11" i="23424"/>
  <c r="AM37" i="23424"/>
  <c r="AM79" i="23424"/>
  <c r="AM59" i="23424"/>
  <c r="AM120" i="23424"/>
  <c r="AM67" i="23424"/>
  <c r="AM95" i="23424"/>
  <c r="AM27" i="23424"/>
  <c r="AM153" i="23424"/>
  <c r="AM80" i="23424"/>
  <c r="AM93" i="23424"/>
  <c r="AM48" i="23424"/>
  <c r="AM65" i="23424"/>
  <c r="AM56" i="23424"/>
  <c r="AM22" i="23424"/>
  <c r="AM14" i="23424"/>
  <c r="AM53" i="23424"/>
  <c r="AM45" i="23424"/>
  <c r="AM73" i="23424"/>
  <c r="AM39" i="23424"/>
  <c r="AM63" i="23424"/>
  <c r="AM31" i="23424"/>
  <c r="AM142" i="23424"/>
  <c r="AM82" i="23424"/>
  <c r="AM17" i="23424"/>
  <c r="AM47" i="23424"/>
  <c r="AM126" i="23424"/>
  <c r="AM107" i="23424"/>
  <c r="AM46" i="23424"/>
  <c r="AM57" i="23424"/>
  <c r="AM44" i="23424"/>
  <c r="AM198" i="23424"/>
  <c r="AM36" i="23424"/>
  <c r="AM70" i="23424"/>
  <c r="AM62" i="23424"/>
  <c r="AM13" i="23424"/>
  <c r="AM139" i="23424"/>
  <c r="AM30" i="23424"/>
  <c r="AM23" i="23424"/>
  <c r="AM54" i="23424"/>
  <c r="AW185" i="23424"/>
  <c r="AW165" i="23424"/>
  <c r="AW182" i="23424"/>
  <c r="AW199" i="23424"/>
  <c r="AW179" i="23424"/>
  <c r="AW159" i="23424"/>
  <c r="AW196" i="23424"/>
  <c r="AW190" i="23424"/>
  <c r="AW198" i="23424"/>
  <c r="AW189" i="23424"/>
  <c r="AW191" i="23424"/>
  <c r="AW163" i="23424"/>
  <c r="AW141" i="23424"/>
  <c r="AW121" i="23424"/>
  <c r="AW187" i="23424"/>
  <c r="AW201" i="23424"/>
  <c r="AW173" i="23424"/>
  <c r="AW168" i="23424"/>
  <c r="AW197" i="23424"/>
  <c r="AW192" i="23424"/>
  <c r="AW188" i="23424"/>
  <c r="AW177" i="23424"/>
  <c r="AW156" i="23424"/>
  <c r="AW140" i="23424"/>
  <c r="AW194" i="23424"/>
  <c r="AW154" i="23424"/>
  <c r="AW125" i="23424"/>
  <c r="AW180" i="23424"/>
  <c r="AW171" i="23424"/>
  <c r="AW161" i="23424"/>
  <c r="AW146" i="23424"/>
  <c r="AW136" i="23424"/>
  <c r="AW193" i="23424"/>
  <c r="AW186" i="23424"/>
  <c r="AW184" i="23424"/>
  <c r="AW153" i="23424"/>
  <c r="AW132" i="23424"/>
  <c r="AW162" i="23424"/>
  <c r="AW200" i="23424"/>
  <c r="AW181" i="23424"/>
  <c r="AW176" i="23424"/>
  <c r="AW170" i="23424"/>
  <c r="AW120" i="23424"/>
  <c r="AW152" i="23424"/>
  <c r="AW135" i="23424"/>
  <c r="AW115" i="23424"/>
  <c r="AW148" i="23424"/>
  <c r="AW142" i="23424"/>
  <c r="AW111" i="23424"/>
  <c r="AW108" i="23424"/>
  <c r="AW178" i="23424"/>
  <c r="AW137" i="23424"/>
  <c r="AW124" i="23424"/>
  <c r="AW119" i="23424"/>
  <c r="AW160" i="23424"/>
  <c r="AW172" i="23424"/>
  <c r="AW158" i="23424"/>
  <c r="AW133" i="23424"/>
  <c r="AW114" i="23424"/>
  <c r="AW112" i="23424"/>
  <c r="AW110" i="23424"/>
  <c r="AW104" i="23424"/>
  <c r="AW139" i="23424"/>
  <c r="AW131" i="23424"/>
  <c r="AW116" i="23424"/>
  <c r="AW97" i="23424"/>
  <c r="AW117" i="23424"/>
  <c r="AW109" i="23424"/>
  <c r="AW100" i="23424"/>
  <c r="AW144" i="23424"/>
  <c r="AW91" i="23424"/>
  <c r="AW183" i="23424"/>
  <c r="AW167" i="23424"/>
  <c r="AW166" i="23424"/>
  <c r="AW149" i="23424"/>
  <c r="AW126" i="23424"/>
  <c r="AW103" i="23424"/>
  <c r="AW151" i="23424"/>
  <c r="AW147" i="23424"/>
  <c r="AW150" i="23424"/>
  <c r="AW77" i="23424"/>
  <c r="AW155" i="23424"/>
  <c r="AW127" i="23424"/>
  <c r="AW169" i="23424"/>
  <c r="AW113" i="23424"/>
  <c r="AW106" i="23424"/>
  <c r="AW101" i="23424"/>
  <c r="AW71" i="23424"/>
  <c r="AW129" i="23424"/>
  <c r="AW145" i="23424"/>
  <c r="AW85" i="23424"/>
  <c r="AW123" i="23424"/>
  <c r="AW76" i="23424"/>
  <c r="AW174" i="23424"/>
  <c r="AW134" i="23424"/>
  <c r="AW128" i="23424"/>
  <c r="AW92" i="23424"/>
  <c r="AW74" i="23424"/>
  <c r="AW67" i="23424"/>
  <c r="AW54" i="23424"/>
  <c r="AW34" i="23424"/>
  <c r="AW14" i="23424"/>
  <c r="AW11" i="23424"/>
  <c r="AW164" i="23424"/>
  <c r="AW86" i="23424"/>
  <c r="AW79" i="23424"/>
  <c r="AW51" i="23424"/>
  <c r="AW31" i="23424"/>
  <c r="AW73" i="23424"/>
  <c r="AW48" i="23424"/>
  <c r="AW28" i="23424"/>
  <c r="AW66" i="23424"/>
  <c r="AW90" i="23424"/>
  <c r="AW87" i="23424"/>
  <c r="AW45" i="23424"/>
  <c r="AW25" i="23424"/>
  <c r="AW81" i="23424"/>
  <c r="AW72" i="23424"/>
  <c r="AW62" i="23424"/>
  <c r="AW42" i="23424"/>
  <c r="AW22" i="23424"/>
  <c r="AW80" i="23424"/>
  <c r="AW175" i="23424"/>
  <c r="AW157" i="23424"/>
  <c r="AW143" i="23424"/>
  <c r="AW107" i="23424"/>
  <c r="AW99" i="23424"/>
  <c r="AW88" i="23424"/>
  <c r="AW82" i="23424"/>
  <c r="AW53" i="23424"/>
  <c r="AW33" i="23424"/>
  <c r="AW13" i="23424"/>
  <c r="AW102" i="23424"/>
  <c r="AW84" i="23424"/>
  <c r="AW94" i="23424"/>
  <c r="AW52" i="23424"/>
  <c r="AW30" i="23424"/>
  <c r="AW44" i="23424"/>
  <c r="AW36" i="23424"/>
  <c r="AW12" i="23424"/>
  <c r="AW70" i="23424"/>
  <c r="AW60" i="23424"/>
  <c r="AW20" i="23424"/>
  <c r="AW21" i="23424"/>
  <c r="AW47" i="23424"/>
  <c r="AW37" i="23424"/>
  <c r="AW96" i="23424"/>
  <c r="AW95" i="23424"/>
  <c r="AW38" i="23424"/>
  <c r="AW29" i="23424"/>
  <c r="AW75" i="23424"/>
  <c r="AW61" i="23424"/>
  <c r="AW130" i="23424"/>
  <c r="AW118" i="23424"/>
  <c r="AW83" i="23424"/>
  <c r="AW65" i="23424"/>
  <c r="AW55" i="23424"/>
  <c r="AW46" i="23424"/>
  <c r="AW39" i="23424"/>
  <c r="AW195" i="23424"/>
  <c r="AW138" i="23424"/>
  <c r="AW122" i="23424"/>
  <c r="AW15" i="23424"/>
  <c r="AW58" i="23424"/>
  <c r="AW43" i="23424"/>
  <c r="AW10" i="23424"/>
  <c r="AW24" i="23424"/>
  <c r="AW16" i="23424"/>
  <c r="AW35" i="23424"/>
  <c r="AW64" i="23424"/>
  <c r="AW27" i="23424"/>
  <c r="AW17" i="23424"/>
  <c r="AW50" i="23424"/>
  <c r="AW49" i="23424"/>
  <c r="AW23" i="23424"/>
  <c r="AW78" i="23424"/>
  <c r="AW19" i="23424"/>
  <c r="AW63" i="23424"/>
  <c r="AW57" i="23424"/>
  <c r="AW105" i="23424"/>
  <c r="AW93" i="23424"/>
  <c r="AW69" i="23424"/>
  <c r="AW68" i="23424"/>
  <c r="AW32" i="23424"/>
  <c r="AW89" i="23424"/>
  <c r="AW59" i="23424"/>
  <c r="AW56" i="23424"/>
  <c r="AW40" i="23424"/>
  <c r="AW98" i="23424"/>
  <c r="AW41" i="23424"/>
  <c r="AW26" i="23424"/>
  <c r="AW18" i="23424"/>
  <c r="AE190" i="23424"/>
  <c r="AE170" i="23424"/>
  <c r="AE150" i="23424"/>
  <c r="AE187" i="23424"/>
  <c r="AE184" i="23424"/>
  <c r="AE164" i="23424"/>
  <c r="AE201" i="23424"/>
  <c r="AE195" i="23424"/>
  <c r="AE194" i="23424"/>
  <c r="AE193" i="23424"/>
  <c r="AE177" i="23424"/>
  <c r="AE146" i="23424"/>
  <c r="AE126" i="23424"/>
  <c r="AE166" i="23424"/>
  <c r="AE161" i="23424"/>
  <c r="AE199" i="23424"/>
  <c r="AE200" i="23424"/>
  <c r="AE182" i="23424"/>
  <c r="AE175" i="23424"/>
  <c r="AE145" i="23424"/>
  <c r="AE197" i="23424"/>
  <c r="AE192" i="23424"/>
  <c r="AE124" i="23424"/>
  <c r="AE176" i="23424"/>
  <c r="AE139" i="23424"/>
  <c r="AE135" i="23424"/>
  <c r="AE131" i="23424"/>
  <c r="AE189" i="23424"/>
  <c r="AE183" i="23424"/>
  <c r="AE191" i="23424"/>
  <c r="AE149" i="23424"/>
  <c r="AE160" i="23424"/>
  <c r="AE156" i="23424"/>
  <c r="AE137" i="23424"/>
  <c r="AE181" i="23424"/>
  <c r="AE186" i="23424"/>
  <c r="AE155" i="23424"/>
  <c r="AE130" i="23424"/>
  <c r="AE123" i="23424"/>
  <c r="AE114" i="23424"/>
  <c r="AE179" i="23424"/>
  <c r="AE172" i="23424"/>
  <c r="AE118" i="23424"/>
  <c r="AE159" i="23424"/>
  <c r="AE128" i="23424"/>
  <c r="AE107" i="23424"/>
  <c r="AE165" i="23424"/>
  <c r="AE147" i="23424"/>
  <c r="AE133" i="23424"/>
  <c r="AE132" i="23424"/>
  <c r="AE178" i="23424"/>
  <c r="AE168" i="23424"/>
  <c r="AE163" i="23424"/>
  <c r="AE171" i="23424"/>
  <c r="AE140" i="23424"/>
  <c r="AE88" i="23424"/>
  <c r="AE174" i="23424"/>
  <c r="AE127" i="23424"/>
  <c r="AE121" i="23424"/>
  <c r="AE103" i="23424"/>
  <c r="AE162" i="23424"/>
  <c r="AE143" i="23424"/>
  <c r="AE99" i="23424"/>
  <c r="AE122" i="23424"/>
  <c r="AE96" i="23424"/>
  <c r="AE188" i="23424"/>
  <c r="AE158" i="23424"/>
  <c r="AE148" i="23424"/>
  <c r="AE154" i="23424"/>
  <c r="AE152" i="23424"/>
  <c r="AE141" i="23424"/>
  <c r="AE102" i="23424"/>
  <c r="AE180" i="23424"/>
  <c r="AE142" i="23424"/>
  <c r="AE112" i="23424"/>
  <c r="AE93" i="23424"/>
  <c r="AE82" i="23424"/>
  <c r="AE173" i="23424"/>
  <c r="AE157" i="23424"/>
  <c r="AE151" i="23424"/>
  <c r="AE95" i="23424"/>
  <c r="AE90" i="23424"/>
  <c r="AE79" i="23424"/>
  <c r="AE115" i="23424"/>
  <c r="AE98" i="23424"/>
  <c r="AE92" i="23424"/>
  <c r="AE76" i="23424"/>
  <c r="AE120" i="23424"/>
  <c r="AE94" i="23424"/>
  <c r="AE89" i="23424"/>
  <c r="AE104" i="23424"/>
  <c r="AE97" i="23424"/>
  <c r="AE138" i="23424"/>
  <c r="AE185" i="23424"/>
  <c r="AE169" i="23424"/>
  <c r="AE109" i="23424"/>
  <c r="AE87" i="23424"/>
  <c r="AE81" i="23424"/>
  <c r="AE136" i="23424"/>
  <c r="AE153" i="23424"/>
  <c r="AE83" i="23424"/>
  <c r="AE71" i="23424"/>
  <c r="AE59" i="23424"/>
  <c r="AE39" i="23424"/>
  <c r="AE19" i="23424"/>
  <c r="AE91" i="23424"/>
  <c r="AE56" i="23424"/>
  <c r="AE36" i="23424"/>
  <c r="AE16" i="23424"/>
  <c r="AE84" i="23424"/>
  <c r="AE70" i="23424"/>
  <c r="AE53" i="23424"/>
  <c r="AE33" i="23424"/>
  <c r="AE13" i="23424"/>
  <c r="AE10" i="23424"/>
  <c r="AE106" i="23424"/>
  <c r="AE65" i="23424"/>
  <c r="AE50" i="23424"/>
  <c r="AE30" i="23424"/>
  <c r="AE167" i="23424"/>
  <c r="AE134" i="23424"/>
  <c r="AE100" i="23424"/>
  <c r="AE47" i="23424"/>
  <c r="AE27" i="23424"/>
  <c r="AE117" i="23424"/>
  <c r="AE110" i="23424"/>
  <c r="AE64" i="23424"/>
  <c r="AE69" i="23424"/>
  <c r="AE144" i="23424"/>
  <c r="AE108" i="23424"/>
  <c r="AE78" i="23424"/>
  <c r="AE58" i="23424"/>
  <c r="AE38" i="23424"/>
  <c r="AE18" i="23424"/>
  <c r="AE116" i="23424"/>
  <c r="AE125" i="23424"/>
  <c r="AE85" i="23424"/>
  <c r="AE40" i="23424"/>
  <c r="AE32" i="23424"/>
  <c r="AE31" i="23424"/>
  <c r="AE22" i="23424"/>
  <c r="AE17" i="23424"/>
  <c r="AE43" i="23424"/>
  <c r="AE49" i="23424"/>
  <c r="AE41" i="23424"/>
  <c r="AE24" i="23424"/>
  <c r="AE63" i="23424"/>
  <c r="AE62" i="23424"/>
  <c r="AE48" i="23424"/>
  <c r="AE111" i="23424"/>
  <c r="AE74" i="23424"/>
  <c r="AE57" i="23424"/>
  <c r="AE35" i="23424"/>
  <c r="AE34" i="23424"/>
  <c r="AE129" i="23424"/>
  <c r="AE101" i="23424"/>
  <c r="AE77" i="23424"/>
  <c r="AE66" i="23424"/>
  <c r="AE26" i="23424"/>
  <c r="AE196" i="23424"/>
  <c r="AE119" i="23424"/>
  <c r="AE25" i="23424"/>
  <c r="AE20" i="23424"/>
  <c r="AE198" i="23424"/>
  <c r="AE80" i="23424"/>
  <c r="AE61" i="23424"/>
  <c r="AE51" i="23424"/>
  <c r="AE67" i="23424"/>
  <c r="AE12" i="23424"/>
  <c r="AE55" i="23424"/>
  <c r="AE37" i="23424"/>
  <c r="AE73" i="23424"/>
  <c r="AE72" i="23424"/>
  <c r="AE68" i="23424"/>
  <c r="AE29" i="23424"/>
  <c r="AE60" i="23424"/>
  <c r="AE14" i="23424"/>
  <c r="AE45" i="23424"/>
  <c r="AE52" i="23424"/>
  <c r="AE42" i="23424"/>
  <c r="AE105" i="23424"/>
  <c r="AE86" i="23424"/>
  <c r="AE28" i="23424"/>
  <c r="AE23" i="23424"/>
  <c r="AE46" i="23424"/>
  <c r="AE54" i="23424"/>
  <c r="AE15" i="23424"/>
  <c r="AE44" i="23424"/>
  <c r="AE75" i="23424"/>
  <c r="AE113" i="23424"/>
  <c r="AE21" i="23424"/>
  <c r="AE11" i="23424"/>
  <c r="AP183" i="23424"/>
  <c r="AP163" i="23424"/>
  <c r="AP200" i="23424"/>
  <c r="AP180" i="23424"/>
  <c r="AP197" i="23424"/>
  <c r="AP177" i="23424"/>
  <c r="AP157" i="23424"/>
  <c r="AP194" i="23424"/>
  <c r="AP188" i="23424"/>
  <c r="AP196" i="23424"/>
  <c r="AP187" i="23424"/>
  <c r="AP175" i="23424"/>
  <c r="AP139" i="23424"/>
  <c r="AP119" i="23424"/>
  <c r="AP159" i="23424"/>
  <c r="AP191" i="23424"/>
  <c r="AP186" i="23424"/>
  <c r="AP181" i="23424"/>
  <c r="AP164" i="23424"/>
  <c r="AP201" i="23424"/>
  <c r="AP138" i="23424"/>
  <c r="AP198" i="23424"/>
  <c r="AP193" i="23424"/>
  <c r="AP169" i="23424"/>
  <c r="AP126" i="23424"/>
  <c r="AP156" i="23424"/>
  <c r="AP137" i="23424"/>
  <c r="AP147" i="23424"/>
  <c r="AP133" i="23424"/>
  <c r="AP170" i="23424"/>
  <c r="AP160" i="23424"/>
  <c r="AP154" i="23424"/>
  <c r="AP129" i="23424"/>
  <c r="AP184" i="23424"/>
  <c r="AP199" i="23424"/>
  <c r="AP174" i="23424"/>
  <c r="AP173" i="23424"/>
  <c r="AP152" i="23424"/>
  <c r="AP192" i="23424"/>
  <c r="AP182" i="23424"/>
  <c r="AP179" i="23424"/>
  <c r="AP162" i="23424"/>
  <c r="AP140" i="23424"/>
  <c r="AP195" i="23424"/>
  <c r="AP165" i="23424"/>
  <c r="AP121" i="23424"/>
  <c r="AP116" i="23424"/>
  <c r="AP185" i="23424"/>
  <c r="AP167" i="23424"/>
  <c r="AP151" i="23424"/>
  <c r="AP141" i="23424"/>
  <c r="AP112" i="23424"/>
  <c r="AP134" i="23424"/>
  <c r="AP166" i="23424"/>
  <c r="AP122" i="23424"/>
  <c r="AP148" i="23424"/>
  <c r="AP98" i="23424"/>
  <c r="AP105" i="23424"/>
  <c r="AP95" i="23424"/>
  <c r="AP158" i="23424"/>
  <c r="AP150" i="23424"/>
  <c r="AP128" i="23424"/>
  <c r="AP101" i="23424"/>
  <c r="AP190" i="23424"/>
  <c r="AP161" i="23424"/>
  <c r="AP115" i="23424"/>
  <c r="AP111" i="23424"/>
  <c r="AP89" i="23424"/>
  <c r="AP146" i="23424"/>
  <c r="AP189" i="23424"/>
  <c r="AP131" i="23424"/>
  <c r="AP110" i="23424"/>
  <c r="AP104" i="23424"/>
  <c r="AP172" i="23424"/>
  <c r="AP155" i="23424"/>
  <c r="AP178" i="23424"/>
  <c r="AP109" i="23424"/>
  <c r="AP99" i="23424"/>
  <c r="AP75" i="23424"/>
  <c r="AP100" i="23424"/>
  <c r="AP87" i="23424"/>
  <c r="AP125" i="23424"/>
  <c r="AP69" i="23424"/>
  <c r="AP149" i="23424"/>
  <c r="AP130" i="23424"/>
  <c r="AP113" i="23424"/>
  <c r="AP86" i="23424"/>
  <c r="AP135" i="23424"/>
  <c r="AP83" i="23424"/>
  <c r="AP171" i="23424"/>
  <c r="AP153" i="23424"/>
  <c r="AP106" i="23424"/>
  <c r="AP85" i="23424"/>
  <c r="AP77" i="23424"/>
  <c r="AP52" i="23424"/>
  <c r="AP32" i="23424"/>
  <c r="AP12" i="23424"/>
  <c r="AP117" i="23424"/>
  <c r="AP76" i="23424"/>
  <c r="AP49" i="23424"/>
  <c r="AP29" i="23424"/>
  <c r="AP145" i="23424"/>
  <c r="AP136" i="23424"/>
  <c r="AP68" i="23424"/>
  <c r="AP46" i="23424"/>
  <c r="AP26" i="23424"/>
  <c r="AP144" i="23424"/>
  <c r="AP108" i="23424"/>
  <c r="AP94" i="23424"/>
  <c r="AP92" i="23424"/>
  <c r="AP78" i="23424"/>
  <c r="AP63" i="23424"/>
  <c r="AP43" i="23424"/>
  <c r="AP23" i="23424"/>
  <c r="AP176" i="23424"/>
  <c r="AP124" i="23424"/>
  <c r="AP96" i="23424"/>
  <c r="AP74" i="23424"/>
  <c r="AP60" i="23424"/>
  <c r="AP40" i="23424"/>
  <c r="AP20" i="23424"/>
  <c r="AP127" i="23424"/>
  <c r="AP114" i="23424"/>
  <c r="AP168" i="23424"/>
  <c r="AP80" i="23424"/>
  <c r="AP79" i="23424"/>
  <c r="AP67" i="23424"/>
  <c r="AP132" i="23424"/>
  <c r="AP120" i="23424"/>
  <c r="AP51" i="23424"/>
  <c r="AP31" i="23424"/>
  <c r="AP11" i="23424"/>
  <c r="AP82" i="23424"/>
  <c r="AP58" i="23424"/>
  <c r="AP42" i="23424"/>
  <c r="AP10" i="23424"/>
  <c r="AP28" i="23424"/>
  <c r="AP27" i="23424"/>
  <c r="AP45" i="23424"/>
  <c r="AP123" i="23424"/>
  <c r="AP103" i="23424"/>
  <c r="AP50" i="23424"/>
  <c r="AP18" i="23424"/>
  <c r="AP59" i="23424"/>
  <c r="AP37" i="23424"/>
  <c r="AP81" i="23424"/>
  <c r="AP35" i="23424"/>
  <c r="AP19" i="23424"/>
  <c r="AP72" i="23424"/>
  <c r="AP64" i="23424"/>
  <c r="AP36" i="23424"/>
  <c r="AP84" i="23424"/>
  <c r="AP102" i="23424"/>
  <c r="AP91" i="23424"/>
  <c r="AP90" i="23424"/>
  <c r="AP44" i="23424"/>
  <c r="AP143" i="23424"/>
  <c r="AP142" i="23424"/>
  <c r="AP54" i="23424"/>
  <c r="AP53" i="23424"/>
  <c r="AP107" i="23424"/>
  <c r="AP118" i="23424"/>
  <c r="AP14" i="23424"/>
  <c r="AP25" i="23424"/>
  <c r="AP97" i="23424"/>
  <c r="AP57" i="23424"/>
  <c r="AP55" i="23424"/>
  <c r="AP17" i="23424"/>
  <c r="AP73" i="23424"/>
  <c r="AP47" i="23424"/>
  <c r="AP39" i="23424"/>
  <c r="AP21" i="23424"/>
  <c r="AP24" i="23424"/>
  <c r="AP62" i="23424"/>
  <c r="AP65" i="23424"/>
  <c r="AP56" i="23424"/>
  <c r="AP22" i="23424"/>
  <c r="AP48" i="23424"/>
  <c r="AP15" i="23424"/>
  <c r="AP93" i="23424"/>
  <c r="AP41" i="23424"/>
  <c r="AP34" i="23424"/>
  <c r="AP71" i="23424"/>
  <c r="AP61" i="23424"/>
  <c r="AP66" i="23424"/>
  <c r="AP88" i="23424"/>
  <c r="AP30" i="23424"/>
  <c r="AP16" i="23424"/>
  <c r="AP13" i="23424"/>
  <c r="AP70" i="23424"/>
  <c r="AP38" i="23424"/>
  <c r="AP33" i="23424"/>
  <c r="BF198" i="23424"/>
  <c r="BF178" i="23424"/>
  <c r="BF158" i="23424"/>
  <c r="BF195" i="23424"/>
  <c r="BF192" i="23424"/>
  <c r="BF172" i="23424"/>
  <c r="BF189" i="23424"/>
  <c r="BF191" i="23424"/>
  <c r="BF201" i="23424"/>
  <c r="BF134" i="23424"/>
  <c r="BF171" i="23424"/>
  <c r="BF161" i="23424"/>
  <c r="BF183" i="23424"/>
  <c r="BF193" i="23424"/>
  <c r="BF199" i="23424"/>
  <c r="BF194" i="23424"/>
  <c r="BF185" i="23424"/>
  <c r="BF196" i="23424"/>
  <c r="BF188" i="23424"/>
  <c r="BF175" i="23424"/>
  <c r="BF173" i="23424"/>
  <c r="BF164" i="23424"/>
  <c r="BF150" i="23424"/>
  <c r="BF139" i="23424"/>
  <c r="BF127" i="23424"/>
  <c r="BF116" i="23424"/>
  <c r="BF113" i="23424"/>
  <c r="BF182" i="23424"/>
  <c r="BF165" i="23424"/>
  <c r="BF144" i="23424"/>
  <c r="BF130" i="23424"/>
  <c r="BF190" i="23424"/>
  <c r="BF168" i="23424"/>
  <c r="BF156" i="23424"/>
  <c r="BF155" i="23424"/>
  <c r="BF142" i="23424"/>
  <c r="BF180" i="23424"/>
  <c r="BF200" i="23424"/>
  <c r="BF181" i="23424"/>
  <c r="BF138" i="23424"/>
  <c r="BF123" i="23424"/>
  <c r="BF118" i="23424"/>
  <c r="BF107" i="23424"/>
  <c r="BF153" i="23424"/>
  <c r="BF176" i="23424"/>
  <c r="BF166" i="23424"/>
  <c r="BF154" i="23424"/>
  <c r="BF149" i="23424"/>
  <c r="BF184" i="23424"/>
  <c r="BF174" i="23424"/>
  <c r="BF129" i="23424"/>
  <c r="BF128" i="23424"/>
  <c r="BF169" i="23424"/>
  <c r="BF126" i="23424"/>
  <c r="BF177" i="23424"/>
  <c r="BF170" i="23424"/>
  <c r="BF137" i="23424"/>
  <c r="BF99" i="23424"/>
  <c r="BF96" i="23424"/>
  <c r="BF167" i="23424"/>
  <c r="BF119" i="23424"/>
  <c r="BF93" i="23424"/>
  <c r="BF90" i="23424"/>
  <c r="BF187" i="23424"/>
  <c r="BF147" i="23424"/>
  <c r="BF121" i="23424"/>
  <c r="BF120" i="23424"/>
  <c r="BF106" i="23424"/>
  <c r="BF102" i="23424"/>
  <c r="BF163" i="23424"/>
  <c r="BF160" i="23424"/>
  <c r="BF186" i="23424"/>
  <c r="BF157" i="23424"/>
  <c r="BF95" i="23424"/>
  <c r="BF70" i="23424"/>
  <c r="BF145" i="23424"/>
  <c r="BF141" i="23424"/>
  <c r="BF92" i="23424"/>
  <c r="BF84" i="23424"/>
  <c r="BF64" i="23424"/>
  <c r="BF117" i="23424"/>
  <c r="BF111" i="23424"/>
  <c r="BF89" i="23424"/>
  <c r="BF81" i="23424"/>
  <c r="BF148" i="23424"/>
  <c r="BF98" i="23424"/>
  <c r="BF94" i="23424"/>
  <c r="BF78" i="23424"/>
  <c r="BF140" i="23424"/>
  <c r="BF112" i="23424"/>
  <c r="BF104" i="23424"/>
  <c r="BF103" i="23424"/>
  <c r="BF87" i="23424"/>
  <c r="BF135" i="23424"/>
  <c r="BF132" i="23424"/>
  <c r="BF152" i="23424"/>
  <c r="BF146" i="23424"/>
  <c r="BF47" i="23424"/>
  <c r="BF27" i="23424"/>
  <c r="BF124" i="23424"/>
  <c r="BF114" i="23424"/>
  <c r="BF65" i="23424"/>
  <c r="BF44" i="23424"/>
  <c r="BF24" i="23424"/>
  <c r="BF105" i="23424"/>
  <c r="BF97" i="23424"/>
  <c r="BF88" i="23424"/>
  <c r="BF83" i="23424"/>
  <c r="BF61" i="23424"/>
  <c r="BF41" i="23424"/>
  <c r="BF21" i="23424"/>
  <c r="BF159" i="23424"/>
  <c r="BF82" i="23424"/>
  <c r="BF58" i="23424"/>
  <c r="BF38" i="23424"/>
  <c r="BF18" i="23424"/>
  <c r="BF162" i="23424"/>
  <c r="BF143" i="23424"/>
  <c r="BF69" i="23424"/>
  <c r="BF55" i="23424"/>
  <c r="BF35" i="23424"/>
  <c r="BF15" i="23424"/>
  <c r="BF109" i="23424"/>
  <c r="BF133" i="23424"/>
  <c r="BF131" i="23424"/>
  <c r="BF91" i="23424"/>
  <c r="BF46" i="23424"/>
  <c r="BF26" i="23424"/>
  <c r="BF115" i="23424"/>
  <c r="BF86" i="23424"/>
  <c r="BF151" i="23424"/>
  <c r="BF101" i="23424"/>
  <c r="BF13" i="23424"/>
  <c r="BF23" i="23424"/>
  <c r="BF57" i="23424"/>
  <c r="BF79" i="23424"/>
  <c r="BF125" i="23424"/>
  <c r="BF122" i="23424"/>
  <c r="BF68" i="23424"/>
  <c r="BF40" i="23424"/>
  <c r="BF31" i="23424"/>
  <c r="BF22" i="23424"/>
  <c r="BF34" i="23424"/>
  <c r="BF16" i="23424"/>
  <c r="BF39" i="23424"/>
  <c r="BF32" i="23424"/>
  <c r="BF30" i="23424"/>
  <c r="BF49" i="23424"/>
  <c r="BF48" i="23424"/>
  <c r="BF179" i="23424"/>
  <c r="BF110" i="23424"/>
  <c r="BF63" i="23424"/>
  <c r="BF62" i="23424"/>
  <c r="BF100" i="23424"/>
  <c r="BF76" i="23424"/>
  <c r="BF73" i="23424"/>
  <c r="BF56" i="23424"/>
  <c r="BF17" i="23424"/>
  <c r="BF197" i="23424"/>
  <c r="BF80" i="23424"/>
  <c r="BF60" i="23424"/>
  <c r="BF53" i="23424"/>
  <c r="BF45" i="23424"/>
  <c r="BF37" i="23424"/>
  <c r="BF19" i="23424"/>
  <c r="BF11" i="23424"/>
  <c r="BF28" i="23424"/>
  <c r="BF50" i="23424"/>
  <c r="BF42" i="23424"/>
  <c r="BF52" i="23424"/>
  <c r="BF108" i="23424"/>
  <c r="BF67" i="23424"/>
  <c r="BF72" i="23424"/>
  <c r="BF54" i="23424"/>
  <c r="BF77" i="23424"/>
  <c r="BF33" i="23424"/>
  <c r="BF136" i="23424"/>
  <c r="BF59" i="23424"/>
  <c r="BF71" i="23424"/>
  <c r="BF36" i="23424"/>
  <c r="BF66" i="23424"/>
  <c r="BF51" i="23424"/>
  <c r="BF43" i="23424"/>
  <c r="BF85" i="23424"/>
  <c r="BF29" i="23424"/>
  <c r="BF14" i="23424"/>
  <c r="BF10" i="23424"/>
  <c r="BF12" i="23424"/>
  <c r="BF20" i="23424"/>
  <c r="BF25" i="23424"/>
  <c r="BF75" i="23424"/>
  <c r="BF74" i="23424"/>
  <c r="BC187" i="23424"/>
  <c r="BC167" i="23424"/>
  <c r="BC184" i="23424"/>
  <c r="BC201" i="23424"/>
  <c r="BC181" i="23424"/>
  <c r="BC161" i="23424"/>
  <c r="BC198" i="23424"/>
  <c r="BC192" i="23424"/>
  <c r="BC200" i="23424"/>
  <c r="BC191" i="23424"/>
  <c r="BC143" i="23424"/>
  <c r="BC123" i="23424"/>
  <c r="BC188" i="23424"/>
  <c r="BC177" i="23424"/>
  <c r="BC166" i="23424"/>
  <c r="BC189" i="23424"/>
  <c r="BC193" i="23424"/>
  <c r="BC194" i="23424"/>
  <c r="BC165" i="23424"/>
  <c r="BC142" i="23424"/>
  <c r="BC172" i="23424"/>
  <c r="BC151" i="23424"/>
  <c r="BC145" i="23424"/>
  <c r="BC124" i="23424"/>
  <c r="BC175" i="23424"/>
  <c r="BC163" i="23424"/>
  <c r="BC135" i="23424"/>
  <c r="BC131" i="23424"/>
  <c r="BC174" i="23424"/>
  <c r="BC164" i="23424"/>
  <c r="BC162" i="23424"/>
  <c r="BC139" i="23424"/>
  <c r="BC199" i="23424"/>
  <c r="BC196" i="23424"/>
  <c r="BC182" i="23424"/>
  <c r="BC144" i="23424"/>
  <c r="BC176" i="23424"/>
  <c r="BC160" i="23424"/>
  <c r="BC168" i="23424"/>
  <c r="BC114" i="23424"/>
  <c r="BC178" i="23424"/>
  <c r="BC138" i="23424"/>
  <c r="BC110" i="23424"/>
  <c r="BC158" i="23424"/>
  <c r="BC153" i="23424"/>
  <c r="BC149" i="23424"/>
  <c r="BC190" i="23424"/>
  <c r="BC183" i="23424"/>
  <c r="BC154" i="23424"/>
  <c r="BC169" i="23424"/>
  <c r="BC129" i="23424"/>
  <c r="BC128" i="23424"/>
  <c r="BC134" i="23424"/>
  <c r="BC137" i="23424"/>
  <c r="BC125" i="23424"/>
  <c r="BC118" i="23424"/>
  <c r="BC108" i="23424"/>
  <c r="BC103" i="23424"/>
  <c r="BC170" i="23424"/>
  <c r="BC126" i="23424"/>
  <c r="BC173" i="23424"/>
  <c r="BC107" i="23424"/>
  <c r="BC99" i="23424"/>
  <c r="BC155" i="23424"/>
  <c r="BC119" i="23424"/>
  <c r="BC93" i="23424"/>
  <c r="BC127" i="23424"/>
  <c r="BC121" i="23424"/>
  <c r="BC106" i="23424"/>
  <c r="BC102" i="23424"/>
  <c r="BC152" i="23424"/>
  <c r="BC179" i="23424"/>
  <c r="BC79" i="23424"/>
  <c r="BC132" i="23424"/>
  <c r="BC156" i="23424"/>
  <c r="BC73" i="23424"/>
  <c r="BC185" i="23424"/>
  <c r="BC171" i="23424"/>
  <c r="BC90" i="23424"/>
  <c r="BC186" i="23424"/>
  <c r="BC141" i="23424"/>
  <c r="BC148" i="23424"/>
  <c r="BC147" i="23424"/>
  <c r="BC94" i="23424"/>
  <c r="BC78" i="23424"/>
  <c r="BC150" i="23424"/>
  <c r="BC120" i="23424"/>
  <c r="BC56" i="23424"/>
  <c r="BC36" i="23424"/>
  <c r="BC16" i="23424"/>
  <c r="BC53" i="23424"/>
  <c r="BC33" i="23424"/>
  <c r="BC13" i="23424"/>
  <c r="BC101" i="23424"/>
  <c r="BC71" i="23424"/>
  <c r="BC50" i="23424"/>
  <c r="BC30" i="23424"/>
  <c r="BC10" i="23424"/>
  <c r="BC146" i="23424"/>
  <c r="BC70" i="23424"/>
  <c r="BC47" i="23424"/>
  <c r="BC27" i="23424"/>
  <c r="BC159" i="23424"/>
  <c r="BC97" i="23424"/>
  <c r="BC88" i="23424"/>
  <c r="BC65" i="23424"/>
  <c r="BC44" i="23424"/>
  <c r="BC24" i="23424"/>
  <c r="BC157" i="23424"/>
  <c r="BC105" i="23424"/>
  <c r="BC95" i="23424"/>
  <c r="BC83" i="23424"/>
  <c r="BC64" i="23424"/>
  <c r="BC61" i="23424"/>
  <c r="BC111" i="23424"/>
  <c r="BC82" i="23424"/>
  <c r="BC140" i="23424"/>
  <c r="BC84" i="23424"/>
  <c r="BC69" i="23424"/>
  <c r="BC55" i="23424"/>
  <c r="BC35" i="23424"/>
  <c r="BC15" i="23424"/>
  <c r="BC197" i="23424"/>
  <c r="BC122" i="23424"/>
  <c r="BC136" i="23424"/>
  <c r="BC81" i="23424"/>
  <c r="BC40" i="23424"/>
  <c r="BC39" i="23424"/>
  <c r="BC48" i="23424"/>
  <c r="BC130" i="23424"/>
  <c r="BC96" i="23424"/>
  <c r="BC72" i="23424"/>
  <c r="BC54" i="23424"/>
  <c r="BC46" i="23424"/>
  <c r="BC133" i="23424"/>
  <c r="BC109" i="23424"/>
  <c r="BC45" i="23424"/>
  <c r="BC14" i="23424"/>
  <c r="BC23" i="23424"/>
  <c r="BC68" i="23424"/>
  <c r="BC32" i="23424"/>
  <c r="BC31" i="23424"/>
  <c r="BC22" i="23424"/>
  <c r="BC116" i="23424"/>
  <c r="BC86" i="23424"/>
  <c r="BC195" i="23424"/>
  <c r="BC89" i="23424"/>
  <c r="BC49" i="23424"/>
  <c r="BC41" i="23424"/>
  <c r="BC180" i="23424"/>
  <c r="BC117" i="23424"/>
  <c r="BC112" i="23424"/>
  <c r="BC91" i="23424"/>
  <c r="BC75" i="23424"/>
  <c r="BC87" i="23424"/>
  <c r="BC85" i="23424"/>
  <c r="BC74" i="23424"/>
  <c r="BC25" i="23424"/>
  <c r="BC42" i="23424"/>
  <c r="BC19" i="23424"/>
  <c r="BC29" i="23424"/>
  <c r="BC63" i="23424"/>
  <c r="BC60" i="23424"/>
  <c r="BC37" i="23424"/>
  <c r="BC80" i="23424"/>
  <c r="BC57" i="23424"/>
  <c r="BC34" i="23424"/>
  <c r="BC21" i="23424"/>
  <c r="BC52" i="23424"/>
  <c r="BC11" i="23424"/>
  <c r="BC18" i="23424"/>
  <c r="BC62" i="23424"/>
  <c r="BC26" i="23424"/>
  <c r="BC76" i="23424"/>
  <c r="BC67" i="23424"/>
  <c r="BC104" i="23424"/>
  <c r="BC115" i="23424"/>
  <c r="BC113" i="23424"/>
  <c r="BC77" i="23424"/>
  <c r="BC38" i="23424"/>
  <c r="BC59" i="23424"/>
  <c r="BC17" i="23424"/>
  <c r="BC43" i="23424"/>
  <c r="BC98" i="23424"/>
  <c r="BC100" i="23424"/>
  <c r="BC12" i="23424"/>
  <c r="BC28" i="23424"/>
  <c r="BC20" i="23424"/>
  <c r="BC66" i="23424"/>
  <c r="BC51" i="23424"/>
  <c r="BC92" i="23424"/>
  <c r="BC58" i="23424"/>
  <c r="AI201" i="23424"/>
  <c r="AI181" i="23424"/>
  <c r="AI161" i="23424"/>
  <c r="AI198" i="23424"/>
  <c r="AI195" i="23424"/>
  <c r="AI175" i="23424"/>
  <c r="AI192" i="23424"/>
  <c r="AI186" i="23424"/>
  <c r="AI194" i="23424"/>
  <c r="AI185" i="23424"/>
  <c r="AI183" i="23424"/>
  <c r="AI171" i="23424"/>
  <c r="AI137" i="23424"/>
  <c r="AI117" i="23424"/>
  <c r="AI184" i="23424"/>
  <c r="AI176" i="23424"/>
  <c r="AI160" i="23424"/>
  <c r="AI200" i="23424"/>
  <c r="AI190" i="23424"/>
  <c r="AI182" i="23424"/>
  <c r="AI196" i="23424"/>
  <c r="AI191" i="23424"/>
  <c r="AI180" i="23424"/>
  <c r="AI169" i="23424"/>
  <c r="AI159" i="23424"/>
  <c r="AI199" i="23424"/>
  <c r="AI197" i="23424"/>
  <c r="AI189" i="23424"/>
  <c r="AI166" i="23424"/>
  <c r="AI144" i="23424"/>
  <c r="AI127" i="23424"/>
  <c r="AI116" i="23424"/>
  <c r="AI149" i="23424"/>
  <c r="AI177" i="23424"/>
  <c r="AI138" i="23424"/>
  <c r="AI134" i="23424"/>
  <c r="AI179" i="23424"/>
  <c r="AI168" i="23424"/>
  <c r="AI148" i="23424"/>
  <c r="AI130" i="23424"/>
  <c r="AI188" i="23424"/>
  <c r="AI154" i="23424"/>
  <c r="AI129" i="23424"/>
  <c r="AI110" i="23424"/>
  <c r="AI128" i="23424"/>
  <c r="AI150" i="23424"/>
  <c r="AI145" i="23424"/>
  <c r="AI139" i="23424"/>
  <c r="AI122" i="23424"/>
  <c r="AI113" i="23424"/>
  <c r="AI193" i="23424"/>
  <c r="AI167" i="23424"/>
  <c r="AI165" i="23424"/>
  <c r="AI132" i="23424"/>
  <c r="AI170" i="23424"/>
  <c r="AI162" i="23424"/>
  <c r="AI156" i="23424"/>
  <c r="AI173" i="23424"/>
  <c r="AI151" i="23424"/>
  <c r="AI121" i="23424"/>
  <c r="AI143" i="23424"/>
  <c r="AI99" i="23424"/>
  <c r="AI178" i="23424"/>
  <c r="AI96" i="23424"/>
  <c r="AI93" i="23424"/>
  <c r="AI136" i="23424"/>
  <c r="AI133" i="23424"/>
  <c r="AI106" i="23424"/>
  <c r="AI164" i="23424"/>
  <c r="AI158" i="23424"/>
  <c r="AI152" i="23424"/>
  <c r="AI102" i="23424"/>
  <c r="AI87" i="23424"/>
  <c r="AI141" i="23424"/>
  <c r="AI146" i="23424"/>
  <c r="AI112" i="23424"/>
  <c r="AI98" i="23424"/>
  <c r="AI142" i="23424"/>
  <c r="AI124" i="23424"/>
  <c r="AI94" i="23424"/>
  <c r="AI89" i="23424"/>
  <c r="AI73" i="23424"/>
  <c r="AI104" i="23424"/>
  <c r="AI103" i="23424"/>
  <c r="AI97" i="23424"/>
  <c r="AI120" i="23424"/>
  <c r="AI108" i="23424"/>
  <c r="AI91" i="23424"/>
  <c r="AI67" i="23424"/>
  <c r="AI174" i="23424"/>
  <c r="AI118" i="23424"/>
  <c r="AI105" i="23424"/>
  <c r="AI84" i="23424"/>
  <c r="AI172" i="23424"/>
  <c r="AI109" i="23424"/>
  <c r="AI88" i="23424"/>
  <c r="AI81" i="23424"/>
  <c r="AI187" i="23424"/>
  <c r="AI155" i="23424"/>
  <c r="AI101" i="23424"/>
  <c r="AI100" i="23424"/>
  <c r="AI157" i="23424"/>
  <c r="AI163" i="23424"/>
  <c r="AI70" i="23424"/>
  <c r="AI65" i="23424"/>
  <c r="AI50" i="23424"/>
  <c r="AI30" i="23424"/>
  <c r="AI10" i="23424"/>
  <c r="AI47" i="23424"/>
  <c r="AI27" i="23424"/>
  <c r="AI135" i="23424"/>
  <c r="AI115" i="23424"/>
  <c r="AI64" i="23424"/>
  <c r="AI44" i="23424"/>
  <c r="AI24" i="23424"/>
  <c r="AI69" i="23424"/>
  <c r="AI61" i="23424"/>
  <c r="AI41" i="23424"/>
  <c r="AI21" i="23424"/>
  <c r="AI58" i="23424"/>
  <c r="AI38" i="23424"/>
  <c r="AI18" i="23424"/>
  <c r="AI86" i="23424"/>
  <c r="AI78" i="23424"/>
  <c r="AI77" i="23424"/>
  <c r="AI85" i="23424"/>
  <c r="AI75" i="23424"/>
  <c r="AI76" i="23424"/>
  <c r="AI49" i="23424"/>
  <c r="AI29" i="23424"/>
  <c r="AI123" i="23424"/>
  <c r="AI90" i="23424"/>
  <c r="AI147" i="23424"/>
  <c r="AI126" i="23424"/>
  <c r="AI82" i="23424"/>
  <c r="AI63" i="23424"/>
  <c r="AI62" i="23424"/>
  <c r="AI48" i="23424"/>
  <c r="AI43" i="23424"/>
  <c r="AI25" i="23424"/>
  <c r="AI42" i="23424"/>
  <c r="AI111" i="23424"/>
  <c r="AI74" i="23424"/>
  <c r="AI57" i="23424"/>
  <c r="AI56" i="23424"/>
  <c r="AI17" i="23424"/>
  <c r="AI51" i="23424"/>
  <c r="AI131" i="23424"/>
  <c r="AI34" i="23424"/>
  <c r="AI16" i="23424"/>
  <c r="AI71" i="23424"/>
  <c r="AI66" i="23424"/>
  <c r="AI35" i="23424"/>
  <c r="AI33" i="23424"/>
  <c r="AI26" i="23424"/>
  <c r="AI125" i="23424"/>
  <c r="AI119" i="23424"/>
  <c r="AI60" i="23424"/>
  <c r="AI52" i="23424"/>
  <c r="AI11" i="23424"/>
  <c r="AI79" i="23424"/>
  <c r="AI72" i="23424"/>
  <c r="AI59" i="23424"/>
  <c r="AI20" i="23424"/>
  <c r="AI92" i="23424"/>
  <c r="AI153" i="23424"/>
  <c r="AI14" i="23424"/>
  <c r="AI19" i="23424"/>
  <c r="AI83" i="23424"/>
  <c r="AI12" i="23424"/>
  <c r="AI22" i="23424"/>
  <c r="AI45" i="23424"/>
  <c r="AI68" i="23424"/>
  <c r="AI40" i="23424"/>
  <c r="AI55" i="23424"/>
  <c r="AI53" i="23424"/>
  <c r="AI37" i="23424"/>
  <c r="AI32" i="23424"/>
  <c r="AI80" i="23424"/>
  <c r="AI107" i="23424"/>
  <c r="AI39" i="23424"/>
  <c r="AI31" i="23424"/>
  <c r="AI114" i="23424"/>
  <c r="AI23" i="23424"/>
  <c r="AI95" i="23424"/>
  <c r="AI46" i="23424"/>
  <c r="AI54" i="23424"/>
  <c r="AI15" i="23424"/>
  <c r="AI13" i="23424"/>
  <c r="AI36" i="23424"/>
  <c r="AI28" i="23424"/>
  <c r="AI140" i="23424"/>
  <c r="AZ196" i="23424"/>
  <c r="AZ176" i="23424"/>
  <c r="AZ156" i="23424"/>
  <c r="AZ193" i="23424"/>
  <c r="AZ190" i="23424"/>
  <c r="AZ170" i="23424"/>
  <c r="AZ187" i="23424"/>
  <c r="AZ201" i="23424"/>
  <c r="AZ189" i="23424"/>
  <c r="AZ200" i="23424"/>
  <c r="AZ197" i="23424"/>
  <c r="AZ178" i="23424"/>
  <c r="AZ173" i="23424"/>
  <c r="AZ157" i="23424"/>
  <c r="AZ153" i="23424"/>
  <c r="AZ132" i="23424"/>
  <c r="AZ192" i="23424"/>
  <c r="AZ172" i="23424"/>
  <c r="AZ167" i="23424"/>
  <c r="AZ162" i="23424"/>
  <c r="AZ188" i="23424"/>
  <c r="AZ198" i="23424"/>
  <c r="AZ171" i="23424"/>
  <c r="AZ186" i="23424"/>
  <c r="AZ184" i="23424"/>
  <c r="AZ128" i="23424"/>
  <c r="AZ117" i="23424"/>
  <c r="AZ111" i="23424"/>
  <c r="AZ152" i="23424"/>
  <c r="AZ181" i="23424"/>
  <c r="AZ145" i="23424"/>
  <c r="AZ140" i="23424"/>
  <c r="AZ175" i="23424"/>
  <c r="AZ164" i="23424"/>
  <c r="AZ163" i="23424"/>
  <c r="AZ135" i="23424"/>
  <c r="AZ131" i="23424"/>
  <c r="AZ199" i="23424"/>
  <c r="AZ182" i="23424"/>
  <c r="AZ138" i="23424"/>
  <c r="AZ191" i="23424"/>
  <c r="AZ194" i="23424"/>
  <c r="AZ105" i="23424"/>
  <c r="AZ124" i="23424"/>
  <c r="AZ119" i="23424"/>
  <c r="AZ160" i="23424"/>
  <c r="AZ143" i="23424"/>
  <c r="AZ137" i="23424"/>
  <c r="AZ136" i="23424"/>
  <c r="AZ168" i="23424"/>
  <c r="AZ114" i="23424"/>
  <c r="AZ166" i="23424"/>
  <c r="AZ158" i="23424"/>
  <c r="AZ144" i="23424"/>
  <c r="AZ115" i="23424"/>
  <c r="AZ109" i="23424"/>
  <c r="AZ100" i="23424"/>
  <c r="AZ94" i="23424"/>
  <c r="AZ161" i="23424"/>
  <c r="AZ146" i="23424"/>
  <c r="AZ141" i="23424"/>
  <c r="AZ91" i="23424"/>
  <c r="AZ177" i="23424"/>
  <c r="AZ88" i="23424"/>
  <c r="AZ134" i="23424"/>
  <c r="AZ129" i="23424"/>
  <c r="AZ118" i="23424"/>
  <c r="AZ183" i="23424"/>
  <c r="AZ126" i="23424"/>
  <c r="AZ125" i="23424"/>
  <c r="AZ108" i="23424"/>
  <c r="AZ103" i="23424"/>
  <c r="AZ149" i="23424"/>
  <c r="AZ155" i="23424"/>
  <c r="AZ142" i="23424"/>
  <c r="AZ180" i="23424"/>
  <c r="AZ179" i="23424"/>
  <c r="AZ169" i="23424"/>
  <c r="AZ150" i="23424"/>
  <c r="AZ116" i="23424"/>
  <c r="AZ68" i="23424"/>
  <c r="AZ85" i="23424"/>
  <c r="AZ110" i="23424"/>
  <c r="AZ102" i="23424"/>
  <c r="AZ82" i="23424"/>
  <c r="AZ79" i="23424"/>
  <c r="AZ121" i="23424"/>
  <c r="AZ107" i="23424"/>
  <c r="AZ76" i="23424"/>
  <c r="AZ185" i="23424"/>
  <c r="AZ165" i="23424"/>
  <c r="AZ154" i="23424"/>
  <c r="AZ90" i="23424"/>
  <c r="AZ133" i="23424"/>
  <c r="AZ87" i="23424"/>
  <c r="AZ45" i="23424"/>
  <c r="AZ25" i="23424"/>
  <c r="AZ151" i="23424"/>
  <c r="AZ112" i="23424"/>
  <c r="AZ81" i="23424"/>
  <c r="AZ72" i="23424"/>
  <c r="AZ62" i="23424"/>
  <c r="AZ42" i="23424"/>
  <c r="AZ22" i="23424"/>
  <c r="AZ120" i="23424"/>
  <c r="AZ80" i="23424"/>
  <c r="AZ66" i="23424"/>
  <c r="AZ59" i="23424"/>
  <c r="AZ39" i="23424"/>
  <c r="AZ19" i="23424"/>
  <c r="AZ16" i="23424"/>
  <c r="AZ127" i="23424"/>
  <c r="AZ56" i="23424"/>
  <c r="AZ36" i="23424"/>
  <c r="AZ53" i="23424"/>
  <c r="AZ33" i="23424"/>
  <c r="AZ13" i="23424"/>
  <c r="AZ101" i="23424"/>
  <c r="AZ99" i="23424"/>
  <c r="AZ71" i="23424"/>
  <c r="AZ174" i="23424"/>
  <c r="AZ123" i="23424"/>
  <c r="AZ93" i="23424"/>
  <c r="AZ70" i="23424"/>
  <c r="AZ65" i="23424"/>
  <c r="AZ159" i="23424"/>
  <c r="AZ97" i="23424"/>
  <c r="AZ95" i="23424"/>
  <c r="AZ44" i="23424"/>
  <c r="AZ24" i="23424"/>
  <c r="AZ139" i="23424"/>
  <c r="AZ89" i="23424"/>
  <c r="AZ104" i="23424"/>
  <c r="AZ21" i="23424"/>
  <c r="AZ15" i="23424"/>
  <c r="AZ31" i="23424"/>
  <c r="AZ77" i="23424"/>
  <c r="AZ38" i="23424"/>
  <c r="AZ29" i="23424"/>
  <c r="AZ130" i="23424"/>
  <c r="AZ96" i="23424"/>
  <c r="AZ75" i="23424"/>
  <c r="AZ67" i="23424"/>
  <c r="AZ61" i="23424"/>
  <c r="AZ37" i="23424"/>
  <c r="AZ28" i="23424"/>
  <c r="AZ47" i="23424"/>
  <c r="AZ32" i="23424"/>
  <c r="AZ83" i="23424"/>
  <c r="AZ55" i="23424"/>
  <c r="AZ54" i="23424"/>
  <c r="AZ46" i="23424"/>
  <c r="AZ30" i="23424"/>
  <c r="AZ14" i="23424"/>
  <c r="AZ122" i="23424"/>
  <c r="AZ195" i="23424"/>
  <c r="AZ23" i="23424"/>
  <c r="AZ86" i="23424"/>
  <c r="AZ40" i="23424"/>
  <c r="AZ98" i="23424"/>
  <c r="AZ92" i="23424"/>
  <c r="AZ35" i="23424"/>
  <c r="AZ12" i="23424"/>
  <c r="AZ10" i="23424"/>
  <c r="AZ63" i="23424"/>
  <c r="AZ148" i="23424"/>
  <c r="AZ147" i="23424"/>
  <c r="AZ17" i="23424"/>
  <c r="AZ84" i="23424"/>
  <c r="AZ64" i="23424"/>
  <c r="AZ27" i="23424"/>
  <c r="AZ52" i="23424"/>
  <c r="AZ74" i="23424"/>
  <c r="AZ73" i="23424"/>
  <c r="AZ50" i="23424"/>
  <c r="AZ78" i="23424"/>
  <c r="AZ60" i="23424"/>
  <c r="AZ57" i="23424"/>
  <c r="AZ49" i="23424"/>
  <c r="AZ34" i="23424"/>
  <c r="AZ41" i="23424"/>
  <c r="AZ18" i="23424"/>
  <c r="AZ11" i="23424"/>
  <c r="AZ106" i="23424"/>
  <c r="AZ51" i="23424"/>
  <c r="AZ43" i="23424"/>
  <c r="AZ48" i="23424"/>
  <c r="AZ20" i="23424"/>
  <c r="AZ69" i="23424"/>
  <c r="AZ58" i="23424"/>
  <c r="AZ26" i="23424"/>
  <c r="AZ113" i="23424"/>
  <c r="AA199" i="23424"/>
  <c r="AA179" i="23424"/>
  <c r="AA159" i="23424"/>
  <c r="AA196" i="23424"/>
  <c r="AA193" i="23424"/>
  <c r="AA173" i="23424"/>
  <c r="AA190" i="23424"/>
  <c r="AA192" i="23424"/>
  <c r="AA153" i="23424"/>
  <c r="AA135" i="23424"/>
  <c r="AA189" i="23424"/>
  <c r="AA172" i="23424"/>
  <c r="AA167" i="23424"/>
  <c r="AA162" i="23424"/>
  <c r="AA194" i="23424"/>
  <c r="AA184" i="23424"/>
  <c r="AA195" i="23424"/>
  <c r="AA200" i="23424"/>
  <c r="AA176" i="23424"/>
  <c r="AA201" i="23424"/>
  <c r="AA198" i="23424"/>
  <c r="AA174" i="23424"/>
  <c r="AA128" i="23424"/>
  <c r="AA117" i="23424"/>
  <c r="AA114" i="23424"/>
  <c r="AA185" i="23424"/>
  <c r="AA165" i="23424"/>
  <c r="AA151" i="23424"/>
  <c r="AA145" i="23424"/>
  <c r="AA140" i="23424"/>
  <c r="AA197" i="23424"/>
  <c r="AA183" i="23424"/>
  <c r="AA139" i="23424"/>
  <c r="AA131" i="23424"/>
  <c r="AA191" i="23424"/>
  <c r="AA186" i="23424"/>
  <c r="AA169" i="23424"/>
  <c r="AA157" i="23424"/>
  <c r="AA148" i="23424"/>
  <c r="AA182" i="23424"/>
  <c r="AA164" i="23424"/>
  <c r="AA161" i="23424"/>
  <c r="AA124" i="23424"/>
  <c r="AA119" i="23424"/>
  <c r="AA108" i="23424"/>
  <c r="AA154" i="23424"/>
  <c r="AA144" i="23424"/>
  <c r="AA177" i="23424"/>
  <c r="AA175" i="23424"/>
  <c r="AA150" i="23424"/>
  <c r="AA130" i="23424"/>
  <c r="AA123" i="23424"/>
  <c r="AA181" i="23424"/>
  <c r="AA170" i="23424"/>
  <c r="AA160" i="23424"/>
  <c r="AA132" i="23424"/>
  <c r="AA100" i="23424"/>
  <c r="AA97" i="23424"/>
  <c r="AA138" i="23424"/>
  <c r="AA94" i="23424"/>
  <c r="AA127" i="23424"/>
  <c r="AA120" i="23424"/>
  <c r="AA91" i="23424"/>
  <c r="AA178" i="23424"/>
  <c r="AA171" i="23424"/>
  <c r="AA168" i="23424"/>
  <c r="AA143" i="23424"/>
  <c r="AA121" i="23424"/>
  <c r="AA107" i="23424"/>
  <c r="AA103" i="23424"/>
  <c r="AA188" i="23424"/>
  <c r="AA156" i="23424"/>
  <c r="AA133" i="23424"/>
  <c r="AA96" i="23424"/>
  <c r="AA71" i="23424"/>
  <c r="AA136" i="23424"/>
  <c r="AA180" i="23424"/>
  <c r="AA146" i="23424"/>
  <c r="AA85" i="23424"/>
  <c r="AA65" i="23424"/>
  <c r="AA142" i="23424"/>
  <c r="AA122" i="23424"/>
  <c r="AA112" i="23424"/>
  <c r="AA93" i="23424"/>
  <c r="AA82" i="23424"/>
  <c r="AA95" i="23424"/>
  <c r="AA90" i="23424"/>
  <c r="AA79" i="23424"/>
  <c r="AA187" i="23424"/>
  <c r="AA155" i="23424"/>
  <c r="AA104" i="23424"/>
  <c r="AA99" i="23424"/>
  <c r="AA118" i="23424"/>
  <c r="AA48" i="23424"/>
  <c r="AA28" i="23424"/>
  <c r="AA166" i="23424"/>
  <c r="AA66" i="23424"/>
  <c r="AA45" i="23424"/>
  <c r="AA25" i="23424"/>
  <c r="AA147" i="23424"/>
  <c r="AA125" i="23424"/>
  <c r="AA102" i="23424"/>
  <c r="AA62" i="23424"/>
  <c r="AA42" i="23424"/>
  <c r="AA22" i="23424"/>
  <c r="AA19" i="23424"/>
  <c r="AA152" i="23424"/>
  <c r="AA115" i="23424"/>
  <c r="AA83" i="23424"/>
  <c r="AA59" i="23424"/>
  <c r="AA39" i="23424"/>
  <c r="AA163" i="23424"/>
  <c r="AA98" i="23424"/>
  <c r="AA89" i="23424"/>
  <c r="AA84" i="23424"/>
  <c r="AA56" i="23424"/>
  <c r="AA36" i="23424"/>
  <c r="AA16" i="23424"/>
  <c r="AA106" i="23424"/>
  <c r="AA70" i="23424"/>
  <c r="AA158" i="23424"/>
  <c r="AA134" i="23424"/>
  <c r="AA110" i="23424"/>
  <c r="AA47" i="23424"/>
  <c r="AA27" i="23424"/>
  <c r="AA87" i="23424"/>
  <c r="AA149" i="23424"/>
  <c r="AA92" i="23424"/>
  <c r="AA73" i="23424"/>
  <c r="AA15" i="23424"/>
  <c r="AA14" i="23424"/>
  <c r="AA33" i="23424"/>
  <c r="AA17" i="23424"/>
  <c r="AA80" i="23424"/>
  <c r="AA23" i="23424"/>
  <c r="AA58" i="23424"/>
  <c r="AA126" i="23424"/>
  <c r="AA40" i="23424"/>
  <c r="AA32" i="23424"/>
  <c r="AA31" i="23424"/>
  <c r="AA69" i="23424"/>
  <c r="AA41" i="23424"/>
  <c r="AA24" i="23424"/>
  <c r="AA49" i="23424"/>
  <c r="AA129" i="23424"/>
  <c r="AA111" i="23424"/>
  <c r="AA63" i="23424"/>
  <c r="AA74" i="23424"/>
  <c r="AA57" i="23424"/>
  <c r="AA18" i="23424"/>
  <c r="AA141" i="23424"/>
  <c r="AA101" i="23424"/>
  <c r="AA81" i="23424"/>
  <c r="AA50" i="23424"/>
  <c r="AA75" i="23424"/>
  <c r="AA113" i="23424"/>
  <c r="AA105" i="23424"/>
  <c r="AA88" i="23424"/>
  <c r="AA54" i="23424"/>
  <c r="AA46" i="23424"/>
  <c r="AA38" i="23424"/>
  <c r="AA51" i="23424"/>
  <c r="AA137" i="23424"/>
  <c r="AA60" i="23424"/>
  <c r="AA86" i="23424"/>
  <c r="AA30" i="23424"/>
  <c r="AA43" i="23424"/>
  <c r="AA61" i="23424"/>
  <c r="AA20" i="23424"/>
  <c r="AA29" i="23424"/>
  <c r="AA64" i="23424"/>
  <c r="AA35" i="23424"/>
  <c r="AA109" i="23424"/>
  <c r="AA53" i="23424"/>
  <c r="AA12" i="23424"/>
  <c r="AA10" i="23424"/>
  <c r="AA68" i="23424"/>
  <c r="AA55" i="23424"/>
  <c r="AA78" i="23424"/>
  <c r="AA37" i="23424"/>
  <c r="AA77" i="23424"/>
  <c r="AA72" i="23424"/>
  <c r="AA34" i="23424"/>
  <c r="AA11" i="23424"/>
  <c r="AA21" i="23424"/>
  <c r="AA76" i="23424"/>
  <c r="AA44" i="23424"/>
  <c r="AA52" i="23424"/>
  <c r="AA67" i="23424"/>
  <c r="AA26" i="23424"/>
  <c r="AA116" i="23424"/>
  <c r="AA13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BB11" i="23424" l="1"/>
  <c r="BA11" i="23424"/>
  <c r="AU15" i="23424"/>
  <c r="AT15" i="23424"/>
  <c r="AB29" i="23424"/>
  <c r="AC29" i="23424"/>
  <c r="AK117" i="23424"/>
  <c r="AJ117" i="23424"/>
  <c r="AC20" i="23424"/>
  <c r="AB20" i="23424"/>
  <c r="AU50" i="23424"/>
  <c r="AT50" i="23424"/>
  <c r="AC52" i="23424"/>
  <c r="AB52" i="23424"/>
  <c r="BE94" i="23424"/>
  <c r="BD94" i="23424"/>
  <c r="AB44" i="23424"/>
  <c r="AC44" i="23424"/>
  <c r="AN152" i="23424"/>
  <c r="AO152" i="23424"/>
  <c r="AC60" i="23424"/>
  <c r="AB60" i="23424"/>
  <c r="BE126" i="23424"/>
  <c r="BD126" i="23424"/>
  <c r="BB15" i="23424"/>
  <c r="BA15" i="23424"/>
  <c r="AT195" i="23424"/>
  <c r="AU195" i="23424"/>
  <c r="AO137" i="23424"/>
  <c r="AN137" i="23424"/>
  <c r="AC13" i="23424"/>
  <c r="AB13" i="23424"/>
  <c r="AB35" i="23424"/>
  <c r="AC35" i="23424"/>
  <c r="AB101" i="23424"/>
  <c r="AC101" i="23424"/>
  <c r="AC33" i="23424"/>
  <c r="AB33" i="23424"/>
  <c r="AC163" i="23424"/>
  <c r="AB163" i="23424"/>
  <c r="AC99" i="23424"/>
  <c r="AB99" i="23424"/>
  <c r="AB156" i="23424"/>
  <c r="AC156" i="23424"/>
  <c r="AC123" i="23424"/>
  <c r="AB123" i="23424"/>
  <c r="AC183" i="23424"/>
  <c r="AB183" i="23424"/>
  <c r="AB172" i="23424"/>
  <c r="AC172" i="23424"/>
  <c r="BB106" i="23424"/>
  <c r="BA106" i="23424"/>
  <c r="BB10" i="23424"/>
  <c r="BA10" i="23424"/>
  <c r="BA61" i="23424"/>
  <c r="BB61" i="23424"/>
  <c r="BB70" i="23424"/>
  <c r="BA70" i="23424"/>
  <c r="BA22" i="23424"/>
  <c r="BB22" i="23424"/>
  <c r="BA102" i="23424"/>
  <c r="BB102" i="23424"/>
  <c r="BB88" i="23424"/>
  <c r="BA88" i="23424"/>
  <c r="BA124" i="23424"/>
  <c r="BB124" i="23424"/>
  <c r="BA186" i="23424"/>
  <c r="BB186" i="23424"/>
  <c r="BA193" i="23424"/>
  <c r="BB193" i="23424"/>
  <c r="AK53" i="23424"/>
  <c r="AJ53" i="23424"/>
  <c r="AK125" i="23424"/>
  <c r="AJ125" i="23424"/>
  <c r="AK63" i="23424"/>
  <c r="AJ63" i="23424"/>
  <c r="AK69" i="23424"/>
  <c r="AJ69" i="23424"/>
  <c r="AK88" i="23424"/>
  <c r="AJ88" i="23424"/>
  <c r="AK112" i="23424"/>
  <c r="AJ112" i="23424"/>
  <c r="AJ162" i="23424"/>
  <c r="AK162" i="23424"/>
  <c r="AJ134" i="23424"/>
  <c r="AK134" i="23424"/>
  <c r="AK176" i="23424"/>
  <c r="AJ176" i="23424"/>
  <c r="BE20" i="23424"/>
  <c r="BD20" i="23424"/>
  <c r="BE21" i="23424"/>
  <c r="BD21" i="23424"/>
  <c r="BE49" i="23424"/>
  <c r="BD49" i="23424"/>
  <c r="BD39" i="23424"/>
  <c r="BE39" i="23424"/>
  <c r="BE24" i="23424"/>
  <c r="BD24" i="23424"/>
  <c r="BE56" i="23424"/>
  <c r="BD56" i="23424"/>
  <c r="BE121" i="23424"/>
  <c r="BD121" i="23424"/>
  <c r="BD183" i="23424"/>
  <c r="BE183" i="23424"/>
  <c r="BD131" i="23424"/>
  <c r="BE131" i="23424"/>
  <c r="BE192" i="23424"/>
  <c r="BD192" i="23424"/>
  <c r="BH36" i="23424"/>
  <c r="BG36" i="23424"/>
  <c r="BH80" i="23424"/>
  <c r="BG80" i="23424"/>
  <c r="BH40" i="23424"/>
  <c r="BG40" i="23424"/>
  <c r="BH55" i="23424"/>
  <c r="BG55" i="23424"/>
  <c r="BG124" i="23424"/>
  <c r="BH124" i="23424"/>
  <c r="BH64" i="23424"/>
  <c r="BG64" i="23424"/>
  <c r="BG167" i="23424"/>
  <c r="BH167" i="23424"/>
  <c r="BH138" i="23424"/>
  <c r="BG138" i="23424"/>
  <c r="BG175" i="23424"/>
  <c r="BH175" i="23424"/>
  <c r="AQ33" i="23424"/>
  <c r="AR33" i="23424"/>
  <c r="AR21" i="23424"/>
  <c r="AQ21" i="23424"/>
  <c r="AR84" i="23424"/>
  <c r="AQ84" i="23424"/>
  <c r="AR11" i="23424"/>
  <c r="AQ11" i="23424"/>
  <c r="AR63" i="23424"/>
  <c r="AQ63" i="23424"/>
  <c r="AR106" i="23424"/>
  <c r="AQ106" i="23424"/>
  <c r="AR110" i="23424"/>
  <c r="AQ110" i="23424"/>
  <c r="AR112" i="23424"/>
  <c r="AQ112" i="23424"/>
  <c r="AR154" i="23424"/>
  <c r="AQ154" i="23424"/>
  <c r="AQ175" i="23424"/>
  <c r="AR175" i="23424"/>
  <c r="AG23" i="23424"/>
  <c r="AF23" i="23424"/>
  <c r="AG198" i="23424"/>
  <c r="AF198" i="23424"/>
  <c r="AG49" i="23424"/>
  <c r="AF49" i="23424"/>
  <c r="AG27" i="23424"/>
  <c r="AF27" i="23424"/>
  <c r="AF39" i="23424"/>
  <c r="AG39" i="23424"/>
  <c r="AG115" i="23424"/>
  <c r="AF115" i="23424"/>
  <c r="AF122" i="23424"/>
  <c r="AG122" i="23424"/>
  <c r="AG159" i="23424"/>
  <c r="AF159" i="23424"/>
  <c r="AF176" i="23424"/>
  <c r="AG176" i="23424"/>
  <c r="AF187" i="23424"/>
  <c r="AG187" i="23424"/>
  <c r="AX78" i="23424"/>
  <c r="AY78" i="23424"/>
  <c r="AY65" i="23424"/>
  <c r="AX65" i="23424"/>
  <c r="AX52" i="23424"/>
  <c r="AY52" i="23424"/>
  <c r="AY25" i="23424"/>
  <c r="AX25" i="23424"/>
  <c r="AY128" i="23424"/>
  <c r="AX128" i="23424"/>
  <c r="AX126" i="23424"/>
  <c r="AY126" i="23424"/>
  <c r="AY172" i="23424"/>
  <c r="AX172" i="23424"/>
  <c r="AY153" i="23424"/>
  <c r="AX153" i="23424"/>
  <c r="AY201" i="23424"/>
  <c r="AX201" i="23424"/>
  <c r="AO13" i="23424"/>
  <c r="AN13" i="23424"/>
  <c r="AO14" i="23424"/>
  <c r="AN14" i="23424"/>
  <c r="AN103" i="23424"/>
  <c r="AO103" i="23424"/>
  <c r="AO114" i="23424"/>
  <c r="AN114" i="23424"/>
  <c r="AO77" i="23424"/>
  <c r="AN77" i="23424"/>
  <c r="AN149" i="23424"/>
  <c r="AO149" i="23424"/>
  <c r="AN112" i="23424"/>
  <c r="AO112" i="23424"/>
  <c r="AN127" i="23424"/>
  <c r="AO127" i="23424"/>
  <c r="AN179" i="23424"/>
  <c r="AO179" i="23424"/>
  <c r="AO185" i="23424"/>
  <c r="AN185" i="23424"/>
  <c r="AU138" i="23424"/>
  <c r="AT138" i="23424"/>
  <c r="AU61" i="23424"/>
  <c r="AT61" i="23424"/>
  <c r="AU45" i="23424"/>
  <c r="AT45" i="23424"/>
  <c r="AU73" i="23424"/>
  <c r="AT73" i="23424"/>
  <c r="AT23" i="23424"/>
  <c r="AU23" i="23424"/>
  <c r="AU105" i="23424"/>
  <c r="AT105" i="23424"/>
  <c r="AU92" i="23424"/>
  <c r="AT92" i="23424"/>
  <c r="AT151" i="23424"/>
  <c r="AU151" i="23424"/>
  <c r="AU200" i="23424"/>
  <c r="AT200" i="23424"/>
  <c r="AC14" i="23424"/>
  <c r="AB14" i="23424"/>
  <c r="BB67" i="23424"/>
  <c r="BA67" i="23424"/>
  <c r="AC18" i="23424"/>
  <c r="AB18" i="23424"/>
  <c r="AU197" i="23424"/>
  <c r="AT197" i="23424"/>
  <c r="AC73" i="23424"/>
  <c r="AB73" i="23424"/>
  <c r="BA92" i="23424"/>
  <c r="BB92" i="23424"/>
  <c r="AT98" i="23424"/>
  <c r="AU98" i="23424"/>
  <c r="AK123" i="23424"/>
  <c r="AJ123" i="23424"/>
  <c r="BG199" i="23424"/>
  <c r="BH199" i="23424"/>
  <c r="AG157" i="23424"/>
  <c r="AF157" i="23424"/>
  <c r="AY85" i="23424"/>
  <c r="AX85" i="23424"/>
  <c r="AO44" i="23424"/>
  <c r="AN44" i="23424"/>
  <c r="AO68" i="23424"/>
  <c r="AN68" i="23424"/>
  <c r="AO78" i="23424"/>
  <c r="AN78" i="23424"/>
  <c r="AO90" i="23424"/>
  <c r="AN90" i="23424"/>
  <c r="AN113" i="23424"/>
  <c r="AO113" i="23424"/>
  <c r="AO157" i="23424"/>
  <c r="AN157" i="23424"/>
  <c r="AU158" i="23424"/>
  <c r="AT158" i="23424"/>
  <c r="AB76" i="23424"/>
  <c r="AC76" i="23424"/>
  <c r="AC30" i="23424"/>
  <c r="AB30" i="23424"/>
  <c r="AB111" i="23424"/>
  <c r="AC111" i="23424"/>
  <c r="AC87" i="23424"/>
  <c r="AB87" i="23424"/>
  <c r="AC19" i="23424"/>
  <c r="AB19" i="23424"/>
  <c r="AC95" i="23424"/>
  <c r="AB95" i="23424"/>
  <c r="AB168" i="23424"/>
  <c r="AC168" i="23424"/>
  <c r="AB154" i="23424"/>
  <c r="AC154" i="23424"/>
  <c r="AC185" i="23424"/>
  <c r="AB185" i="23424"/>
  <c r="AC173" i="23424"/>
  <c r="AB173" i="23424"/>
  <c r="BB57" i="23424"/>
  <c r="BA57" i="23424"/>
  <c r="BB86" i="23424"/>
  <c r="BA86" i="23424"/>
  <c r="BB38" i="23424"/>
  <c r="BA38" i="23424"/>
  <c r="BB101" i="23424"/>
  <c r="BA101" i="23424"/>
  <c r="BB151" i="23424"/>
  <c r="BA151" i="23424"/>
  <c r="BB169" i="23424"/>
  <c r="BA169" i="23424"/>
  <c r="BB94" i="23424"/>
  <c r="BA94" i="23424"/>
  <c r="BB199" i="23424"/>
  <c r="BA199" i="23424"/>
  <c r="BB172" i="23424"/>
  <c r="BA172" i="23424"/>
  <c r="AK36" i="23424"/>
  <c r="AJ36" i="23424"/>
  <c r="AK12" i="23424"/>
  <c r="AJ12" i="23424"/>
  <c r="AK16" i="23424"/>
  <c r="AJ16" i="23424"/>
  <c r="AK29" i="23424"/>
  <c r="AJ29" i="23424"/>
  <c r="AJ27" i="23424"/>
  <c r="AK27" i="23424"/>
  <c r="AK174" i="23424"/>
  <c r="AJ174" i="23424"/>
  <c r="AJ158" i="23424"/>
  <c r="AK158" i="23424"/>
  <c r="AJ113" i="23424"/>
  <c r="AK113" i="23424"/>
  <c r="AK144" i="23424"/>
  <c r="AJ144" i="23424"/>
  <c r="AJ185" i="23424"/>
  <c r="AK185" i="23424"/>
  <c r="BE17" i="23424"/>
  <c r="BD17" i="23424"/>
  <c r="BE63" i="23424"/>
  <c r="BD63" i="23424"/>
  <c r="BE31" i="23424"/>
  <c r="BD31" i="23424"/>
  <c r="BE15" i="23424"/>
  <c r="BD15" i="23424"/>
  <c r="BE27" i="23424"/>
  <c r="BD27" i="23424"/>
  <c r="BE148" i="23424"/>
  <c r="BD148" i="23424"/>
  <c r="BE107" i="23424"/>
  <c r="BD107" i="23424"/>
  <c r="BE138" i="23424"/>
  <c r="BD138" i="23424"/>
  <c r="BD151" i="23424"/>
  <c r="BE151" i="23424"/>
  <c r="BD167" i="23424"/>
  <c r="BE167" i="23424"/>
  <c r="BH54" i="23424"/>
  <c r="BG54" i="23424"/>
  <c r="BG100" i="23424"/>
  <c r="BH100" i="23424"/>
  <c r="BG23" i="23424"/>
  <c r="BH23" i="23424"/>
  <c r="BH58" i="23424"/>
  <c r="BG58" i="23424"/>
  <c r="BH135" i="23424"/>
  <c r="BG135" i="23424"/>
  <c r="BH95" i="23424"/>
  <c r="BG95" i="23424"/>
  <c r="BH126" i="23424"/>
  <c r="BG126" i="23424"/>
  <c r="BG156" i="23424"/>
  <c r="BH156" i="23424"/>
  <c r="BH193" i="23424"/>
  <c r="BG193" i="23424"/>
  <c r="AQ88" i="23424"/>
  <c r="AR88" i="23424"/>
  <c r="AR57" i="23424"/>
  <c r="AQ57" i="23424"/>
  <c r="AR81" i="23424"/>
  <c r="AQ81" i="23424"/>
  <c r="AR79" i="23424"/>
  <c r="AQ79" i="23424"/>
  <c r="AR26" i="23424"/>
  <c r="AQ26" i="23424"/>
  <c r="AR113" i="23424"/>
  <c r="AQ113" i="23424"/>
  <c r="AQ115" i="23424"/>
  <c r="AR115" i="23424"/>
  <c r="AQ121" i="23424"/>
  <c r="AR121" i="23424"/>
  <c r="AQ156" i="23424"/>
  <c r="AR156" i="23424"/>
  <c r="AR177" i="23424"/>
  <c r="AQ177" i="23424"/>
  <c r="AG45" i="23424"/>
  <c r="AF45" i="23424"/>
  <c r="AF66" i="23424"/>
  <c r="AG66" i="23424"/>
  <c r="AF40" i="23424"/>
  <c r="AG40" i="23424"/>
  <c r="AG50" i="23424"/>
  <c r="AF50" i="23424"/>
  <c r="AG81" i="23424"/>
  <c r="AF81" i="23424"/>
  <c r="AG173" i="23424"/>
  <c r="AF173" i="23424"/>
  <c r="AG127" i="23424"/>
  <c r="AF127" i="23424"/>
  <c r="AF130" i="23424"/>
  <c r="AG130" i="23424"/>
  <c r="AF182" i="23424"/>
  <c r="AG182" i="23424"/>
  <c r="AY41" i="23424"/>
  <c r="AX41" i="23424"/>
  <c r="AY64" i="23424"/>
  <c r="AX64" i="23424"/>
  <c r="AY29" i="23424"/>
  <c r="AX29" i="23424"/>
  <c r="AY53" i="23424"/>
  <c r="AX53" i="23424"/>
  <c r="AY48" i="23424"/>
  <c r="AX48" i="23424"/>
  <c r="AX145" i="23424"/>
  <c r="AY145" i="23424"/>
  <c r="AX144" i="23424"/>
  <c r="AY144" i="23424"/>
  <c r="AY108" i="23424"/>
  <c r="AX108" i="23424"/>
  <c r="AX161" i="23424"/>
  <c r="AY161" i="23424"/>
  <c r="AY189" i="23424"/>
  <c r="AX189" i="23424"/>
  <c r="AN57" i="23424"/>
  <c r="AO57" i="23424"/>
  <c r="AN80" i="23424"/>
  <c r="AO80" i="23424"/>
  <c r="AN33" i="23424"/>
  <c r="AO33" i="23424"/>
  <c r="AO92" i="23424"/>
  <c r="AN92" i="23424"/>
  <c r="AO12" i="23424"/>
  <c r="AN12" i="23424"/>
  <c r="AO174" i="23424"/>
  <c r="AN174" i="23424"/>
  <c r="AN106" i="23424"/>
  <c r="AO106" i="23424"/>
  <c r="AO159" i="23424"/>
  <c r="AN159" i="23424"/>
  <c r="AO201" i="23424"/>
  <c r="AN201" i="23424"/>
  <c r="AO172" i="23424"/>
  <c r="AN172" i="23424"/>
  <c r="AU107" i="23424"/>
  <c r="AT107" i="23424"/>
  <c r="AU140" i="23424"/>
  <c r="AT140" i="23424"/>
  <c r="AU106" i="23424"/>
  <c r="AT106" i="23424"/>
  <c r="AU34" i="23424"/>
  <c r="AT34" i="23424"/>
  <c r="AT172" i="23424"/>
  <c r="AU172" i="23424"/>
  <c r="AT167" i="23424"/>
  <c r="AU167" i="23424"/>
  <c r="AU137" i="23424"/>
  <c r="AT137" i="23424"/>
  <c r="AU186" i="23424"/>
  <c r="AT186" i="23424"/>
  <c r="AU179" i="23424"/>
  <c r="AT179" i="23424"/>
  <c r="AC21" i="23424"/>
  <c r="AB21" i="23424"/>
  <c r="AB86" i="23424"/>
  <c r="AC86" i="23424"/>
  <c r="AC129" i="23424"/>
  <c r="AB129" i="23424"/>
  <c r="AC27" i="23424"/>
  <c r="AB27" i="23424"/>
  <c r="AC22" i="23424"/>
  <c r="AB22" i="23424"/>
  <c r="AC82" i="23424"/>
  <c r="AB82" i="23424"/>
  <c r="AC171" i="23424"/>
  <c r="AB171" i="23424"/>
  <c r="AC108" i="23424"/>
  <c r="AB108" i="23424"/>
  <c r="AC114" i="23424"/>
  <c r="AB114" i="23424"/>
  <c r="AC193" i="23424"/>
  <c r="AB193" i="23424"/>
  <c r="BB60" i="23424"/>
  <c r="BA60" i="23424"/>
  <c r="BB23" i="23424"/>
  <c r="BA23" i="23424"/>
  <c r="BA77" i="23424"/>
  <c r="BB77" i="23424"/>
  <c r="BA13" i="23424"/>
  <c r="BB13" i="23424"/>
  <c r="BB25" i="23424"/>
  <c r="BA25" i="23424"/>
  <c r="BB179" i="23424"/>
  <c r="BA179" i="23424"/>
  <c r="BA100" i="23424"/>
  <c r="BB100" i="23424"/>
  <c r="BB131" i="23424"/>
  <c r="BA131" i="23424"/>
  <c r="BA192" i="23424"/>
  <c r="BB192" i="23424"/>
  <c r="AJ13" i="23424"/>
  <c r="AK13" i="23424"/>
  <c r="AK83" i="23424"/>
  <c r="AJ83" i="23424"/>
  <c r="AK34" i="23424"/>
  <c r="AJ34" i="23424"/>
  <c r="AK49" i="23424"/>
  <c r="AJ49" i="23424"/>
  <c r="AJ47" i="23424"/>
  <c r="AK47" i="23424"/>
  <c r="AK67" i="23424"/>
  <c r="AJ67" i="23424"/>
  <c r="AJ164" i="23424"/>
  <c r="AK164" i="23424"/>
  <c r="AK122" i="23424"/>
  <c r="AJ122" i="23424"/>
  <c r="AK166" i="23424"/>
  <c r="AJ166" i="23424"/>
  <c r="AK194" i="23424"/>
  <c r="AJ194" i="23424"/>
  <c r="BE59" i="23424"/>
  <c r="BD59" i="23424"/>
  <c r="BE29" i="23424"/>
  <c r="BD29" i="23424"/>
  <c r="BD32" i="23424"/>
  <c r="BE32" i="23424"/>
  <c r="BE35" i="23424"/>
  <c r="BD35" i="23424"/>
  <c r="BE47" i="23424"/>
  <c r="BD47" i="23424"/>
  <c r="BE141" i="23424"/>
  <c r="BD141" i="23424"/>
  <c r="BE173" i="23424"/>
  <c r="BD173" i="23424"/>
  <c r="BD178" i="23424"/>
  <c r="BE178" i="23424"/>
  <c r="BE172" i="23424"/>
  <c r="BD172" i="23424"/>
  <c r="BD187" i="23424"/>
  <c r="BE187" i="23424"/>
  <c r="BH72" i="23424"/>
  <c r="BG72" i="23424"/>
  <c r="BH62" i="23424"/>
  <c r="BG62" i="23424"/>
  <c r="BH13" i="23424"/>
  <c r="BG13" i="23424"/>
  <c r="BH82" i="23424"/>
  <c r="BG82" i="23424"/>
  <c r="BG87" i="23424"/>
  <c r="BH87" i="23424"/>
  <c r="BH157" i="23424"/>
  <c r="BG157" i="23424"/>
  <c r="BG169" i="23424"/>
  <c r="BH169" i="23424"/>
  <c r="BH168" i="23424"/>
  <c r="BG168" i="23424"/>
  <c r="BH183" i="23424"/>
  <c r="BG183" i="23424"/>
  <c r="AQ66" i="23424"/>
  <c r="AR66" i="23424"/>
  <c r="AQ97" i="23424"/>
  <c r="AR97" i="23424"/>
  <c r="AR37" i="23424"/>
  <c r="AQ37" i="23424"/>
  <c r="AR80" i="23424"/>
  <c r="AQ80" i="23424"/>
  <c r="AR46" i="23424"/>
  <c r="AQ46" i="23424"/>
  <c r="AR130" i="23424"/>
  <c r="AQ130" i="23424"/>
  <c r="AR161" i="23424"/>
  <c r="AQ161" i="23424"/>
  <c r="AQ165" i="23424"/>
  <c r="AR165" i="23424"/>
  <c r="AQ126" i="23424"/>
  <c r="AR126" i="23424"/>
  <c r="AR197" i="23424"/>
  <c r="AQ197" i="23424"/>
  <c r="AG14" i="23424"/>
  <c r="AF14" i="23424"/>
  <c r="AG77" i="23424"/>
  <c r="AF77" i="23424"/>
  <c r="AG85" i="23424"/>
  <c r="AF85" i="23424"/>
  <c r="AG65" i="23424"/>
  <c r="AF65" i="23424"/>
  <c r="AG87" i="23424"/>
  <c r="AF87" i="23424"/>
  <c r="AF82" i="23424"/>
  <c r="AG82" i="23424"/>
  <c r="AF174" i="23424"/>
  <c r="AG174" i="23424"/>
  <c r="AF155" i="23424"/>
  <c r="AG155" i="23424"/>
  <c r="AF200" i="23424"/>
  <c r="AG200" i="23424"/>
  <c r="AY98" i="23424"/>
  <c r="AX98" i="23424"/>
  <c r="AY35" i="23424"/>
  <c r="AX35" i="23424"/>
  <c r="AY38" i="23424"/>
  <c r="AX38" i="23424"/>
  <c r="AY82" i="23424"/>
  <c r="AX82" i="23424"/>
  <c r="AY73" i="23424"/>
  <c r="AX73" i="23424"/>
  <c r="AY129" i="23424"/>
  <c r="AX129" i="23424"/>
  <c r="AY100" i="23424"/>
  <c r="AX100" i="23424"/>
  <c r="AY111" i="23424"/>
  <c r="AX111" i="23424"/>
  <c r="AX171" i="23424"/>
  <c r="AY171" i="23424"/>
  <c r="AY198" i="23424"/>
  <c r="AX198" i="23424"/>
  <c r="AO46" i="23424"/>
  <c r="AN46" i="23424"/>
  <c r="AN153" i="23424"/>
  <c r="AO153" i="23424"/>
  <c r="AN66" i="23424"/>
  <c r="AO66" i="23424"/>
  <c r="AN144" i="23424"/>
  <c r="AO144" i="23424"/>
  <c r="AO21" i="23424"/>
  <c r="AN21" i="23424"/>
  <c r="AN81" i="23424"/>
  <c r="AO81" i="23424"/>
  <c r="AN145" i="23424"/>
  <c r="AO145" i="23424"/>
  <c r="AO136" i="23424"/>
  <c r="AN136" i="23424"/>
  <c r="AN147" i="23424"/>
  <c r="AO147" i="23424"/>
  <c r="AO192" i="23424"/>
  <c r="AN192" i="23424"/>
  <c r="AU25" i="23424"/>
  <c r="AT25" i="23424"/>
  <c r="AU53" i="23424"/>
  <c r="AT53" i="23424"/>
  <c r="AU117" i="23424"/>
  <c r="AT117" i="23424"/>
  <c r="AU54" i="23424"/>
  <c r="AT54" i="23424"/>
  <c r="AU85" i="23424"/>
  <c r="AT85" i="23424"/>
  <c r="AU177" i="23424"/>
  <c r="AT177" i="23424"/>
  <c r="AU143" i="23424"/>
  <c r="AT143" i="23424"/>
  <c r="AU136" i="23424"/>
  <c r="AT136" i="23424"/>
  <c r="AT180" i="23424"/>
  <c r="AU180" i="23424"/>
  <c r="AB189" i="23424"/>
  <c r="AC189" i="23424"/>
  <c r="BB171" i="23424"/>
  <c r="BA171" i="23424"/>
  <c r="AK146" i="23424"/>
  <c r="AJ146" i="23424"/>
  <c r="BE44" i="23424"/>
  <c r="BD44" i="23424"/>
  <c r="BH68" i="23424"/>
  <c r="BG68" i="23424"/>
  <c r="AR39" i="23424"/>
  <c r="AQ39" i="23424"/>
  <c r="AF28" i="23424"/>
  <c r="AG28" i="23424"/>
  <c r="AY23" i="23424"/>
  <c r="AX23" i="23424"/>
  <c r="AO28" i="23424"/>
  <c r="AN28" i="23424"/>
  <c r="AU156" i="23424"/>
  <c r="AT156" i="23424"/>
  <c r="AB15" i="23424"/>
  <c r="AC15" i="23424"/>
  <c r="BB75" i="23424"/>
  <c r="BA75" i="23424"/>
  <c r="BA198" i="23424"/>
  <c r="BB198" i="23424"/>
  <c r="AK132" i="23424"/>
  <c r="AJ132" i="23424"/>
  <c r="BE150" i="23424"/>
  <c r="BD150" i="23424"/>
  <c r="BH122" i="23424"/>
  <c r="BG122" i="23424"/>
  <c r="AR70" i="23424"/>
  <c r="AQ70" i="23424"/>
  <c r="AR170" i="23424"/>
  <c r="AQ170" i="23424"/>
  <c r="AG90" i="23424"/>
  <c r="AF90" i="23424"/>
  <c r="AY174" i="23424"/>
  <c r="AX174" i="23424"/>
  <c r="AN18" i="23424"/>
  <c r="AO18" i="23424"/>
  <c r="AT149" i="23424"/>
  <c r="AU149" i="23424"/>
  <c r="AC57" i="23424"/>
  <c r="AB57" i="23424"/>
  <c r="BA41" i="23424"/>
  <c r="BB41" i="23424"/>
  <c r="BA141" i="23424"/>
  <c r="BB141" i="23424"/>
  <c r="AK35" i="23424"/>
  <c r="AJ35" i="23424"/>
  <c r="AK165" i="23424"/>
  <c r="AJ165" i="23424"/>
  <c r="BE86" i="23424"/>
  <c r="BD86" i="23424"/>
  <c r="BE153" i="23424"/>
  <c r="BD153" i="23424"/>
  <c r="BH125" i="23424"/>
  <c r="BG125" i="23424"/>
  <c r="BH185" i="23424"/>
  <c r="BG185" i="23424"/>
  <c r="AR83" i="23424"/>
  <c r="AQ83" i="23424"/>
  <c r="AG22" i="23424"/>
  <c r="AF22" i="23424"/>
  <c r="AG190" i="23424"/>
  <c r="AF190" i="23424"/>
  <c r="AY167" i="23424"/>
  <c r="AX167" i="23424"/>
  <c r="AO25" i="23424"/>
  <c r="AN25" i="23424"/>
  <c r="AN123" i="23424"/>
  <c r="AO123" i="23424"/>
  <c r="AU150" i="23424"/>
  <c r="AT150" i="23424"/>
  <c r="AC92" i="23424"/>
  <c r="AB92" i="23424"/>
  <c r="BB98" i="23424"/>
  <c r="BA98" i="23424"/>
  <c r="BA138" i="23424"/>
  <c r="BB138" i="23424"/>
  <c r="AK102" i="23424"/>
  <c r="AJ102" i="23424"/>
  <c r="BD155" i="23424"/>
  <c r="BE155" i="23424"/>
  <c r="BH170" i="23424"/>
  <c r="BG170" i="23424"/>
  <c r="AR147" i="23424"/>
  <c r="AQ147" i="23424"/>
  <c r="AF145" i="23424"/>
  <c r="AG145" i="23424"/>
  <c r="AN48" i="23424"/>
  <c r="AO48" i="23424"/>
  <c r="AU201" i="23424"/>
  <c r="AT201" i="23424"/>
  <c r="AC63" i="23424"/>
  <c r="AB63" i="23424"/>
  <c r="AC90" i="23424"/>
  <c r="AB90" i="23424"/>
  <c r="AC190" i="23424"/>
  <c r="AB190" i="23424"/>
  <c r="BA29" i="23424"/>
  <c r="BB29" i="23424"/>
  <c r="BA112" i="23424"/>
  <c r="BB112" i="23424"/>
  <c r="BB182" i="23424"/>
  <c r="BA182" i="23424"/>
  <c r="AK22" i="23424"/>
  <c r="AJ22" i="23424"/>
  <c r="AK152" i="23424"/>
  <c r="AJ152" i="23424"/>
  <c r="AK127" i="23424"/>
  <c r="AJ127" i="23424"/>
  <c r="BE43" i="23424"/>
  <c r="BD43" i="23424"/>
  <c r="BD197" i="23424"/>
  <c r="BE197" i="23424"/>
  <c r="BE99" i="23424"/>
  <c r="BD99" i="23424"/>
  <c r="BE145" i="23424"/>
  <c r="BD145" i="23424"/>
  <c r="BH77" i="23424"/>
  <c r="BG77" i="23424"/>
  <c r="BH38" i="23424"/>
  <c r="BG38" i="23424"/>
  <c r="BG155" i="23424"/>
  <c r="BH155" i="23424"/>
  <c r="AR55" i="23424"/>
  <c r="AQ55" i="23424"/>
  <c r="AR144" i="23424"/>
  <c r="AQ144" i="23424"/>
  <c r="AQ116" i="23424"/>
  <c r="AR116" i="23424"/>
  <c r="AR157" i="23424"/>
  <c r="AQ157" i="23424"/>
  <c r="AG26" i="23424"/>
  <c r="AF26" i="23424"/>
  <c r="AF121" i="23424"/>
  <c r="AG121" i="23424"/>
  <c r="AY26" i="23424"/>
  <c r="AX26" i="23424"/>
  <c r="AY27" i="23424"/>
  <c r="AX27" i="23424"/>
  <c r="AX33" i="23424"/>
  <c r="AY33" i="23424"/>
  <c r="AX146" i="23424"/>
  <c r="AY146" i="23424"/>
  <c r="AN110" i="23424"/>
  <c r="AO110" i="23424"/>
  <c r="AT100" i="23424"/>
  <c r="AU100" i="23424"/>
  <c r="AC117" i="23424"/>
  <c r="AB117" i="23424"/>
  <c r="BB109" i="23424"/>
  <c r="BA109" i="23424"/>
  <c r="AK76" i="23424"/>
  <c r="AJ76" i="23424"/>
  <c r="AK186" i="23424"/>
  <c r="AJ186" i="23424"/>
  <c r="BE186" i="23424"/>
  <c r="BD186" i="23424"/>
  <c r="BH101" i="23424"/>
  <c r="BG101" i="23424"/>
  <c r="BG161" i="23424"/>
  <c r="BH161" i="23424"/>
  <c r="AR190" i="23424"/>
  <c r="AQ190" i="23424"/>
  <c r="AG109" i="23424"/>
  <c r="AF109" i="23424"/>
  <c r="AX31" i="23424"/>
  <c r="AY31" i="23424"/>
  <c r="AN41" i="23424"/>
  <c r="AO41" i="23424"/>
  <c r="AU161" i="23424"/>
  <c r="AT161" i="23424"/>
  <c r="AB24" i="23424"/>
  <c r="AC24" i="23424"/>
  <c r="AC91" i="23424"/>
  <c r="AB91" i="23424"/>
  <c r="BB122" i="23424"/>
  <c r="BA122" i="23424"/>
  <c r="BA115" i="23424"/>
  <c r="BB115" i="23424"/>
  <c r="AK54" i="23424"/>
  <c r="AJ54" i="23424"/>
  <c r="AK75" i="23424"/>
  <c r="AJ75" i="23424"/>
  <c r="AK145" i="23424"/>
  <c r="AJ145" i="23424"/>
  <c r="BD77" i="23424"/>
  <c r="BE77" i="23424"/>
  <c r="BE69" i="23424"/>
  <c r="BD69" i="23424"/>
  <c r="BD168" i="23424"/>
  <c r="BE168" i="23424"/>
  <c r="BH110" i="23424"/>
  <c r="BG110" i="23424"/>
  <c r="BH129" i="23424"/>
  <c r="BG129" i="23424"/>
  <c r="AR14" i="23424"/>
  <c r="AQ14" i="23424"/>
  <c r="AR101" i="23424"/>
  <c r="AQ101" i="23424"/>
  <c r="AG129" i="23424"/>
  <c r="AF129" i="23424"/>
  <c r="AG140" i="23424"/>
  <c r="AF140" i="23424"/>
  <c r="AY96" i="23424"/>
  <c r="AX96" i="23424"/>
  <c r="AY148" i="23424"/>
  <c r="AX148" i="23424"/>
  <c r="AO49" i="23424"/>
  <c r="AN49" i="23424"/>
  <c r="AO180" i="23424"/>
  <c r="AN180" i="23424"/>
  <c r="AT132" i="23424"/>
  <c r="AU132" i="23424"/>
  <c r="AC102" i="23424"/>
  <c r="AB102" i="23424"/>
  <c r="BA21" i="23424"/>
  <c r="BB21" i="23424"/>
  <c r="AJ46" i="23424"/>
  <c r="AK46" i="23424"/>
  <c r="AK199" i="23424"/>
  <c r="AJ199" i="23424"/>
  <c r="BH52" i="23424"/>
  <c r="BG52" i="23424"/>
  <c r="BH134" i="23424"/>
  <c r="BG134" i="23424"/>
  <c r="AQ198" i="23424"/>
  <c r="AR198" i="23424"/>
  <c r="AY59" i="23424"/>
  <c r="AX59" i="23424"/>
  <c r="AO16" i="23424"/>
  <c r="AN16" i="23424"/>
  <c r="AU198" i="23424"/>
  <c r="AT198" i="23424"/>
  <c r="AC77" i="23424"/>
  <c r="AB77" i="23424"/>
  <c r="AC158" i="23424"/>
  <c r="AB158" i="23424"/>
  <c r="AC127" i="23424"/>
  <c r="AB127" i="23424"/>
  <c r="BB74" i="23424"/>
  <c r="BA74" i="23424"/>
  <c r="BA90" i="23424"/>
  <c r="BB90" i="23424"/>
  <c r="BB158" i="23424"/>
  <c r="BA158" i="23424"/>
  <c r="BB175" i="23424"/>
  <c r="BA175" i="23424"/>
  <c r="AJ95" i="23424"/>
  <c r="AK95" i="23424"/>
  <c r="AK77" i="23424"/>
  <c r="AJ77" i="23424"/>
  <c r="AJ97" i="23424"/>
  <c r="AK97" i="23424"/>
  <c r="AJ128" i="23424"/>
  <c r="AK128" i="23424"/>
  <c r="AK159" i="23424"/>
  <c r="AJ159" i="23424"/>
  <c r="BE74" i="23424"/>
  <c r="BD74" i="23424"/>
  <c r="BE45" i="23424"/>
  <c r="BD45" i="23424"/>
  <c r="BE30" i="23424"/>
  <c r="BD30" i="23424"/>
  <c r="BD108" i="23424"/>
  <c r="BE108" i="23424"/>
  <c r="BH20" i="23424"/>
  <c r="BG20" i="23424"/>
  <c r="BH42" i="23424"/>
  <c r="BG42" i="23424"/>
  <c r="BH115" i="23424"/>
  <c r="BG115" i="23424"/>
  <c r="BH61" i="23424"/>
  <c r="BG61" i="23424"/>
  <c r="BH102" i="23424"/>
  <c r="BG102" i="23424"/>
  <c r="BG201" i="23424"/>
  <c r="BH201" i="23424"/>
  <c r="AR107" i="23424"/>
  <c r="AQ107" i="23424"/>
  <c r="AQ103" i="23424"/>
  <c r="AR103" i="23424"/>
  <c r="AQ29" i="23424"/>
  <c r="AR29" i="23424"/>
  <c r="AR150" i="23424"/>
  <c r="AQ150" i="23424"/>
  <c r="AQ138" i="23424"/>
  <c r="AR138" i="23424"/>
  <c r="AR183" i="23424"/>
  <c r="AQ183" i="23424"/>
  <c r="AG72" i="23424"/>
  <c r="AF72" i="23424"/>
  <c r="AF35" i="23424"/>
  <c r="AG35" i="23424"/>
  <c r="AG38" i="23424"/>
  <c r="AF38" i="23424"/>
  <c r="AF138" i="23424"/>
  <c r="AG138" i="23424"/>
  <c r="AF163" i="23424"/>
  <c r="AG163" i="23424"/>
  <c r="AG126" i="23424"/>
  <c r="AF126" i="23424"/>
  <c r="AY43" i="23424"/>
  <c r="AX43" i="23424"/>
  <c r="AX143" i="23424"/>
  <c r="AY143" i="23424"/>
  <c r="AX86" i="23424"/>
  <c r="AY86" i="23424"/>
  <c r="AY113" i="23424"/>
  <c r="AX113" i="23424"/>
  <c r="AY116" i="23424"/>
  <c r="AX116" i="23424"/>
  <c r="AY135" i="23424"/>
  <c r="AX135" i="23424"/>
  <c r="AY194" i="23424"/>
  <c r="AX194" i="23424"/>
  <c r="AY179" i="23424"/>
  <c r="AX179" i="23424"/>
  <c r="AN17" i="23424"/>
  <c r="AO17" i="23424"/>
  <c r="AO120" i="23424"/>
  <c r="AN120" i="23424"/>
  <c r="AO34" i="23424"/>
  <c r="AN34" i="23424"/>
  <c r="AO76" i="23424"/>
  <c r="AN76" i="23424"/>
  <c r="AO69" i="23424"/>
  <c r="AN69" i="23424"/>
  <c r="AN118" i="23424"/>
  <c r="AO118" i="23424"/>
  <c r="AO121" i="23424"/>
  <c r="AN121" i="23424"/>
  <c r="AO170" i="23424"/>
  <c r="AN170" i="23424"/>
  <c r="AU33" i="23424"/>
  <c r="AT33" i="23424"/>
  <c r="AU47" i="23424"/>
  <c r="AT47" i="23424"/>
  <c r="AU187" i="23424"/>
  <c r="AT187" i="23424"/>
  <c r="AC37" i="23424"/>
  <c r="AB37" i="23424"/>
  <c r="AB46" i="23424"/>
  <c r="AC46" i="23424"/>
  <c r="AC31" i="23424"/>
  <c r="AB31" i="23424"/>
  <c r="AC70" i="23424"/>
  <c r="AB70" i="23424"/>
  <c r="AC147" i="23424"/>
  <c r="AB147" i="23424"/>
  <c r="AC65" i="23424"/>
  <c r="AB65" i="23424"/>
  <c r="AB94" i="23424"/>
  <c r="AC94" i="23424"/>
  <c r="AC182" i="23424"/>
  <c r="AB182" i="23424"/>
  <c r="AB201" i="23424"/>
  <c r="AC201" i="23424"/>
  <c r="BB113" i="23424"/>
  <c r="BA113" i="23424"/>
  <c r="BB52" i="23424"/>
  <c r="BA52" i="23424"/>
  <c r="BB46" i="23424"/>
  <c r="BA46" i="23424"/>
  <c r="BB89" i="23424"/>
  <c r="BA89" i="23424"/>
  <c r="BB127" i="23424"/>
  <c r="BA127" i="23424"/>
  <c r="BA154" i="23424"/>
  <c r="BB154" i="23424"/>
  <c r="BB103" i="23424"/>
  <c r="BA103" i="23424"/>
  <c r="BA166" i="23424"/>
  <c r="BB166" i="23424"/>
  <c r="BB140" i="23424"/>
  <c r="BA140" i="23424"/>
  <c r="BA178" i="23424"/>
  <c r="BB178" i="23424"/>
  <c r="AK23" i="23424"/>
  <c r="AJ23" i="23424"/>
  <c r="AK20" i="23424"/>
  <c r="AJ20" i="23424"/>
  <c r="AJ57" i="23424"/>
  <c r="AK57" i="23424"/>
  <c r="AK78" i="23424"/>
  <c r="AJ78" i="23424"/>
  <c r="AJ70" i="23424"/>
  <c r="AK70" i="23424"/>
  <c r="AJ103" i="23424"/>
  <c r="AK103" i="23424"/>
  <c r="AJ96" i="23424"/>
  <c r="AK96" i="23424"/>
  <c r="AK110" i="23424"/>
  <c r="AJ110" i="23424"/>
  <c r="AK169" i="23424"/>
  <c r="AJ169" i="23424"/>
  <c r="AJ198" i="23424"/>
  <c r="AK198" i="23424"/>
  <c r="BD104" i="23424"/>
  <c r="BE104" i="23424"/>
  <c r="BE85" i="23424"/>
  <c r="BD85" i="23424"/>
  <c r="BE109" i="23424"/>
  <c r="BD109" i="23424"/>
  <c r="BE82" i="23424"/>
  <c r="BD82" i="23424"/>
  <c r="BE50" i="23424"/>
  <c r="BD50" i="23424"/>
  <c r="BE73" i="23424"/>
  <c r="BD73" i="23424"/>
  <c r="BE118" i="23424"/>
  <c r="BD118" i="23424"/>
  <c r="BE144" i="23424"/>
  <c r="BD144" i="23424"/>
  <c r="BD189" i="23424"/>
  <c r="BE189" i="23424"/>
  <c r="BH12" i="23424"/>
  <c r="BG12" i="23424"/>
  <c r="BH50" i="23424"/>
  <c r="BG50" i="23424"/>
  <c r="BH49" i="23424"/>
  <c r="BG49" i="23424"/>
  <c r="BG26" i="23424"/>
  <c r="BH26" i="23424"/>
  <c r="BH83" i="23424"/>
  <c r="BG83" i="23424"/>
  <c r="BH78" i="23424"/>
  <c r="BG78" i="23424"/>
  <c r="BH106" i="23424"/>
  <c r="BG106" i="23424"/>
  <c r="BH149" i="23424"/>
  <c r="BG149" i="23424"/>
  <c r="BH182" i="23424"/>
  <c r="BG182" i="23424"/>
  <c r="BG191" i="23424"/>
  <c r="BH191" i="23424"/>
  <c r="AR93" i="23424"/>
  <c r="AQ93" i="23424"/>
  <c r="AR53" i="23424"/>
  <c r="AQ53" i="23424"/>
  <c r="AR123" i="23424"/>
  <c r="AQ123" i="23424"/>
  <c r="AR40" i="23424"/>
  <c r="AQ40" i="23424"/>
  <c r="AQ49" i="23424"/>
  <c r="AR49" i="23424"/>
  <c r="AQ100" i="23424"/>
  <c r="AR100" i="23424"/>
  <c r="AR158" i="23424"/>
  <c r="AQ158" i="23424"/>
  <c r="AR182" i="23424"/>
  <c r="AQ182" i="23424"/>
  <c r="AR201" i="23424"/>
  <c r="AQ201" i="23424"/>
  <c r="AF11" i="23424"/>
  <c r="AG11" i="23424"/>
  <c r="AF73" i="23424"/>
  <c r="AG73" i="23424"/>
  <c r="AG57" i="23424"/>
  <c r="AF57" i="23424"/>
  <c r="AG58" i="23424"/>
  <c r="AF58" i="23424"/>
  <c r="AG53" i="23424"/>
  <c r="AF53" i="23424"/>
  <c r="AG97" i="23424"/>
  <c r="AF97" i="23424"/>
  <c r="AF102" i="23424"/>
  <c r="AG102" i="23424"/>
  <c r="AG168" i="23424"/>
  <c r="AF168" i="23424"/>
  <c r="AG160" i="23424"/>
  <c r="AF160" i="23424"/>
  <c r="AG146" i="23424"/>
  <c r="AF146" i="23424"/>
  <c r="AY32" i="23424"/>
  <c r="AX32" i="23424"/>
  <c r="AX58" i="23424"/>
  <c r="AY58" i="23424"/>
  <c r="AY21" i="23424"/>
  <c r="AX21" i="23424"/>
  <c r="AX157" i="23424"/>
  <c r="AY157" i="23424"/>
  <c r="AY164" i="23424"/>
  <c r="AX164" i="23424"/>
  <c r="AX169" i="23424"/>
  <c r="AY169" i="23424"/>
  <c r="AY131" i="23424"/>
  <c r="AX131" i="23424"/>
  <c r="AX152" i="23424"/>
  <c r="AY152" i="23424"/>
  <c r="AX140" i="23424"/>
  <c r="AY140" i="23424"/>
  <c r="AY199" i="23424"/>
  <c r="AX199" i="23424"/>
  <c r="AO82" i="23424"/>
  <c r="AN82" i="23424"/>
  <c r="AO59" i="23424"/>
  <c r="AN59" i="23424"/>
  <c r="AO97" i="23424"/>
  <c r="AN97" i="23424"/>
  <c r="AO160" i="23424"/>
  <c r="AN160" i="23424"/>
  <c r="AN89" i="23424"/>
  <c r="AO89" i="23424"/>
  <c r="AO183" i="23424"/>
  <c r="AN183" i="23424"/>
  <c r="AO141" i="23424"/>
  <c r="AN141" i="23424"/>
  <c r="AO156" i="23424"/>
  <c r="AN156" i="23424"/>
  <c r="AN182" i="23424"/>
  <c r="AO182" i="23424"/>
  <c r="AU48" i="23424"/>
  <c r="AT48" i="23424"/>
  <c r="AU68" i="23424"/>
  <c r="AT68" i="23424"/>
  <c r="AU52" i="23424"/>
  <c r="AT52" i="23424"/>
  <c r="AU62" i="23424"/>
  <c r="AT62" i="23424"/>
  <c r="AU57" i="23424"/>
  <c r="AT57" i="23424"/>
  <c r="AU166" i="23424"/>
  <c r="AT166" i="23424"/>
  <c r="AU139" i="23424"/>
  <c r="AT139" i="23424"/>
  <c r="AU163" i="23424"/>
  <c r="AT163" i="23424"/>
  <c r="AT129" i="23424"/>
  <c r="AU129" i="23424"/>
  <c r="AU199" i="23424"/>
  <c r="AT199" i="23424"/>
  <c r="AC188" i="23424"/>
  <c r="AB188" i="23424"/>
  <c r="AT26" i="23424"/>
  <c r="AU26" i="23424"/>
  <c r="AB140" i="23424"/>
  <c r="AC140" i="23424"/>
  <c r="BB176" i="23424"/>
  <c r="BA176" i="23424"/>
  <c r="AC83" i="23424"/>
  <c r="AB83" i="23424"/>
  <c r="AU29" i="23424"/>
  <c r="AT29" i="23424"/>
  <c r="AC121" i="23424"/>
  <c r="AB121" i="23424"/>
  <c r="AK171" i="23424"/>
  <c r="AJ171" i="23424"/>
  <c r="AC165" i="23424"/>
  <c r="AB165" i="23424"/>
  <c r="AU46" i="23424"/>
  <c r="AT46" i="23424"/>
  <c r="AU44" i="23424"/>
  <c r="AT44" i="23424"/>
  <c r="AB122" i="23424"/>
  <c r="AC122" i="23424"/>
  <c r="BD25" i="23424"/>
  <c r="BE25" i="23424"/>
  <c r="AC198" i="23424"/>
  <c r="AB198" i="23424"/>
  <c r="AT42" i="23424"/>
  <c r="AU42" i="23424"/>
  <c r="AC148" i="23424"/>
  <c r="AB148" i="23424"/>
  <c r="BB54" i="23424"/>
  <c r="BA54" i="23424"/>
  <c r="BB16" i="23424"/>
  <c r="BA16" i="23424"/>
  <c r="BB165" i="23424"/>
  <c r="BA165" i="23424"/>
  <c r="BB108" i="23424"/>
  <c r="BA108" i="23424"/>
  <c r="BB114" i="23424"/>
  <c r="BA114" i="23424"/>
  <c r="BB145" i="23424"/>
  <c r="BA145" i="23424"/>
  <c r="BA197" i="23424"/>
  <c r="BB197" i="23424"/>
  <c r="AJ114" i="23424"/>
  <c r="AK114" i="23424"/>
  <c r="AK59" i="23424"/>
  <c r="AJ59" i="23424"/>
  <c r="AJ74" i="23424"/>
  <c r="AK74" i="23424"/>
  <c r="AK86" i="23424"/>
  <c r="AJ86" i="23424"/>
  <c r="AK163" i="23424"/>
  <c r="AJ163" i="23424"/>
  <c r="AK104" i="23424"/>
  <c r="AJ104" i="23424"/>
  <c r="AJ178" i="23424"/>
  <c r="AK178" i="23424"/>
  <c r="AK129" i="23424"/>
  <c r="AJ129" i="23424"/>
  <c r="AK180" i="23424"/>
  <c r="AJ180" i="23424"/>
  <c r="AK161" i="23424"/>
  <c r="AJ161" i="23424"/>
  <c r="BE67" i="23424"/>
  <c r="BD67" i="23424"/>
  <c r="BE87" i="23424"/>
  <c r="BD87" i="23424"/>
  <c r="BE133" i="23424"/>
  <c r="BD133" i="23424"/>
  <c r="BE111" i="23424"/>
  <c r="BD111" i="23424"/>
  <c r="BE71" i="23424"/>
  <c r="BD71" i="23424"/>
  <c r="BE156" i="23424"/>
  <c r="BD156" i="23424"/>
  <c r="BD125" i="23424"/>
  <c r="BE125" i="23424"/>
  <c r="BE182" i="23424"/>
  <c r="BD182" i="23424"/>
  <c r="BE166" i="23424"/>
  <c r="BD166" i="23424"/>
  <c r="BG10" i="23424"/>
  <c r="BH10" i="23424"/>
  <c r="BH28" i="23424"/>
  <c r="BG28" i="23424"/>
  <c r="BH30" i="23424"/>
  <c r="BG30" i="23424"/>
  <c r="BH46" i="23424"/>
  <c r="BG46" i="23424"/>
  <c r="BH88" i="23424"/>
  <c r="BG88" i="23424"/>
  <c r="BH94" i="23424"/>
  <c r="BG94" i="23424"/>
  <c r="BH120" i="23424"/>
  <c r="BG120" i="23424"/>
  <c r="BH154" i="23424"/>
  <c r="BG154" i="23424"/>
  <c r="BH113" i="23424"/>
  <c r="BG113" i="23424"/>
  <c r="BH189" i="23424"/>
  <c r="BG189" i="23424"/>
  <c r="AR15" i="23424"/>
  <c r="AQ15" i="23424"/>
  <c r="AR54" i="23424"/>
  <c r="AQ54" i="23424"/>
  <c r="AR45" i="23424"/>
  <c r="AQ45" i="23424"/>
  <c r="AR60" i="23424"/>
  <c r="AQ60" i="23424"/>
  <c r="AQ76" i="23424"/>
  <c r="AR76" i="23424"/>
  <c r="AR75" i="23424"/>
  <c r="AQ75" i="23424"/>
  <c r="AR95" i="23424"/>
  <c r="AQ95" i="23424"/>
  <c r="AR192" i="23424"/>
  <c r="AQ192" i="23424"/>
  <c r="AR164" i="23424"/>
  <c r="AQ164" i="23424"/>
  <c r="AG21" i="23424"/>
  <c r="AF21" i="23424"/>
  <c r="AG37" i="23424"/>
  <c r="AF37" i="23424"/>
  <c r="AG74" i="23424"/>
  <c r="AF74" i="23424"/>
  <c r="AF78" i="23424"/>
  <c r="AG78" i="23424"/>
  <c r="AG70" i="23424"/>
  <c r="AF70" i="23424"/>
  <c r="AG104" i="23424"/>
  <c r="AF104" i="23424"/>
  <c r="AG141" i="23424"/>
  <c r="AF141" i="23424"/>
  <c r="AG178" i="23424"/>
  <c r="AF178" i="23424"/>
  <c r="AG149" i="23424"/>
  <c r="AF149" i="23424"/>
  <c r="AF177" i="23424"/>
  <c r="AG177" i="23424"/>
  <c r="AX68" i="23424"/>
  <c r="AY68" i="23424"/>
  <c r="AY15" i="23424"/>
  <c r="AX15" i="23424"/>
  <c r="AY20" i="23424"/>
  <c r="AX20" i="23424"/>
  <c r="AX175" i="23424"/>
  <c r="AY175" i="23424"/>
  <c r="AX11" i="23424"/>
  <c r="AY11" i="23424"/>
  <c r="AX127" i="23424"/>
  <c r="AY127" i="23424"/>
  <c r="AY139" i="23424"/>
  <c r="AX139" i="23424"/>
  <c r="AY120" i="23424"/>
  <c r="AX120" i="23424"/>
  <c r="AY156" i="23424"/>
  <c r="AX156" i="23424"/>
  <c r="AX182" i="23424"/>
  <c r="AY182" i="23424"/>
  <c r="AO142" i="23424"/>
  <c r="AN142" i="23424"/>
  <c r="AO79" i="23424"/>
  <c r="AN79" i="23424"/>
  <c r="AO140" i="23424"/>
  <c r="AN140" i="23424"/>
  <c r="AO32" i="23424"/>
  <c r="AN32" i="23424"/>
  <c r="AN91" i="23424"/>
  <c r="AO91" i="23424"/>
  <c r="AO171" i="23424"/>
  <c r="AN171" i="23424"/>
  <c r="AO151" i="23424"/>
  <c r="AN151" i="23424"/>
  <c r="AO143" i="23424"/>
  <c r="AN143" i="23424"/>
  <c r="AO190" i="23424"/>
  <c r="AN190" i="23424"/>
  <c r="AU99" i="23424"/>
  <c r="AT99" i="23424"/>
  <c r="AU69" i="23424"/>
  <c r="AT69" i="23424"/>
  <c r="AU91" i="23424"/>
  <c r="AT91" i="23424"/>
  <c r="AU72" i="23424"/>
  <c r="AT72" i="23424"/>
  <c r="AT20" i="23424"/>
  <c r="AU20" i="23424"/>
  <c r="AT77" i="23424"/>
  <c r="AU77" i="23424"/>
  <c r="AU114" i="23424"/>
  <c r="AT114" i="23424"/>
  <c r="AU125" i="23424"/>
  <c r="AT125" i="23424"/>
  <c r="AT170" i="23424"/>
  <c r="AU170" i="23424"/>
  <c r="AU185" i="23424"/>
  <c r="AT185" i="23424"/>
  <c r="BA12" i="23424"/>
  <c r="BB12" i="23424"/>
  <c r="AU70" i="23424"/>
  <c r="AT70" i="23424"/>
  <c r="AC103" i="23424"/>
  <c r="AB103" i="23424"/>
  <c r="AK40" i="23424"/>
  <c r="AJ40" i="23424"/>
  <c r="AC67" i="23424"/>
  <c r="AB67" i="23424"/>
  <c r="AU35" i="23424"/>
  <c r="AT35" i="23424"/>
  <c r="AC79" i="23424"/>
  <c r="AB79" i="23424"/>
  <c r="BE98" i="23424"/>
  <c r="BD98" i="23424"/>
  <c r="AC152" i="23424"/>
  <c r="AB152" i="23424"/>
  <c r="AT95" i="23424"/>
  <c r="AU95" i="23424"/>
  <c r="AC178" i="23424"/>
  <c r="AB178" i="23424"/>
  <c r="BE38" i="23424"/>
  <c r="BD38" i="23424"/>
  <c r="AB128" i="23424"/>
  <c r="AC128" i="23424"/>
  <c r="AT39" i="23424"/>
  <c r="AU39" i="23424"/>
  <c r="AC72" i="23424"/>
  <c r="AB72" i="23424"/>
  <c r="BE14" i="23424"/>
  <c r="BD14" i="23424"/>
  <c r="BB30" i="23424"/>
  <c r="BA30" i="23424"/>
  <c r="AU36" i="23424"/>
  <c r="AT36" i="23424"/>
  <c r="BA64" i="23424"/>
  <c r="BB64" i="23424"/>
  <c r="BB168" i="23424"/>
  <c r="BA168" i="23424"/>
  <c r="AJ111" i="23424"/>
  <c r="AK111" i="23424"/>
  <c r="AK157" i="23424"/>
  <c r="AJ157" i="23424"/>
  <c r="AK73" i="23424"/>
  <c r="AJ73" i="23424"/>
  <c r="AK99" i="23424"/>
  <c r="AJ99" i="23424"/>
  <c r="AK154" i="23424"/>
  <c r="AJ154" i="23424"/>
  <c r="AJ191" i="23424"/>
  <c r="AK191" i="23424"/>
  <c r="AJ181" i="23424"/>
  <c r="AK181" i="23424"/>
  <c r="BD76" i="23424"/>
  <c r="BE76" i="23424"/>
  <c r="BD75" i="23424"/>
  <c r="BE75" i="23424"/>
  <c r="BD46" i="23424"/>
  <c r="BE46" i="23424"/>
  <c r="BE61" i="23424"/>
  <c r="BD61" i="23424"/>
  <c r="BE101" i="23424"/>
  <c r="BD101" i="23424"/>
  <c r="BD132" i="23424"/>
  <c r="BE132" i="23424"/>
  <c r="BE137" i="23424"/>
  <c r="BD137" i="23424"/>
  <c r="BE196" i="23424"/>
  <c r="BD196" i="23424"/>
  <c r="BD177" i="23424"/>
  <c r="BE177" i="23424"/>
  <c r="BG14" i="23424"/>
  <c r="BH14" i="23424"/>
  <c r="BH11" i="23424"/>
  <c r="BG11" i="23424"/>
  <c r="BH32" i="23424"/>
  <c r="BG32" i="23424"/>
  <c r="BH91" i="23424"/>
  <c r="BG91" i="23424"/>
  <c r="BH97" i="23424"/>
  <c r="BG97" i="23424"/>
  <c r="BH98" i="23424"/>
  <c r="BG98" i="23424"/>
  <c r="BG121" i="23424"/>
  <c r="BH121" i="23424"/>
  <c r="BH166" i="23424"/>
  <c r="BG166" i="23424"/>
  <c r="BH116" i="23424"/>
  <c r="BG116" i="23424"/>
  <c r="BH172" i="23424"/>
  <c r="BG172" i="23424"/>
  <c r="AQ48" i="23424"/>
  <c r="AR48" i="23424"/>
  <c r="AR142" i="23424"/>
  <c r="AQ142" i="23424"/>
  <c r="AR27" i="23424"/>
  <c r="AQ27" i="23424"/>
  <c r="AR74" i="23424"/>
  <c r="AQ74" i="23424"/>
  <c r="AR117" i="23424"/>
  <c r="AQ117" i="23424"/>
  <c r="AQ99" i="23424"/>
  <c r="AR99" i="23424"/>
  <c r="AR105" i="23424"/>
  <c r="AQ105" i="23424"/>
  <c r="AR152" i="23424"/>
  <c r="AQ152" i="23424"/>
  <c r="AR181" i="23424"/>
  <c r="AQ181" i="23424"/>
  <c r="AF113" i="23424"/>
  <c r="AG113" i="23424"/>
  <c r="AF55" i="23424"/>
  <c r="AG55" i="23424"/>
  <c r="AG111" i="23424"/>
  <c r="AF111" i="23424"/>
  <c r="AG108" i="23424"/>
  <c r="AF108" i="23424"/>
  <c r="AG84" i="23424"/>
  <c r="AF84" i="23424"/>
  <c r="AG89" i="23424"/>
  <c r="AF89" i="23424"/>
  <c r="AG152" i="23424"/>
  <c r="AF152" i="23424"/>
  <c r="AG132" i="23424"/>
  <c r="AF132" i="23424"/>
  <c r="AF191" i="23424"/>
  <c r="AG191" i="23424"/>
  <c r="AF193" i="23424"/>
  <c r="AG193" i="23424"/>
  <c r="AY69" i="23424"/>
  <c r="AX69" i="23424"/>
  <c r="AY122" i="23424"/>
  <c r="AX122" i="23424"/>
  <c r="AY60" i="23424"/>
  <c r="AX60" i="23424"/>
  <c r="AY80" i="23424"/>
  <c r="AX80" i="23424"/>
  <c r="AY14" i="23424"/>
  <c r="AX14" i="23424"/>
  <c r="AY155" i="23424"/>
  <c r="AX155" i="23424"/>
  <c r="AX104" i="23424"/>
  <c r="AY104" i="23424"/>
  <c r="AY170" i="23424"/>
  <c r="AX170" i="23424"/>
  <c r="AX177" i="23424"/>
  <c r="AY177" i="23424"/>
  <c r="AX165" i="23424"/>
  <c r="AY165" i="23424"/>
  <c r="AO31" i="23424"/>
  <c r="AN31" i="23424"/>
  <c r="AN37" i="23424"/>
  <c r="AO37" i="23424"/>
  <c r="AO199" i="23424"/>
  <c r="AN199" i="23424"/>
  <c r="AO52" i="23424"/>
  <c r="AN52" i="23424"/>
  <c r="AO175" i="23424"/>
  <c r="AN175" i="23424"/>
  <c r="AN111" i="23424"/>
  <c r="AO111" i="23424"/>
  <c r="AO173" i="23424"/>
  <c r="AN173" i="23424"/>
  <c r="AO167" i="23424"/>
  <c r="AN167" i="23424"/>
  <c r="AN195" i="23424"/>
  <c r="AO195" i="23424"/>
  <c r="AU41" i="23424"/>
  <c r="AT41" i="23424"/>
  <c r="AU24" i="23424"/>
  <c r="AT24" i="23424"/>
  <c r="AT102" i="23424"/>
  <c r="AU102" i="23424"/>
  <c r="AU81" i="23424"/>
  <c r="AT81" i="23424"/>
  <c r="AT40" i="23424"/>
  <c r="AU40" i="23424"/>
  <c r="AT127" i="23424"/>
  <c r="AU127" i="23424"/>
  <c r="AT146" i="23424"/>
  <c r="AU146" i="23424"/>
  <c r="AU181" i="23424"/>
  <c r="AT181" i="23424"/>
  <c r="AT118" i="23424"/>
  <c r="AU118" i="23424"/>
  <c r="AU168" i="23424"/>
  <c r="AT168" i="23424"/>
  <c r="AC104" i="23424"/>
  <c r="AB104" i="23424"/>
  <c r="BA42" i="23424"/>
  <c r="BB42" i="23424"/>
  <c r="BA156" i="23424"/>
  <c r="BB156" i="23424"/>
  <c r="AK24" i="23424"/>
  <c r="AJ24" i="23424"/>
  <c r="AJ184" i="23424"/>
  <c r="AK184" i="23424"/>
  <c r="BE89" i="23424"/>
  <c r="BD89" i="23424"/>
  <c r="BD127" i="23424"/>
  <c r="BE127" i="23424"/>
  <c r="BH197" i="23424"/>
  <c r="BG197" i="23424"/>
  <c r="BG27" i="23424"/>
  <c r="BH27" i="23424"/>
  <c r="BH96" i="23424"/>
  <c r="BG96" i="23424"/>
  <c r="AR36" i="23424"/>
  <c r="AQ36" i="23424"/>
  <c r="AR153" i="23424"/>
  <c r="AQ153" i="23424"/>
  <c r="AQ160" i="23424"/>
  <c r="AR160" i="23424"/>
  <c r="AG43" i="23424"/>
  <c r="AF43" i="23424"/>
  <c r="AG59" i="23424"/>
  <c r="AF59" i="23424"/>
  <c r="AG124" i="23424"/>
  <c r="AF124" i="23424"/>
  <c r="AY83" i="23424"/>
  <c r="AX83" i="23424"/>
  <c r="AY45" i="23424"/>
  <c r="AX45" i="23424"/>
  <c r="AX160" i="23424"/>
  <c r="AY160" i="23424"/>
  <c r="AO22" i="23424"/>
  <c r="AN22" i="23424"/>
  <c r="AO94" i="23424"/>
  <c r="AN94" i="23424"/>
  <c r="AO122" i="23424"/>
  <c r="AN122" i="23424"/>
  <c r="AO197" i="23424"/>
  <c r="AN197" i="23424"/>
  <c r="AU120" i="23424"/>
  <c r="AT120" i="23424"/>
  <c r="AC59" i="23424"/>
  <c r="AB59" i="23424"/>
  <c r="BA62" i="23424"/>
  <c r="BB62" i="23424"/>
  <c r="AK44" i="23424"/>
  <c r="AJ44" i="23424"/>
  <c r="BE65" i="23424"/>
  <c r="BD65" i="23424"/>
  <c r="BH143" i="23424"/>
  <c r="BG143" i="23424"/>
  <c r="AR64" i="23424"/>
  <c r="AQ64" i="23424"/>
  <c r="AG86" i="23424"/>
  <c r="AF86" i="23424"/>
  <c r="AX49" i="23424"/>
  <c r="AY49" i="23424"/>
  <c r="AN19" i="23424"/>
  <c r="AO19" i="23424"/>
  <c r="AU128" i="23424"/>
  <c r="AT128" i="23424"/>
  <c r="AC107" i="23424"/>
  <c r="AB107" i="23424"/>
  <c r="BA174" i="23424"/>
  <c r="BB174" i="23424"/>
  <c r="BB188" i="23424"/>
  <c r="BA188" i="23424"/>
  <c r="AJ64" i="23424"/>
  <c r="AK64" i="23424"/>
  <c r="AK137" i="23424"/>
  <c r="AJ137" i="23424"/>
  <c r="BE88" i="23424"/>
  <c r="BD88" i="23424"/>
  <c r="BE181" i="23424"/>
  <c r="BD181" i="23424"/>
  <c r="BH146" i="23424"/>
  <c r="BG146" i="23424"/>
  <c r="BH180" i="23424"/>
  <c r="BG180" i="23424"/>
  <c r="AQ72" i="23424"/>
  <c r="AR72" i="23424"/>
  <c r="AR146" i="23424"/>
  <c r="AQ146" i="23424"/>
  <c r="AR188" i="23424"/>
  <c r="AQ188" i="23424"/>
  <c r="AG119" i="23424"/>
  <c r="AF119" i="23424"/>
  <c r="AG83" i="23424"/>
  <c r="AF83" i="23424"/>
  <c r="AG197" i="23424"/>
  <c r="AF197" i="23424"/>
  <c r="AX50" i="23424"/>
  <c r="AY50" i="23424"/>
  <c r="AY102" i="23424"/>
  <c r="AX102" i="23424"/>
  <c r="AY124" i="23424"/>
  <c r="AX124" i="23424"/>
  <c r="AX141" i="23424"/>
  <c r="AY141" i="23424"/>
  <c r="AN36" i="23424"/>
  <c r="AO36" i="23424"/>
  <c r="AO124" i="23424"/>
  <c r="AN124" i="23424"/>
  <c r="AO164" i="23424"/>
  <c r="AN164" i="23424"/>
  <c r="AO186" i="23424"/>
  <c r="AN186" i="23424"/>
  <c r="AU75" i="23424"/>
  <c r="AT75" i="23424"/>
  <c r="AC74" i="23424"/>
  <c r="AB74" i="23424"/>
  <c r="BA130" i="23424"/>
  <c r="BB130" i="23424"/>
  <c r="AJ45" i="23424"/>
  <c r="AK45" i="23424"/>
  <c r="AK116" i="23424"/>
  <c r="AJ116" i="23424"/>
  <c r="BD158" i="23424"/>
  <c r="BE158" i="23424"/>
  <c r="BH152" i="23424"/>
  <c r="BG152" i="23424"/>
  <c r="AR19" i="23424"/>
  <c r="AQ19" i="23424"/>
  <c r="AR194" i="23424"/>
  <c r="AQ194" i="23424"/>
  <c r="AF103" i="23424"/>
  <c r="AG103" i="23424"/>
  <c r="AX183" i="23424"/>
  <c r="AY183" i="23424"/>
  <c r="AN102" i="23424"/>
  <c r="AO102" i="23424"/>
  <c r="AU152" i="23424"/>
  <c r="AT152" i="23424"/>
  <c r="AC149" i="23424"/>
  <c r="AB149" i="23424"/>
  <c r="BB99" i="23424"/>
  <c r="BA99" i="23424"/>
  <c r="AK71" i="23424"/>
  <c r="AJ71" i="23424"/>
  <c r="BE60" i="23424"/>
  <c r="BD60" i="23424"/>
  <c r="BD184" i="23424"/>
  <c r="BE184" i="23424"/>
  <c r="BH70" i="23424"/>
  <c r="BG70" i="23424"/>
  <c r="AR67" i="23424"/>
  <c r="AQ67" i="23424"/>
  <c r="AG52" i="23424"/>
  <c r="AF52" i="23424"/>
  <c r="AG175" i="23424"/>
  <c r="AF175" i="23424"/>
  <c r="AY28" i="23424"/>
  <c r="AX28" i="23424"/>
  <c r="AN24" i="23424"/>
  <c r="AO24" i="23424"/>
  <c r="AU51" i="23424"/>
  <c r="AT51" i="23424"/>
  <c r="AC49" i="23424"/>
  <c r="AB49" i="23424"/>
  <c r="BB195" i="23424"/>
  <c r="BA195" i="23424"/>
  <c r="AK15" i="23424"/>
  <c r="AJ15" i="23424"/>
  <c r="AK139" i="23424"/>
  <c r="AJ139" i="23424"/>
  <c r="BD70" i="23424"/>
  <c r="BE70" i="23424"/>
  <c r="BG63" i="23424"/>
  <c r="BH63" i="23424"/>
  <c r="BH128" i="23424"/>
  <c r="BG128" i="23424"/>
  <c r="AQ168" i="23424"/>
  <c r="AR168" i="23424"/>
  <c r="AG101" i="23424"/>
  <c r="AF101" i="23424"/>
  <c r="AG199" i="23424"/>
  <c r="AF199" i="23424"/>
  <c r="AY109" i="23424"/>
  <c r="AX109" i="23424"/>
  <c r="AN71" i="23424"/>
  <c r="AO71" i="23424"/>
  <c r="AU56" i="23424"/>
  <c r="AT56" i="23424"/>
  <c r="AU145" i="23424"/>
  <c r="AT145" i="23424"/>
  <c r="AC124" i="23424"/>
  <c r="AB124" i="23424"/>
  <c r="BB163" i="23424"/>
  <c r="BA163" i="23424"/>
  <c r="AJ197" i="23424"/>
  <c r="AK197" i="23424"/>
  <c r="BE165" i="23424"/>
  <c r="BD165" i="23424"/>
  <c r="BH130" i="23424"/>
  <c r="BG130" i="23424"/>
  <c r="AR69" i="23424"/>
  <c r="AQ69" i="23424"/>
  <c r="AG10" i="23424"/>
  <c r="AF10" i="23424"/>
  <c r="AX51" i="23424"/>
  <c r="AY51" i="23424"/>
  <c r="AO105" i="23424"/>
  <c r="AN105" i="23424"/>
  <c r="AT171" i="23424"/>
  <c r="AU171" i="23424"/>
  <c r="AB179" i="23424"/>
  <c r="AC179" i="23424"/>
  <c r="BB155" i="23424"/>
  <c r="BA155" i="23424"/>
  <c r="AK85" i="23424"/>
  <c r="AJ85" i="23424"/>
  <c r="BD113" i="23424"/>
  <c r="BE113" i="23424"/>
  <c r="BE160" i="23424"/>
  <c r="BD160" i="23424"/>
  <c r="BH41" i="23424"/>
  <c r="BG41" i="23424"/>
  <c r="AR118" i="23424"/>
  <c r="AQ118" i="23424"/>
  <c r="AR128" i="23424"/>
  <c r="AQ128" i="23424"/>
  <c r="AG34" i="23424"/>
  <c r="AF34" i="23424"/>
  <c r="AG171" i="23424"/>
  <c r="AF171" i="23424"/>
  <c r="AY37" i="23424"/>
  <c r="AX37" i="23424"/>
  <c r="AY154" i="23424"/>
  <c r="AX154" i="23424"/>
  <c r="AO64" i="23424"/>
  <c r="AN64" i="23424"/>
  <c r="AU65" i="23424"/>
  <c r="AT65" i="23424"/>
  <c r="AU17" i="23424"/>
  <c r="AT17" i="23424"/>
  <c r="AB38" i="23424"/>
  <c r="AC38" i="23424"/>
  <c r="AC199" i="23424"/>
  <c r="AB199" i="23424"/>
  <c r="AK56" i="23424"/>
  <c r="AJ56" i="23424"/>
  <c r="BD140" i="23424"/>
  <c r="BE140" i="23424"/>
  <c r="BH140" i="23424"/>
  <c r="BG140" i="23424"/>
  <c r="AQ87" i="23424"/>
  <c r="AR87" i="23424"/>
  <c r="AY89" i="23424"/>
  <c r="AX89" i="23424"/>
  <c r="AT131" i="23424"/>
  <c r="AU131" i="23424"/>
  <c r="AC85" i="23424"/>
  <c r="AB85" i="23424"/>
  <c r="BA139" i="23424"/>
  <c r="BB139" i="23424"/>
  <c r="AC55" i="23424"/>
  <c r="AB55" i="23424"/>
  <c r="AB88" i="23424"/>
  <c r="AC88" i="23424"/>
  <c r="AB45" i="23424"/>
  <c r="AC45" i="23424"/>
  <c r="BB58" i="23424"/>
  <c r="BA58" i="23424"/>
  <c r="BB55" i="23424"/>
  <c r="BA55" i="23424"/>
  <c r="BB125" i="23424"/>
  <c r="BA125" i="23424"/>
  <c r="AK31" i="23424"/>
  <c r="AJ31" i="23424"/>
  <c r="AB68" i="23424"/>
  <c r="AC68" i="23424"/>
  <c r="AB105" i="23424"/>
  <c r="AC105" i="23424"/>
  <c r="AC126" i="23424"/>
  <c r="AB126" i="23424"/>
  <c r="AC36" i="23424"/>
  <c r="AB36" i="23424"/>
  <c r="AB66" i="23424"/>
  <c r="AC66" i="23424"/>
  <c r="AC180" i="23424"/>
  <c r="AB180" i="23424"/>
  <c r="AC100" i="23424"/>
  <c r="AB100" i="23424"/>
  <c r="AB169" i="23424"/>
  <c r="AC169" i="23424"/>
  <c r="AC195" i="23424"/>
  <c r="AB195" i="23424"/>
  <c r="BA69" i="23424"/>
  <c r="BB69" i="23424"/>
  <c r="BA84" i="23424"/>
  <c r="BB84" i="23424"/>
  <c r="BB83" i="23424"/>
  <c r="BA83" i="23424"/>
  <c r="BB44" i="23424"/>
  <c r="BA44" i="23424"/>
  <c r="BB39" i="23424"/>
  <c r="BA39" i="23424"/>
  <c r="BB76" i="23424"/>
  <c r="BA76" i="23424"/>
  <c r="BB126" i="23424"/>
  <c r="BA126" i="23424"/>
  <c r="BB136" i="23424"/>
  <c r="BA136" i="23424"/>
  <c r="BA152" i="23424"/>
  <c r="BB152" i="23424"/>
  <c r="BB189" i="23424"/>
  <c r="BA189" i="23424"/>
  <c r="AK39" i="23424"/>
  <c r="AJ39" i="23424"/>
  <c r="AK79" i="23424"/>
  <c r="AJ79" i="23424"/>
  <c r="AJ42" i="23424"/>
  <c r="AK42" i="23424"/>
  <c r="AK38" i="23424"/>
  <c r="AJ38" i="23424"/>
  <c r="AK100" i="23424"/>
  <c r="AJ100" i="23424"/>
  <c r="AK89" i="23424"/>
  <c r="AJ89" i="23424"/>
  <c r="AJ143" i="23424"/>
  <c r="AK143" i="23424"/>
  <c r="AK188" i="23424"/>
  <c r="AJ188" i="23424"/>
  <c r="AK196" i="23424"/>
  <c r="AJ196" i="23424"/>
  <c r="AJ201" i="23424"/>
  <c r="AK201" i="23424"/>
  <c r="BE26" i="23424"/>
  <c r="BD26" i="23424"/>
  <c r="BD91" i="23424"/>
  <c r="BE91" i="23424"/>
  <c r="BD54" i="23424"/>
  <c r="BE54" i="23424"/>
  <c r="BE64" i="23424"/>
  <c r="BD64" i="23424"/>
  <c r="BD13" i="23424"/>
  <c r="BE13" i="23424"/>
  <c r="BE79" i="23424"/>
  <c r="BD79" i="23424"/>
  <c r="BD134" i="23424"/>
  <c r="BE134" i="23424"/>
  <c r="BE199" i="23424"/>
  <c r="BD199" i="23424"/>
  <c r="BD188" i="23424"/>
  <c r="BE188" i="23424"/>
  <c r="BH29" i="23424"/>
  <c r="BG29" i="23424"/>
  <c r="BH19" i="23424"/>
  <c r="BG19" i="23424"/>
  <c r="BH39" i="23424"/>
  <c r="BG39" i="23424"/>
  <c r="BG131" i="23424"/>
  <c r="BH131" i="23424"/>
  <c r="BH105" i="23424"/>
  <c r="BG105" i="23424"/>
  <c r="BH148" i="23424"/>
  <c r="BG148" i="23424"/>
  <c r="BH147" i="23424"/>
  <c r="BG147" i="23424"/>
  <c r="BH176" i="23424"/>
  <c r="BG176" i="23424"/>
  <c r="BH127" i="23424"/>
  <c r="BG127" i="23424"/>
  <c r="BH192" i="23424"/>
  <c r="BG192" i="23424"/>
  <c r="AQ22" i="23424"/>
  <c r="AR22" i="23424"/>
  <c r="AR143" i="23424"/>
  <c r="AQ143" i="23424"/>
  <c r="AQ28" i="23424"/>
  <c r="AR28" i="23424"/>
  <c r="AR96" i="23424"/>
  <c r="AQ96" i="23424"/>
  <c r="AR12" i="23424"/>
  <c r="AQ12" i="23424"/>
  <c r="AQ109" i="23424"/>
  <c r="AR109" i="23424"/>
  <c r="AQ98" i="23424"/>
  <c r="AR98" i="23424"/>
  <c r="AQ173" i="23424"/>
  <c r="AR173" i="23424"/>
  <c r="AR186" i="23424"/>
  <c r="AQ186" i="23424"/>
  <c r="AG75" i="23424"/>
  <c r="AF75" i="23424"/>
  <c r="AG12" i="23424"/>
  <c r="AF12" i="23424"/>
  <c r="AG48" i="23424"/>
  <c r="AF48" i="23424"/>
  <c r="AG144" i="23424"/>
  <c r="AF144" i="23424"/>
  <c r="AF16" i="23424"/>
  <c r="AG16" i="23424"/>
  <c r="AG94" i="23424"/>
  <c r="AF94" i="23424"/>
  <c r="AG154" i="23424"/>
  <c r="AF154" i="23424"/>
  <c r="AG133" i="23424"/>
  <c r="AF133" i="23424"/>
  <c r="AG183" i="23424"/>
  <c r="AF183" i="23424"/>
  <c r="AF194" i="23424"/>
  <c r="AG194" i="23424"/>
  <c r="AY93" i="23424"/>
  <c r="AX93" i="23424"/>
  <c r="AX138" i="23424"/>
  <c r="AY138" i="23424"/>
  <c r="AY70" i="23424"/>
  <c r="AX70" i="23424"/>
  <c r="AY22" i="23424"/>
  <c r="AX22" i="23424"/>
  <c r="AX34" i="23424"/>
  <c r="AY34" i="23424"/>
  <c r="AY77" i="23424"/>
  <c r="AX77" i="23424"/>
  <c r="AX110" i="23424"/>
  <c r="AY110" i="23424"/>
  <c r="AX176" i="23424"/>
  <c r="AY176" i="23424"/>
  <c r="AY188" i="23424"/>
  <c r="AX188" i="23424"/>
  <c r="AY185" i="23424"/>
  <c r="AX185" i="23424"/>
  <c r="AO63" i="23424"/>
  <c r="AN63" i="23424"/>
  <c r="AO11" i="23424"/>
  <c r="AN11" i="23424"/>
  <c r="AN20" i="23424"/>
  <c r="AO20" i="23424"/>
  <c r="AO85" i="23424"/>
  <c r="AN85" i="23424"/>
  <c r="AO83" i="23424"/>
  <c r="AN83" i="23424"/>
  <c r="AN115" i="23424"/>
  <c r="AO115" i="23424"/>
  <c r="AN181" i="23424"/>
  <c r="AO181" i="23424"/>
  <c r="AN169" i="23424"/>
  <c r="AO169" i="23424"/>
  <c r="AO200" i="23424"/>
  <c r="AN200" i="23424"/>
  <c r="AT18" i="23424"/>
  <c r="AU18" i="23424"/>
  <c r="AU10" i="23424"/>
  <c r="AT10" i="23424"/>
  <c r="AT13" i="23424"/>
  <c r="AU13" i="23424"/>
  <c r="AU157" i="23424"/>
  <c r="AT157" i="23424"/>
  <c r="AT60" i="23424"/>
  <c r="AU60" i="23424"/>
  <c r="AU80" i="23424"/>
  <c r="AT80" i="23424"/>
  <c r="AU190" i="23424"/>
  <c r="AT190" i="23424"/>
  <c r="AT134" i="23424"/>
  <c r="AU134" i="23424"/>
  <c r="AT133" i="23424"/>
  <c r="AU133" i="23424"/>
  <c r="AU188" i="23424"/>
  <c r="AT188" i="23424"/>
  <c r="AC141" i="23424"/>
  <c r="AB141" i="23424"/>
  <c r="BB93" i="23424"/>
  <c r="BA93" i="23424"/>
  <c r="AJ82" i="23424"/>
  <c r="AK82" i="23424"/>
  <c r="BE34" i="23424"/>
  <c r="BD34" i="23424"/>
  <c r="BH71" i="23424"/>
  <c r="BG71" i="23424"/>
  <c r="BG188" i="23424"/>
  <c r="BH188" i="23424"/>
  <c r="AR141" i="23424"/>
  <c r="AQ141" i="23424"/>
  <c r="AG118" i="23424"/>
  <c r="AF118" i="23424"/>
  <c r="AY149" i="23424"/>
  <c r="AX149" i="23424"/>
  <c r="AN155" i="23424"/>
  <c r="AO155" i="23424"/>
  <c r="AU101" i="23424"/>
  <c r="AT101" i="23424"/>
  <c r="AC26" i="23424"/>
  <c r="AB26" i="23424"/>
  <c r="BB18" i="23424"/>
  <c r="BA18" i="23424"/>
  <c r="BA91" i="23424"/>
  <c r="BB91" i="23424"/>
  <c r="AJ172" i="23424"/>
  <c r="AK172" i="23424"/>
  <c r="BE195" i="23424"/>
  <c r="BD195" i="23424"/>
  <c r="BE161" i="23424"/>
  <c r="BD161" i="23424"/>
  <c r="BH47" i="23424"/>
  <c r="BG47" i="23424"/>
  <c r="AR47" i="23424"/>
  <c r="AQ47" i="23424"/>
  <c r="AR151" i="23424"/>
  <c r="AQ151" i="23424"/>
  <c r="AG71" i="23424"/>
  <c r="AF71" i="23424"/>
  <c r="AX84" i="23424"/>
  <c r="AY84" i="23424"/>
  <c r="AY121" i="23424"/>
  <c r="AX121" i="23424"/>
  <c r="AO154" i="23424"/>
  <c r="AN154" i="23424"/>
  <c r="AT63" i="23424"/>
  <c r="AU63" i="23424"/>
  <c r="AC187" i="23424"/>
  <c r="AB187" i="23424"/>
  <c r="BB96" i="23424"/>
  <c r="BA96" i="23424"/>
  <c r="BB196" i="23424"/>
  <c r="BA196" i="23424"/>
  <c r="AJ149" i="23424"/>
  <c r="AK149" i="23424"/>
  <c r="BE119" i="23424"/>
  <c r="BD119" i="23424"/>
  <c r="BH162" i="23424"/>
  <c r="BG162" i="23424"/>
  <c r="AR73" i="23424"/>
  <c r="AQ73" i="23424"/>
  <c r="AR133" i="23424"/>
  <c r="AQ133" i="23424"/>
  <c r="AF95" i="23424"/>
  <c r="AG95" i="23424"/>
  <c r="AX76" i="23424"/>
  <c r="AY76" i="23424"/>
  <c r="AO99" i="23424"/>
  <c r="AN99" i="23424"/>
  <c r="AT176" i="23424"/>
  <c r="AU176" i="23424"/>
  <c r="AC177" i="23424"/>
  <c r="AB177" i="23424"/>
  <c r="BB71" i="23424"/>
  <c r="BA71" i="23424"/>
  <c r="BB162" i="23424"/>
  <c r="BA162" i="23424"/>
  <c r="AK115" i="23424"/>
  <c r="AJ115" i="23424"/>
  <c r="BE116" i="23424"/>
  <c r="BD116" i="23424"/>
  <c r="BE201" i="23424"/>
  <c r="BD201" i="23424"/>
  <c r="BH18" i="23424"/>
  <c r="BG18" i="23424"/>
  <c r="BH194" i="23424"/>
  <c r="BG194" i="23424"/>
  <c r="AR108" i="23424"/>
  <c r="AQ108" i="23424"/>
  <c r="AG196" i="23424"/>
  <c r="AF196" i="23424"/>
  <c r="AF114" i="23424"/>
  <c r="AG114" i="23424"/>
  <c r="AY13" i="23424"/>
  <c r="AX13" i="23424"/>
  <c r="AX136" i="23424"/>
  <c r="AY136" i="23424"/>
  <c r="AN176" i="23424"/>
  <c r="AO176" i="23424"/>
  <c r="AN189" i="23424"/>
  <c r="AO189" i="23424"/>
  <c r="AU78" i="23424"/>
  <c r="AT78" i="23424"/>
  <c r="AB143" i="23424"/>
  <c r="AC143" i="23424"/>
  <c r="BA161" i="23424"/>
  <c r="BB161" i="23424"/>
  <c r="AK118" i="23424"/>
  <c r="AJ118" i="23424"/>
  <c r="BD159" i="23424"/>
  <c r="BE159" i="23424"/>
  <c r="BH132" i="23424"/>
  <c r="BG132" i="23424"/>
  <c r="AR111" i="23424"/>
  <c r="AQ111" i="23424"/>
  <c r="AF123" i="23424"/>
  <c r="AG123" i="23424"/>
  <c r="AY191" i="23424"/>
  <c r="AX191" i="23424"/>
  <c r="AT164" i="23424"/>
  <c r="AU164" i="23424"/>
  <c r="AC42" i="23424"/>
  <c r="AB42" i="23424"/>
  <c r="BB78" i="23424"/>
  <c r="BA78" i="23424"/>
  <c r="BB180" i="23424"/>
  <c r="BA180" i="23424"/>
  <c r="AK131" i="23424"/>
  <c r="AJ131" i="23424"/>
  <c r="AK106" i="23424"/>
  <c r="AJ106" i="23424"/>
  <c r="BE55" i="23424"/>
  <c r="BD55" i="23424"/>
  <c r="BG67" i="23424"/>
  <c r="BH67" i="23424"/>
  <c r="BH186" i="23424"/>
  <c r="BG186" i="23424"/>
  <c r="AR59" i="23424"/>
  <c r="AQ59" i="23424"/>
  <c r="AR169" i="23424"/>
  <c r="AQ169" i="23424"/>
  <c r="AG106" i="23424"/>
  <c r="AF106" i="23424"/>
  <c r="AY95" i="23424"/>
  <c r="AX95" i="23424"/>
  <c r="AY190" i="23424"/>
  <c r="AX190" i="23424"/>
  <c r="AN146" i="23424"/>
  <c r="AO146" i="23424"/>
  <c r="AT153" i="23424"/>
  <c r="AU153" i="23424"/>
  <c r="AC62" i="23424"/>
  <c r="AB62" i="23424"/>
  <c r="BA87" i="23424"/>
  <c r="BB87" i="23424"/>
  <c r="AJ30" i="23424"/>
  <c r="AK30" i="23424"/>
  <c r="BE146" i="23424"/>
  <c r="BD146" i="23424"/>
  <c r="BG104" i="23424"/>
  <c r="BH104" i="23424"/>
  <c r="AQ136" i="23424"/>
  <c r="AR136" i="23424"/>
  <c r="AG112" i="23424"/>
  <c r="AF112" i="23424"/>
  <c r="AY196" i="23424"/>
  <c r="AX196" i="23424"/>
  <c r="AT169" i="23424"/>
  <c r="AU169" i="23424"/>
  <c r="AC134" i="23424"/>
  <c r="AB134" i="23424"/>
  <c r="AC120" i="23424"/>
  <c r="AB120" i="23424"/>
  <c r="BA73" i="23424"/>
  <c r="BB73" i="23424"/>
  <c r="BB36" i="23424"/>
  <c r="BA36" i="23424"/>
  <c r="BB164" i="23424"/>
  <c r="BA164" i="23424"/>
  <c r="AK17" i="23424"/>
  <c r="AJ17" i="23424"/>
  <c r="AK50" i="23424"/>
  <c r="AJ50" i="23424"/>
  <c r="AK175" i="23424"/>
  <c r="AJ175" i="23424"/>
  <c r="BE171" i="23424"/>
  <c r="BD171" i="23424"/>
  <c r="BE194" i="23424"/>
  <c r="BD194" i="23424"/>
  <c r="BH86" i="23424"/>
  <c r="BG86" i="23424"/>
  <c r="BH163" i="23424"/>
  <c r="BG163" i="23424"/>
  <c r="AR34" i="23424"/>
  <c r="AQ34" i="23424"/>
  <c r="AR127" i="23424"/>
  <c r="AQ127" i="23424"/>
  <c r="AR162" i="23424"/>
  <c r="AQ162" i="23424"/>
  <c r="AG68" i="23424"/>
  <c r="AF68" i="23424"/>
  <c r="AG13" i="23424"/>
  <c r="AF13" i="23424"/>
  <c r="AG137" i="23424"/>
  <c r="AF137" i="23424"/>
  <c r="AX10" i="23424"/>
  <c r="AY10" i="23424"/>
  <c r="AY79" i="23424"/>
  <c r="AX79" i="23424"/>
  <c r="AX115" i="23424"/>
  <c r="AY115" i="23424"/>
  <c r="AO47" i="23424"/>
  <c r="AN47" i="23424"/>
  <c r="AN75" i="23424"/>
  <c r="AO75" i="23424"/>
  <c r="AO188" i="23424"/>
  <c r="AN188" i="23424"/>
  <c r="AU32" i="23424"/>
  <c r="AT32" i="23424"/>
  <c r="AT22" i="23424"/>
  <c r="AU22" i="23424"/>
  <c r="AU124" i="23424"/>
  <c r="AT124" i="23424"/>
  <c r="AC164" i="23424"/>
  <c r="AB164" i="23424"/>
  <c r="BA173" i="23424"/>
  <c r="BB173" i="23424"/>
  <c r="BE115" i="23424"/>
  <c r="BD115" i="23424"/>
  <c r="BH48" i="23424"/>
  <c r="BG48" i="23424"/>
  <c r="AR20" i="23424"/>
  <c r="AQ20" i="23424"/>
  <c r="AG156" i="23424"/>
  <c r="AF156" i="23424"/>
  <c r="AU115" i="23424"/>
  <c r="AT115" i="23424"/>
  <c r="AB54" i="23424"/>
  <c r="AC54" i="23424"/>
  <c r="AB138" i="23424"/>
  <c r="AC138" i="23424"/>
  <c r="BB27" i="23424"/>
  <c r="BA27" i="23424"/>
  <c r="AC16" i="23424"/>
  <c r="AB16" i="23424"/>
  <c r="AC157" i="23424"/>
  <c r="AB157" i="23424"/>
  <c r="BB19" i="23424"/>
  <c r="BA19" i="23424"/>
  <c r="AK72" i="23424"/>
  <c r="AJ72" i="23424"/>
  <c r="AC10" i="23424"/>
  <c r="AB10" i="23424"/>
  <c r="AC113" i="23424"/>
  <c r="AB113" i="23424"/>
  <c r="AB58" i="23424"/>
  <c r="AC58" i="23424"/>
  <c r="AC56" i="23424"/>
  <c r="AB56" i="23424"/>
  <c r="AC166" i="23424"/>
  <c r="AB166" i="23424"/>
  <c r="AC136" i="23424"/>
  <c r="AB136" i="23424"/>
  <c r="AB132" i="23424"/>
  <c r="AC132" i="23424"/>
  <c r="AC186" i="23424"/>
  <c r="AB186" i="23424"/>
  <c r="AC184" i="23424"/>
  <c r="AB184" i="23424"/>
  <c r="BA20" i="23424"/>
  <c r="BB20" i="23424"/>
  <c r="BA17" i="23424"/>
  <c r="BB17" i="23424"/>
  <c r="BB32" i="23424"/>
  <c r="BA32" i="23424"/>
  <c r="BA95" i="23424"/>
  <c r="BB95" i="23424"/>
  <c r="BB59" i="23424"/>
  <c r="BA59" i="23424"/>
  <c r="BB107" i="23424"/>
  <c r="BA107" i="23424"/>
  <c r="BA183" i="23424"/>
  <c r="BB183" i="23424"/>
  <c r="BB137" i="23424"/>
  <c r="BA137" i="23424"/>
  <c r="BB111" i="23424"/>
  <c r="BA111" i="23424"/>
  <c r="BB201" i="23424"/>
  <c r="BA201" i="23424"/>
  <c r="AJ107" i="23424"/>
  <c r="AK107" i="23424"/>
  <c r="AK11" i="23424"/>
  <c r="AJ11" i="23424"/>
  <c r="AK25" i="23424"/>
  <c r="AJ25" i="23424"/>
  <c r="AK58" i="23424"/>
  <c r="AJ58" i="23424"/>
  <c r="AJ101" i="23424"/>
  <c r="AK101" i="23424"/>
  <c r="AK94" i="23424"/>
  <c r="AJ94" i="23424"/>
  <c r="AK121" i="23424"/>
  <c r="AJ121" i="23424"/>
  <c r="AK130" i="23424"/>
  <c r="AJ130" i="23424"/>
  <c r="AK182" i="23424"/>
  <c r="AJ182" i="23424"/>
  <c r="BE58" i="23424"/>
  <c r="BD58" i="23424"/>
  <c r="BD62" i="23424"/>
  <c r="BE62" i="23424"/>
  <c r="BE112" i="23424"/>
  <c r="BD112" i="23424"/>
  <c r="BD72" i="23424"/>
  <c r="BE72" i="23424"/>
  <c r="BE83" i="23424"/>
  <c r="BD83" i="23424"/>
  <c r="BD33" i="23424"/>
  <c r="BE33" i="23424"/>
  <c r="BE179" i="23424"/>
  <c r="BD179" i="23424"/>
  <c r="BE128" i="23424"/>
  <c r="BD128" i="23424"/>
  <c r="BD139" i="23424"/>
  <c r="BE139" i="23424"/>
  <c r="BE123" i="23424"/>
  <c r="BD123" i="23424"/>
  <c r="BH85" i="23424"/>
  <c r="BG85" i="23424"/>
  <c r="BG37" i="23424"/>
  <c r="BH37" i="23424"/>
  <c r="BH16" i="23424"/>
  <c r="BG16" i="23424"/>
  <c r="BH133" i="23424"/>
  <c r="BG133" i="23424"/>
  <c r="BG24" i="23424"/>
  <c r="BH24" i="23424"/>
  <c r="BH81" i="23424"/>
  <c r="BG81" i="23424"/>
  <c r="BG187" i="23424"/>
  <c r="BH187" i="23424"/>
  <c r="BG153" i="23424"/>
  <c r="BH153" i="23424"/>
  <c r="BG139" i="23424"/>
  <c r="BH139" i="23424"/>
  <c r="BG195" i="23424"/>
  <c r="BH195" i="23424"/>
  <c r="AR56" i="23424"/>
  <c r="AQ56" i="23424"/>
  <c r="AR44" i="23424"/>
  <c r="AQ44" i="23424"/>
  <c r="AR10" i="23424"/>
  <c r="AQ10" i="23424"/>
  <c r="AR124" i="23424"/>
  <c r="AQ124" i="23424"/>
  <c r="AR32" i="23424"/>
  <c r="AQ32" i="23424"/>
  <c r="AR178" i="23424"/>
  <c r="AQ178" i="23424"/>
  <c r="AQ148" i="23424"/>
  <c r="AR148" i="23424"/>
  <c r="AQ174" i="23424"/>
  <c r="AR174" i="23424"/>
  <c r="AR191" i="23424"/>
  <c r="AQ191" i="23424"/>
  <c r="AG44" i="23424"/>
  <c r="AF44" i="23424"/>
  <c r="AG67" i="23424"/>
  <c r="AF67" i="23424"/>
  <c r="AG62" i="23424"/>
  <c r="AF62" i="23424"/>
  <c r="AG69" i="23424"/>
  <c r="AF69" i="23424"/>
  <c r="AF36" i="23424"/>
  <c r="AG36" i="23424"/>
  <c r="AG120" i="23424"/>
  <c r="AF120" i="23424"/>
  <c r="AG148" i="23424"/>
  <c r="AF148" i="23424"/>
  <c r="AF147" i="23424"/>
  <c r="AG147" i="23424"/>
  <c r="AG189" i="23424"/>
  <c r="AF189" i="23424"/>
  <c r="AG195" i="23424"/>
  <c r="AF195" i="23424"/>
  <c r="AX105" i="23424"/>
  <c r="AY105" i="23424"/>
  <c r="AX195" i="23424"/>
  <c r="AY195" i="23424"/>
  <c r="AX12" i="23424"/>
  <c r="AY12" i="23424"/>
  <c r="AY42" i="23424"/>
  <c r="AX42" i="23424"/>
  <c r="AX54" i="23424"/>
  <c r="AY54" i="23424"/>
  <c r="AY150" i="23424"/>
  <c r="AX150" i="23424"/>
  <c r="AY112" i="23424"/>
  <c r="AX112" i="23424"/>
  <c r="AY181" i="23424"/>
  <c r="AX181" i="23424"/>
  <c r="AY192" i="23424"/>
  <c r="AX192" i="23424"/>
  <c r="AO54" i="23424"/>
  <c r="AN54" i="23424"/>
  <c r="AO39" i="23424"/>
  <c r="AN39" i="23424"/>
  <c r="AO50" i="23424"/>
  <c r="AN50" i="23424"/>
  <c r="AN40" i="23424"/>
  <c r="AO40" i="23424"/>
  <c r="AO86" i="23424"/>
  <c r="AN86" i="23424"/>
  <c r="AO129" i="23424"/>
  <c r="AN129" i="23424"/>
  <c r="AN161" i="23424"/>
  <c r="AO161" i="23424"/>
  <c r="AN133" i="23424"/>
  <c r="AO133" i="23424"/>
  <c r="AN130" i="23424"/>
  <c r="AO130" i="23424"/>
  <c r="AO128" i="23424"/>
  <c r="AN128" i="23424"/>
  <c r="AT97" i="23424"/>
  <c r="AU97" i="23424"/>
  <c r="AU55" i="23424"/>
  <c r="AT55" i="23424"/>
  <c r="AU27" i="23424"/>
  <c r="AT27" i="23424"/>
  <c r="AU162" i="23424"/>
  <c r="AT162" i="23424"/>
  <c r="AU94" i="23424"/>
  <c r="AT94" i="23424"/>
  <c r="AT83" i="23424"/>
  <c r="AU83" i="23424"/>
  <c r="AU113" i="23424"/>
  <c r="AT113" i="23424"/>
  <c r="AT147" i="23424"/>
  <c r="AU147" i="23424"/>
  <c r="AT142" i="23424"/>
  <c r="AU142" i="23424"/>
  <c r="AT191" i="23424"/>
  <c r="AU191" i="23424"/>
  <c r="AC39" i="23424"/>
  <c r="AB39" i="23424"/>
  <c r="BB105" i="23424"/>
  <c r="BA105" i="23424"/>
  <c r="AJ170" i="23424"/>
  <c r="AK170" i="23424"/>
  <c r="BD190" i="23424"/>
  <c r="BE190" i="23424"/>
  <c r="AR38" i="23424"/>
  <c r="AQ38" i="23424"/>
  <c r="AG47" i="23424"/>
  <c r="AF47" i="23424"/>
  <c r="AY184" i="23424"/>
  <c r="AX184" i="23424"/>
  <c r="AU189" i="23424"/>
  <c r="AT189" i="23424"/>
  <c r="AC150" i="23424"/>
  <c r="AB150" i="23424"/>
  <c r="BA35" i="23424"/>
  <c r="BB35" i="23424"/>
  <c r="BA85" i="23424"/>
  <c r="BB85" i="23424"/>
  <c r="AK33" i="23424"/>
  <c r="AJ33" i="23424"/>
  <c r="AK141" i="23424"/>
  <c r="AJ141" i="23424"/>
  <c r="BE57" i="23424"/>
  <c r="BD57" i="23424"/>
  <c r="BE81" i="23424"/>
  <c r="BD81" i="23424"/>
  <c r="BD163" i="23424"/>
  <c r="BE163" i="23424"/>
  <c r="BG59" i="23424"/>
  <c r="BH59" i="23424"/>
  <c r="BH92" i="23424"/>
  <c r="BG92" i="23424"/>
  <c r="BH196" i="23424"/>
  <c r="BG196" i="23424"/>
  <c r="AQ51" i="23424"/>
  <c r="AR51" i="23424"/>
  <c r="AR171" i="23424"/>
  <c r="AQ171" i="23424"/>
  <c r="AR196" i="23424"/>
  <c r="AQ196" i="23424"/>
  <c r="AG17" i="23424"/>
  <c r="AF17" i="23424"/>
  <c r="AG100" i="23424"/>
  <c r="AF100" i="23424"/>
  <c r="AG172" i="23424"/>
  <c r="AF172" i="23424"/>
  <c r="AF170" i="23424"/>
  <c r="AG170" i="23424"/>
  <c r="AY87" i="23424"/>
  <c r="AX87" i="23424"/>
  <c r="AX166" i="23424"/>
  <c r="AY166" i="23424"/>
  <c r="AX186" i="23424"/>
  <c r="AY186" i="23424"/>
  <c r="AO56" i="23424"/>
  <c r="AN56" i="23424"/>
  <c r="AN87" i="23424"/>
  <c r="AO87" i="23424"/>
  <c r="AO132" i="23424"/>
  <c r="AN132" i="23424"/>
  <c r="AO166" i="23424"/>
  <c r="AN166" i="23424"/>
  <c r="AT30" i="23424"/>
  <c r="AU30" i="23424"/>
  <c r="AT121" i="23424"/>
  <c r="AU121" i="23424"/>
  <c r="AT19" i="23424"/>
  <c r="AU19" i="23424"/>
  <c r="AC153" i="23424"/>
  <c r="AB153" i="23424"/>
  <c r="BB191" i="23424"/>
  <c r="BA191" i="23424"/>
  <c r="AK87" i="23424"/>
  <c r="AJ87" i="23424"/>
  <c r="BD136" i="23424"/>
  <c r="BE136" i="23424"/>
  <c r="BG56" i="23424"/>
  <c r="BH56" i="23424"/>
  <c r="AR13" i="23424"/>
  <c r="AQ13" i="23424"/>
  <c r="AR167" i="23424"/>
  <c r="AQ167" i="23424"/>
  <c r="AF162" i="23424"/>
  <c r="AG162" i="23424"/>
  <c r="AY193" i="23424"/>
  <c r="AX193" i="23424"/>
  <c r="AU11" i="23424"/>
  <c r="AT11" i="23424"/>
  <c r="AC115" i="23424"/>
  <c r="AB115" i="23424"/>
  <c r="BA34" i="23424"/>
  <c r="BB34" i="23424"/>
  <c r="BB116" i="23424"/>
  <c r="BA116" i="23424"/>
  <c r="AK66" i="23424"/>
  <c r="AJ66" i="23424"/>
  <c r="AJ167" i="23424"/>
  <c r="AK167" i="23424"/>
  <c r="BE122" i="23424"/>
  <c r="BD122" i="23424"/>
  <c r="BD124" i="23424"/>
  <c r="BE124" i="23424"/>
  <c r="BH73" i="23424"/>
  <c r="BG73" i="23424"/>
  <c r="BG145" i="23424"/>
  <c r="BH145" i="23424"/>
  <c r="AR17" i="23424"/>
  <c r="AQ17" i="23424"/>
  <c r="AQ132" i="23424"/>
  <c r="AR132" i="23424"/>
  <c r="AQ185" i="23424"/>
  <c r="AR185" i="23424"/>
  <c r="AF42" i="23424"/>
  <c r="AG42" i="23424"/>
  <c r="AG31" i="23424"/>
  <c r="AF31" i="23424"/>
  <c r="AF151" i="23424"/>
  <c r="AG151" i="23424"/>
  <c r="AX18" i="23424"/>
  <c r="AY18" i="23424"/>
  <c r="AX17" i="23424"/>
  <c r="AY17" i="23424"/>
  <c r="AY66" i="23424"/>
  <c r="AX66" i="23424"/>
  <c r="AX137" i="23424"/>
  <c r="AY137" i="23424"/>
  <c r="AN198" i="23424"/>
  <c r="AO198" i="23424"/>
  <c r="AO26" i="23424"/>
  <c r="AN26" i="23424"/>
  <c r="AO138" i="23424"/>
  <c r="AN138" i="23424"/>
  <c r="AO134" i="23424"/>
  <c r="AN134" i="23424"/>
  <c r="AU16" i="23424"/>
  <c r="AT16" i="23424"/>
  <c r="AU38" i="23424"/>
  <c r="AT38" i="23424"/>
  <c r="AU31" i="23424"/>
  <c r="AT31" i="23424"/>
  <c r="AC43" i="23424"/>
  <c r="AB43" i="23424"/>
  <c r="BB40" i="23424"/>
  <c r="BA40" i="23424"/>
  <c r="AJ28" i="23424"/>
  <c r="AK28" i="23424"/>
  <c r="AK183" i="23424"/>
  <c r="AJ183" i="23424"/>
  <c r="BE110" i="23424"/>
  <c r="BD110" i="23424"/>
  <c r="BG177" i="23424"/>
  <c r="BH177" i="23424"/>
  <c r="AQ86" i="23424"/>
  <c r="AR86" i="23424"/>
  <c r="AG136" i="23424"/>
  <c r="AF136" i="23424"/>
  <c r="AY91" i="23424"/>
  <c r="AX91" i="23424"/>
  <c r="AT108" i="23424"/>
  <c r="AU108" i="23424"/>
  <c r="AB47" i="23424"/>
  <c r="AC47" i="23424"/>
  <c r="AB196" i="23424"/>
  <c r="AC196" i="23424"/>
  <c r="BB45" i="23424"/>
  <c r="BA45" i="23424"/>
  <c r="BB132" i="23424"/>
  <c r="BA132" i="23424"/>
  <c r="AK91" i="23424"/>
  <c r="AJ91" i="23424"/>
  <c r="BE68" i="23424"/>
  <c r="BD68" i="23424"/>
  <c r="BE142" i="23424"/>
  <c r="BD142" i="23424"/>
  <c r="BG159" i="23424"/>
  <c r="BH159" i="23424"/>
  <c r="AR61" i="23424"/>
  <c r="AQ61" i="23424"/>
  <c r="AR68" i="23424"/>
  <c r="AQ68" i="23424"/>
  <c r="AQ180" i="23424"/>
  <c r="AR180" i="23424"/>
  <c r="AG125" i="23424"/>
  <c r="AF125" i="23424"/>
  <c r="AF88" i="23424"/>
  <c r="AG88" i="23424"/>
  <c r="AX40" i="23424"/>
  <c r="AY40" i="23424"/>
  <c r="AX88" i="23424"/>
  <c r="AY88" i="23424"/>
  <c r="AY71" i="23424"/>
  <c r="AX71" i="23424"/>
  <c r="AY142" i="23424"/>
  <c r="AX142" i="23424"/>
  <c r="AO107" i="23424"/>
  <c r="AN107" i="23424"/>
  <c r="AO29" i="23424"/>
  <c r="AN29" i="23424"/>
  <c r="AN125" i="23424"/>
  <c r="AO125" i="23424"/>
  <c r="AN163" i="23424"/>
  <c r="AO163" i="23424"/>
  <c r="AU58" i="23424"/>
  <c r="AT58" i="23424"/>
  <c r="AU109" i="23424"/>
  <c r="AT109" i="23424"/>
  <c r="AU67" i="23424"/>
  <c r="AT67" i="23424"/>
  <c r="AB34" i="23424"/>
  <c r="AC34" i="23424"/>
  <c r="AC159" i="23424"/>
  <c r="AB159" i="23424"/>
  <c r="AK14" i="23424"/>
  <c r="AJ14" i="23424"/>
  <c r="BD42" i="23424"/>
  <c r="BE42" i="23424"/>
  <c r="BH108" i="23424"/>
  <c r="BG108" i="23424"/>
  <c r="AR71" i="23424"/>
  <c r="AQ71" i="23424"/>
  <c r="AQ193" i="23424"/>
  <c r="AR193" i="23424"/>
  <c r="AG181" i="23424"/>
  <c r="AF181" i="23424"/>
  <c r="AY117" i="23424"/>
  <c r="AX117" i="23424"/>
  <c r="AO109" i="23424"/>
  <c r="AN109" i="23424"/>
  <c r="AU110" i="23424"/>
  <c r="AT110" i="23424"/>
  <c r="AC161" i="23424"/>
  <c r="AB161" i="23424"/>
  <c r="BB144" i="23424"/>
  <c r="BA144" i="23424"/>
  <c r="AK120" i="23424"/>
  <c r="AJ120" i="23424"/>
  <c r="BE10" i="23424"/>
  <c r="BD10" i="23424"/>
  <c r="BH179" i="23424"/>
  <c r="BG179" i="23424"/>
  <c r="BG144" i="23424"/>
  <c r="BH144" i="23424"/>
  <c r="AR145" i="23424"/>
  <c r="AQ145" i="23424"/>
  <c r="AG18" i="23424"/>
  <c r="AF18" i="23424"/>
  <c r="AF166" i="23424"/>
  <c r="AG166" i="23424"/>
  <c r="AY106" i="23424"/>
  <c r="AX106" i="23424"/>
  <c r="AO67" i="23424"/>
  <c r="AN67" i="23424"/>
  <c r="AO191" i="23424"/>
  <c r="AN191" i="23424"/>
  <c r="AU74" i="23424"/>
  <c r="AT74" i="23424"/>
  <c r="AC125" i="23424"/>
  <c r="AB125" i="23424"/>
  <c r="BB149" i="23424"/>
  <c r="BA149" i="23424"/>
  <c r="AK93" i="23424"/>
  <c r="AJ93" i="23424"/>
  <c r="BE176" i="23424"/>
  <c r="BD176" i="23424"/>
  <c r="AQ41" i="23424"/>
  <c r="AR41" i="23424"/>
  <c r="AG33" i="23424"/>
  <c r="AF33" i="23424"/>
  <c r="AU37" i="23424"/>
  <c r="AT37" i="23424"/>
  <c r="AC106" i="23424"/>
  <c r="AB106" i="23424"/>
  <c r="AC97" i="23424"/>
  <c r="AB97" i="23424"/>
  <c r="AK18" i="23424"/>
  <c r="AJ18" i="23424"/>
  <c r="AC12" i="23424"/>
  <c r="AB12" i="23424"/>
  <c r="AB75" i="23424"/>
  <c r="AC75" i="23424"/>
  <c r="AC23" i="23424"/>
  <c r="AB23" i="23424"/>
  <c r="AC84" i="23424"/>
  <c r="AB84" i="23424"/>
  <c r="AC28" i="23424"/>
  <c r="AB28" i="23424"/>
  <c r="AC71" i="23424"/>
  <c r="AB71" i="23424"/>
  <c r="AB160" i="23424"/>
  <c r="AC160" i="23424"/>
  <c r="AC191" i="23424"/>
  <c r="AB191" i="23424"/>
  <c r="AC194" i="23424"/>
  <c r="AB194" i="23424"/>
  <c r="BB48" i="23424"/>
  <c r="BA48" i="23424"/>
  <c r="BB147" i="23424"/>
  <c r="BA147" i="23424"/>
  <c r="BB47" i="23424"/>
  <c r="BA47" i="23424"/>
  <c r="BB97" i="23424"/>
  <c r="BA97" i="23424"/>
  <c r="BB66" i="23424"/>
  <c r="BA66" i="23424"/>
  <c r="BB121" i="23424"/>
  <c r="BA121" i="23424"/>
  <c r="BB118" i="23424"/>
  <c r="BA118" i="23424"/>
  <c r="BB143" i="23424"/>
  <c r="BA143" i="23424"/>
  <c r="BA117" i="23424"/>
  <c r="BB117" i="23424"/>
  <c r="BB187" i="23424"/>
  <c r="BA187" i="23424"/>
  <c r="AK80" i="23424"/>
  <c r="AJ80" i="23424"/>
  <c r="AK52" i="23424"/>
  <c r="AJ52" i="23424"/>
  <c r="AK43" i="23424"/>
  <c r="AJ43" i="23424"/>
  <c r="AK21" i="23424"/>
  <c r="AJ21" i="23424"/>
  <c r="AK155" i="23424"/>
  <c r="AJ155" i="23424"/>
  <c r="AK124" i="23424"/>
  <c r="AJ124" i="23424"/>
  <c r="AK151" i="23424"/>
  <c r="AJ151" i="23424"/>
  <c r="AK148" i="23424"/>
  <c r="AJ148" i="23424"/>
  <c r="AK190" i="23424"/>
  <c r="AJ190" i="23424"/>
  <c r="BE92" i="23424"/>
  <c r="BD92" i="23424"/>
  <c r="BE18" i="23424"/>
  <c r="BD18" i="23424"/>
  <c r="BE117" i="23424"/>
  <c r="BD117" i="23424"/>
  <c r="BE96" i="23424"/>
  <c r="BD96" i="23424"/>
  <c r="BE95" i="23424"/>
  <c r="BD95" i="23424"/>
  <c r="BD53" i="23424"/>
  <c r="BE53" i="23424"/>
  <c r="BE152" i="23424"/>
  <c r="BD152" i="23424"/>
  <c r="BE129" i="23424"/>
  <c r="BD129" i="23424"/>
  <c r="BE162" i="23424"/>
  <c r="BD162" i="23424"/>
  <c r="BD143" i="23424"/>
  <c r="BE143" i="23424"/>
  <c r="BG43" i="23424"/>
  <c r="BH43" i="23424"/>
  <c r="BG45" i="23424"/>
  <c r="BH45" i="23424"/>
  <c r="BH34" i="23424"/>
  <c r="BG34" i="23424"/>
  <c r="BH109" i="23424"/>
  <c r="BG109" i="23424"/>
  <c r="BG44" i="23424"/>
  <c r="BH44" i="23424"/>
  <c r="BH89" i="23424"/>
  <c r="BG89" i="23424"/>
  <c r="BH90" i="23424"/>
  <c r="BG90" i="23424"/>
  <c r="BG107" i="23424"/>
  <c r="BH107" i="23424"/>
  <c r="BH150" i="23424"/>
  <c r="BG150" i="23424"/>
  <c r="BH158" i="23424"/>
  <c r="BG158" i="23424"/>
  <c r="AQ65" i="23424"/>
  <c r="AR65" i="23424"/>
  <c r="AR90" i="23424"/>
  <c r="AQ90" i="23424"/>
  <c r="AR42" i="23424"/>
  <c r="AQ42" i="23424"/>
  <c r="AR176" i="23424"/>
  <c r="AQ176" i="23424"/>
  <c r="AR52" i="23424"/>
  <c r="AQ52" i="23424"/>
  <c r="AR155" i="23424"/>
  <c r="AQ155" i="23424"/>
  <c r="AR122" i="23424"/>
  <c r="AQ122" i="23424"/>
  <c r="AQ199" i="23424"/>
  <c r="AR199" i="23424"/>
  <c r="AQ159" i="23424"/>
  <c r="AR159" i="23424"/>
  <c r="AF15" i="23424"/>
  <c r="AG15" i="23424"/>
  <c r="AF51" i="23424"/>
  <c r="AG51" i="23424"/>
  <c r="AG63" i="23424"/>
  <c r="AF63" i="23424"/>
  <c r="AG64" i="23424"/>
  <c r="AF64" i="23424"/>
  <c r="AF56" i="23424"/>
  <c r="AG56" i="23424"/>
  <c r="AG76" i="23424"/>
  <c r="AF76" i="23424"/>
  <c r="AG158" i="23424"/>
  <c r="AF158" i="23424"/>
  <c r="AG165" i="23424"/>
  <c r="AF165" i="23424"/>
  <c r="AF131" i="23424"/>
  <c r="AG131" i="23424"/>
  <c r="AG201" i="23424"/>
  <c r="AF201" i="23424"/>
  <c r="AX57" i="23424"/>
  <c r="AY57" i="23424"/>
  <c r="AY39" i="23424"/>
  <c r="AX39" i="23424"/>
  <c r="AY36" i="23424"/>
  <c r="AX36" i="23424"/>
  <c r="AY62" i="23424"/>
  <c r="AX62" i="23424"/>
  <c r="AY67" i="23424"/>
  <c r="AX67" i="23424"/>
  <c r="AY147" i="23424"/>
  <c r="AX147" i="23424"/>
  <c r="AY114" i="23424"/>
  <c r="AX114" i="23424"/>
  <c r="AY200" i="23424"/>
  <c r="AX200" i="23424"/>
  <c r="AY197" i="23424"/>
  <c r="AX197" i="23424"/>
  <c r="AO23" i="23424"/>
  <c r="AN23" i="23424"/>
  <c r="AO73" i="23424"/>
  <c r="AN73" i="23424"/>
  <c r="AO42" i="23424"/>
  <c r="AN42" i="23424"/>
  <c r="AO60" i="23424"/>
  <c r="AN60" i="23424"/>
  <c r="AO15" i="23424"/>
  <c r="AN15" i="23424"/>
  <c r="AO135" i="23424"/>
  <c r="AN135" i="23424"/>
  <c r="AO187" i="23424"/>
  <c r="AN187" i="23424"/>
  <c r="AO162" i="23424"/>
  <c r="AN162" i="23424"/>
  <c r="AN158" i="23424"/>
  <c r="AO158" i="23424"/>
  <c r="AO148" i="23424"/>
  <c r="AN148" i="23424"/>
  <c r="AU49" i="23424"/>
  <c r="AT49" i="23424"/>
  <c r="AT82" i="23424"/>
  <c r="AU82" i="23424"/>
  <c r="AU64" i="23424"/>
  <c r="AT64" i="23424"/>
  <c r="AU87" i="23424"/>
  <c r="AT87" i="23424"/>
  <c r="AT96" i="23424"/>
  <c r="AU96" i="23424"/>
  <c r="AU86" i="23424"/>
  <c r="AT86" i="23424"/>
  <c r="AU123" i="23424"/>
  <c r="AT123" i="23424"/>
  <c r="AU103" i="23424"/>
  <c r="AT103" i="23424"/>
  <c r="AU155" i="23424"/>
  <c r="AT155" i="23424"/>
  <c r="AT154" i="23424"/>
  <c r="AU154" i="23424"/>
  <c r="AB64" i="23424"/>
  <c r="AC64" i="23424"/>
  <c r="AC197" i="23424"/>
  <c r="AB197" i="23424"/>
  <c r="BB177" i="23424"/>
  <c r="BA177" i="23424"/>
  <c r="AJ26" i="23424"/>
  <c r="AK26" i="23424"/>
  <c r="AK138" i="23424"/>
  <c r="AJ138" i="23424"/>
  <c r="BE40" i="23424"/>
  <c r="BD40" i="23424"/>
  <c r="BE198" i="23424"/>
  <c r="BD198" i="23424"/>
  <c r="BH84" i="23424"/>
  <c r="BG84" i="23424"/>
  <c r="AR78" i="23424"/>
  <c r="AQ78" i="23424"/>
  <c r="AR187" i="23424"/>
  <c r="AQ187" i="23424"/>
  <c r="AG99" i="23424"/>
  <c r="AF99" i="23424"/>
  <c r="AY94" i="23424"/>
  <c r="AX94" i="23424"/>
  <c r="AO62" i="23424"/>
  <c r="AN62" i="23424"/>
  <c r="AN131" i="23424"/>
  <c r="AO131" i="23424"/>
  <c r="AT122" i="23424"/>
  <c r="AU122" i="23424"/>
  <c r="AC155" i="23424"/>
  <c r="AB155" i="23424"/>
  <c r="BA123" i="23424"/>
  <c r="BB123" i="23424"/>
  <c r="AK126" i="23424"/>
  <c r="AJ126" i="23424"/>
  <c r="BD12" i="23424"/>
  <c r="BE12" i="23424"/>
  <c r="BE93" i="23424"/>
  <c r="BD93" i="23424"/>
  <c r="BH17" i="23424"/>
  <c r="BG17" i="23424"/>
  <c r="BG200" i="23424"/>
  <c r="BH200" i="23424"/>
  <c r="AR92" i="23424"/>
  <c r="AQ92" i="23424"/>
  <c r="AG25" i="23424"/>
  <c r="AF25" i="23424"/>
  <c r="AF143" i="23424"/>
  <c r="AG143" i="23424"/>
  <c r="AX118" i="23424"/>
  <c r="AY118" i="23424"/>
  <c r="AY119" i="23424"/>
  <c r="AX119" i="23424"/>
  <c r="AO108" i="23424"/>
  <c r="AN108" i="23424"/>
  <c r="AO119" i="23424"/>
  <c r="AN119" i="23424"/>
  <c r="AU183" i="23424"/>
  <c r="AT183" i="23424"/>
  <c r="AB145" i="23424"/>
  <c r="AC145" i="23424"/>
  <c r="BB68" i="23424"/>
  <c r="BA68" i="23424"/>
  <c r="AJ147" i="23424"/>
  <c r="AK147" i="23424"/>
  <c r="BE80" i="23424"/>
  <c r="BD80" i="23424"/>
  <c r="BE175" i="23424"/>
  <c r="BD175" i="23424"/>
  <c r="BH141" i="23424"/>
  <c r="BG141" i="23424"/>
  <c r="AR94" i="23424"/>
  <c r="AQ94" i="23424"/>
  <c r="AF134" i="23424"/>
  <c r="AG134" i="23424"/>
  <c r="AY130" i="23424"/>
  <c r="AX130" i="23424"/>
  <c r="AN38" i="23424"/>
  <c r="AO38" i="23424"/>
  <c r="AU192" i="23424"/>
  <c r="AT192" i="23424"/>
  <c r="AC61" i="23424"/>
  <c r="AB61" i="23424"/>
  <c r="AB151" i="23424"/>
  <c r="AC151" i="23424"/>
  <c r="BB81" i="23424"/>
  <c r="BA81" i="23424"/>
  <c r="AK140" i="23424"/>
  <c r="AJ140" i="23424"/>
  <c r="AJ105" i="23424"/>
  <c r="AK105" i="23424"/>
  <c r="BD97" i="23424"/>
  <c r="BE97" i="23424"/>
  <c r="BG79" i="23424"/>
  <c r="BH79" i="23424"/>
  <c r="AQ16" i="23424"/>
  <c r="AR16" i="23424"/>
  <c r="AR89" i="23424"/>
  <c r="AQ89" i="23424"/>
  <c r="AF153" i="23424"/>
  <c r="AG153" i="23424"/>
  <c r="AX123" i="23424"/>
  <c r="AY123" i="23424"/>
  <c r="AN58" i="23424"/>
  <c r="AO58" i="23424"/>
  <c r="AU135" i="23424"/>
  <c r="AT135" i="23424"/>
  <c r="AC144" i="23424"/>
  <c r="AB144" i="23424"/>
  <c r="BB150" i="23424"/>
  <c r="BA150" i="23424"/>
  <c r="AK135" i="23424"/>
  <c r="AJ135" i="23424"/>
  <c r="BE22" i="23424"/>
  <c r="BD22" i="23424"/>
  <c r="BH76" i="23424"/>
  <c r="BG76" i="23424"/>
  <c r="AR35" i="23424"/>
  <c r="AQ35" i="23424"/>
  <c r="AG32" i="23424"/>
  <c r="AF32" i="23424"/>
  <c r="AY178" i="23424"/>
  <c r="AX178" i="23424"/>
  <c r="AU182" i="23424"/>
  <c r="AT182" i="23424"/>
  <c r="AC11" i="23424"/>
  <c r="AB11" i="23424"/>
  <c r="AC119" i="23424"/>
  <c r="AB119" i="23424"/>
  <c r="BB31" i="23424"/>
  <c r="BA31" i="23424"/>
  <c r="BB135" i="23424"/>
  <c r="BA135" i="23424"/>
  <c r="AK10" i="23424"/>
  <c r="AJ10" i="23424"/>
  <c r="BD19" i="23424"/>
  <c r="BE19" i="23424"/>
  <c r="BH74" i="23424"/>
  <c r="BG74" i="23424"/>
  <c r="BH103" i="23424"/>
  <c r="BG103" i="23424"/>
  <c r="AR25" i="23424"/>
  <c r="AQ25" i="23424"/>
  <c r="AR149" i="23424"/>
  <c r="AQ149" i="23424"/>
  <c r="AG60" i="23424"/>
  <c r="AF60" i="23424"/>
  <c r="AF93" i="23424"/>
  <c r="AG93" i="23424"/>
  <c r="AY16" i="23424"/>
  <c r="AX16" i="23424"/>
  <c r="AX180" i="23424"/>
  <c r="AY180" i="23424"/>
  <c r="AN88" i="23424"/>
  <c r="AO88" i="23424"/>
  <c r="AU12" i="23424"/>
  <c r="AT12" i="23424"/>
  <c r="AU104" i="23424"/>
  <c r="AT104" i="23424"/>
  <c r="AC110" i="23424"/>
  <c r="AB110" i="23424"/>
  <c r="BB53" i="23424"/>
  <c r="BA53" i="23424"/>
  <c r="AK108" i="23424"/>
  <c r="AJ108" i="23424"/>
  <c r="BD90" i="23424"/>
  <c r="BE90" i="23424"/>
  <c r="BH21" i="23424"/>
  <c r="BG21" i="23424"/>
  <c r="AQ18" i="23424"/>
  <c r="AR18" i="23424"/>
  <c r="AF29" i="23424"/>
  <c r="AG29" i="23424"/>
  <c r="AY56" i="23424"/>
  <c r="AX56" i="23424"/>
  <c r="AN95" i="23424"/>
  <c r="AO95" i="23424"/>
  <c r="AT184" i="23424"/>
  <c r="AU184" i="23424"/>
  <c r="AC51" i="23424"/>
  <c r="AB51" i="23424"/>
  <c r="AC174" i="23424"/>
  <c r="AB174" i="23424"/>
  <c r="BB133" i="23424"/>
  <c r="BA133" i="23424"/>
  <c r="AK153" i="23424"/>
  <c r="AJ153" i="23424"/>
  <c r="AK136" i="23424"/>
  <c r="AJ136" i="23424"/>
  <c r="BE84" i="23424"/>
  <c r="BD84" i="23424"/>
  <c r="BG25" i="23424"/>
  <c r="BH25" i="23424"/>
  <c r="BH112" i="23424"/>
  <c r="BG112" i="23424"/>
  <c r="AQ50" i="23424"/>
  <c r="AR50" i="23424"/>
  <c r="AQ163" i="23424"/>
  <c r="AR163" i="23424"/>
  <c r="AF142" i="23424"/>
  <c r="AG142" i="23424"/>
  <c r="AX107" i="23424"/>
  <c r="AY107" i="23424"/>
  <c r="AY159" i="23424"/>
  <c r="AX159" i="23424"/>
  <c r="AO116" i="23424"/>
  <c r="AN116" i="23424"/>
  <c r="AU28" i="23424"/>
  <c r="AT28" i="23424"/>
  <c r="AU178" i="23424"/>
  <c r="AT178" i="23424"/>
  <c r="AC69" i="23424"/>
  <c r="AB69" i="23424"/>
  <c r="BA104" i="23424"/>
  <c r="BB104" i="23424"/>
  <c r="AK65" i="23424"/>
  <c r="AJ65" i="23424"/>
  <c r="BE185" i="23424"/>
  <c r="BD185" i="23424"/>
  <c r="BH165" i="23424"/>
  <c r="BG165" i="23424"/>
  <c r="AG180" i="23424"/>
  <c r="AF180" i="23424"/>
  <c r="AU160" i="23424"/>
  <c r="AT160" i="23424"/>
  <c r="AC32" i="23424"/>
  <c r="AB32" i="23424"/>
  <c r="AB176" i="23424"/>
  <c r="AC176" i="23424"/>
  <c r="AB146" i="23424"/>
  <c r="AC146" i="23424"/>
  <c r="BB24" i="23424"/>
  <c r="BA24" i="23424"/>
  <c r="BB181" i="23424"/>
  <c r="BA181" i="23424"/>
  <c r="AC53" i="23424"/>
  <c r="AB53" i="23424"/>
  <c r="AC50" i="23424"/>
  <c r="AB50" i="23424"/>
  <c r="AB80" i="23424"/>
  <c r="AC80" i="23424"/>
  <c r="AC89" i="23424"/>
  <c r="AB89" i="23424"/>
  <c r="AB48" i="23424"/>
  <c r="AC48" i="23424"/>
  <c r="AC96" i="23424"/>
  <c r="AB96" i="23424"/>
  <c r="AB170" i="23424"/>
  <c r="AC170" i="23424"/>
  <c r="AC131" i="23424"/>
  <c r="AB131" i="23424"/>
  <c r="AB162" i="23424"/>
  <c r="AC162" i="23424"/>
  <c r="BA43" i="23424"/>
  <c r="BB43" i="23424"/>
  <c r="BA148" i="23424"/>
  <c r="BB148" i="23424"/>
  <c r="BB28" i="23424"/>
  <c r="BA28" i="23424"/>
  <c r="BB159" i="23424"/>
  <c r="BA159" i="23424"/>
  <c r="BB80" i="23424"/>
  <c r="BA80" i="23424"/>
  <c r="BB79" i="23424"/>
  <c r="BA79" i="23424"/>
  <c r="BA129" i="23424"/>
  <c r="BB129" i="23424"/>
  <c r="BB160" i="23424"/>
  <c r="BA160" i="23424"/>
  <c r="BB128" i="23424"/>
  <c r="BA128" i="23424"/>
  <c r="BB170" i="23424"/>
  <c r="BA170" i="23424"/>
  <c r="AK32" i="23424"/>
  <c r="AJ32" i="23424"/>
  <c r="AK60" i="23424"/>
  <c r="AJ60" i="23424"/>
  <c r="AK48" i="23424"/>
  <c r="AJ48" i="23424"/>
  <c r="AK41" i="23424"/>
  <c r="AJ41" i="23424"/>
  <c r="AK187" i="23424"/>
  <c r="AJ187" i="23424"/>
  <c r="AK142" i="23424"/>
  <c r="AJ142" i="23424"/>
  <c r="AK173" i="23424"/>
  <c r="AJ173" i="23424"/>
  <c r="AK168" i="23424"/>
  <c r="AJ168" i="23424"/>
  <c r="AK200" i="23424"/>
  <c r="AJ200" i="23424"/>
  <c r="BE51" i="23424"/>
  <c r="BD51" i="23424"/>
  <c r="BE11" i="23424"/>
  <c r="BD11" i="23424"/>
  <c r="BE180" i="23424"/>
  <c r="BD180" i="23424"/>
  <c r="BD130" i="23424"/>
  <c r="BE130" i="23424"/>
  <c r="BE105" i="23424"/>
  <c r="BD105" i="23424"/>
  <c r="BE16" i="23424"/>
  <c r="BD16" i="23424"/>
  <c r="BD102" i="23424"/>
  <c r="BE102" i="23424"/>
  <c r="BE169" i="23424"/>
  <c r="BD169" i="23424"/>
  <c r="BD164" i="23424"/>
  <c r="BE164" i="23424"/>
  <c r="BE191" i="23424"/>
  <c r="BD191" i="23424"/>
  <c r="BG51" i="23424"/>
  <c r="BH51" i="23424"/>
  <c r="BG53" i="23424"/>
  <c r="BH53" i="23424"/>
  <c r="BH22" i="23424"/>
  <c r="BG22" i="23424"/>
  <c r="BH15" i="23424"/>
  <c r="BG15" i="23424"/>
  <c r="BG65" i="23424"/>
  <c r="BH65" i="23424"/>
  <c r="BH111" i="23424"/>
  <c r="BG111" i="23424"/>
  <c r="BG93" i="23424"/>
  <c r="BH93" i="23424"/>
  <c r="BG118" i="23424"/>
  <c r="BH118" i="23424"/>
  <c r="BH164" i="23424"/>
  <c r="BG164" i="23424"/>
  <c r="BH178" i="23424"/>
  <c r="BG178" i="23424"/>
  <c r="AR62" i="23424"/>
  <c r="AQ62" i="23424"/>
  <c r="AR91" i="23424"/>
  <c r="AQ91" i="23424"/>
  <c r="AR58" i="23424"/>
  <c r="AQ58" i="23424"/>
  <c r="AR23" i="23424"/>
  <c r="AQ23" i="23424"/>
  <c r="AR77" i="23424"/>
  <c r="AQ77" i="23424"/>
  <c r="AR172" i="23424"/>
  <c r="AQ172" i="23424"/>
  <c r="AR166" i="23424"/>
  <c r="AQ166" i="23424"/>
  <c r="AQ184" i="23424"/>
  <c r="AR184" i="23424"/>
  <c r="AR119" i="23424"/>
  <c r="AQ119" i="23424"/>
  <c r="AF54" i="23424"/>
  <c r="AG54" i="23424"/>
  <c r="AF61" i="23424"/>
  <c r="AG61" i="23424"/>
  <c r="AG24" i="23424"/>
  <c r="AF24" i="23424"/>
  <c r="AF110" i="23424"/>
  <c r="AG110" i="23424"/>
  <c r="AG91" i="23424"/>
  <c r="AF91" i="23424"/>
  <c r="AG92" i="23424"/>
  <c r="AF92" i="23424"/>
  <c r="AG188" i="23424"/>
  <c r="AF188" i="23424"/>
  <c r="AG107" i="23424"/>
  <c r="AF107" i="23424"/>
  <c r="AF135" i="23424"/>
  <c r="AG135" i="23424"/>
  <c r="AG164" i="23424"/>
  <c r="AF164" i="23424"/>
  <c r="AY63" i="23424"/>
  <c r="AX63" i="23424"/>
  <c r="AY46" i="23424"/>
  <c r="AX46" i="23424"/>
  <c r="AX44" i="23424"/>
  <c r="AY44" i="23424"/>
  <c r="AY72" i="23424"/>
  <c r="AX72" i="23424"/>
  <c r="AX74" i="23424"/>
  <c r="AY74" i="23424"/>
  <c r="AY151" i="23424"/>
  <c r="AX151" i="23424"/>
  <c r="AY133" i="23424"/>
  <c r="AX133" i="23424"/>
  <c r="AX162" i="23424"/>
  <c r="AY162" i="23424"/>
  <c r="AY168" i="23424"/>
  <c r="AX168" i="23424"/>
  <c r="AO30" i="23424"/>
  <c r="AN30" i="23424"/>
  <c r="AO45" i="23424"/>
  <c r="AN45" i="23424"/>
  <c r="AO43" i="23424"/>
  <c r="AN43" i="23424"/>
  <c r="AO74" i="23424"/>
  <c r="AN74" i="23424"/>
  <c r="AO35" i="23424"/>
  <c r="AN35" i="23424"/>
  <c r="AO72" i="23424"/>
  <c r="AN72" i="23424"/>
  <c r="AN150" i="23424"/>
  <c r="AO150" i="23424"/>
  <c r="AO177" i="23424"/>
  <c r="AN177" i="23424"/>
  <c r="AO168" i="23424"/>
  <c r="AN168" i="23424"/>
  <c r="AO165" i="23424"/>
  <c r="AN165" i="23424"/>
  <c r="AT71" i="23424"/>
  <c r="AU71" i="23424"/>
  <c r="AU88" i="23424"/>
  <c r="AT88" i="23424"/>
  <c r="AU84" i="23424"/>
  <c r="AT84" i="23424"/>
  <c r="AU90" i="23424"/>
  <c r="AT90" i="23424"/>
  <c r="AU144" i="23424"/>
  <c r="AT144" i="23424"/>
  <c r="AU116" i="23424"/>
  <c r="AT116" i="23424"/>
  <c r="AT89" i="23424"/>
  <c r="AU89" i="23424"/>
  <c r="AU112" i="23424"/>
  <c r="AT112" i="23424"/>
  <c r="AT159" i="23424"/>
  <c r="AU159" i="23424"/>
  <c r="AU174" i="23424"/>
  <c r="AT174" i="23424"/>
  <c r="AC116" i="23424"/>
  <c r="AB116" i="23424"/>
  <c r="AC130" i="23424"/>
  <c r="AB130" i="23424"/>
  <c r="BA110" i="23424"/>
  <c r="BB110" i="23424"/>
  <c r="AK55" i="23424"/>
  <c r="AJ55" i="23424"/>
  <c r="AK109" i="23424"/>
  <c r="AJ109" i="23424"/>
  <c r="BD28" i="23424"/>
  <c r="BE28" i="23424"/>
  <c r="BD120" i="23424"/>
  <c r="BE120" i="23424"/>
  <c r="BD135" i="23424"/>
  <c r="BE135" i="23424"/>
  <c r="BH69" i="23424"/>
  <c r="BG69" i="23424"/>
  <c r="BH181" i="23424"/>
  <c r="BG181" i="23424"/>
  <c r="AQ31" i="23424"/>
  <c r="AR31" i="23424"/>
  <c r="AR131" i="23424"/>
  <c r="AQ131" i="23424"/>
  <c r="AF20" i="23424"/>
  <c r="AG20" i="23424"/>
  <c r="AF79" i="23424"/>
  <c r="AG79" i="23424"/>
  <c r="AF150" i="23424"/>
  <c r="AG150" i="23424"/>
  <c r="AY134" i="23424"/>
  <c r="AX134" i="23424"/>
  <c r="AX187" i="23424"/>
  <c r="AY187" i="23424"/>
  <c r="AO104" i="23424"/>
  <c r="AN104" i="23424"/>
  <c r="AN194" i="23424"/>
  <c r="AO194" i="23424"/>
  <c r="AU43" i="23424"/>
  <c r="AT43" i="23424"/>
  <c r="AC135" i="23424"/>
  <c r="AB135" i="23424"/>
  <c r="BB194" i="23424"/>
  <c r="BA194" i="23424"/>
  <c r="AK177" i="23424"/>
  <c r="AJ177" i="23424"/>
  <c r="BE149" i="23424"/>
  <c r="BD149" i="23424"/>
  <c r="BH99" i="23424"/>
  <c r="BG99" i="23424"/>
  <c r="AQ189" i="23424"/>
  <c r="AR189" i="23424"/>
  <c r="AF192" i="23424"/>
  <c r="AG192" i="23424"/>
  <c r="AO70" i="23424"/>
  <c r="AN70" i="23424"/>
  <c r="AT173" i="23424"/>
  <c r="AU173" i="23424"/>
  <c r="AC175" i="23424"/>
  <c r="AB175" i="23424"/>
  <c r="BA72" i="23424"/>
  <c r="BB72" i="23424"/>
  <c r="AK68" i="23424"/>
  <c r="AJ68" i="23424"/>
  <c r="AK84" i="23424"/>
  <c r="AJ84" i="23424"/>
  <c r="BE100" i="23424"/>
  <c r="BD100" i="23424"/>
  <c r="BE78" i="23424"/>
  <c r="BD78" i="23424"/>
  <c r="BH136" i="23424"/>
  <c r="BG136" i="23424"/>
  <c r="BH137" i="23424"/>
  <c r="BG137" i="23424"/>
  <c r="AR120" i="23424"/>
  <c r="AQ120" i="23424"/>
  <c r="AG105" i="23424"/>
  <c r="AF105" i="23424"/>
  <c r="AG179" i="23424"/>
  <c r="AF179" i="23424"/>
  <c r="AY90" i="23424"/>
  <c r="AX90" i="23424"/>
  <c r="AO65" i="23424"/>
  <c r="AN65" i="23424"/>
  <c r="AN193" i="23424"/>
  <c r="AO193" i="23424"/>
  <c r="AT148" i="23424"/>
  <c r="AU148" i="23424"/>
  <c r="AC192" i="23424"/>
  <c r="AB192" i="23424"/>
  <c r="BB146" i="23424"/>
  <c r="BA146" i="23424"/>
  <c r="AK90" i="23424"/>
  <c r="AJ90" i="23424"/>
  <c r="BE37" i="23424"/>
  <c r="BD37" i="23424"/>
  <c r="BG33" i="23424"/>
  <c r="BH33" i="23424"/>
  <c r="BH142" i="23424"/>
  <c r="BG142" i="23424"/>
  <c r="AR135" i="23424"/>
  <c r="AQ135" i="23424"/>
  <c r="AF167" i="23424"/>
  <c r="AG167" i="23424"/>
  <c r="AY61" i="23424"/>
  <c r="AX61" i="23424"/>
  <c r="AY163" i="23424"/>
  <c r="AX163" i="23424"/>
  <c r="AO101" i="23424"/>
  <c r="AN101" i="23424"/>
  <c r="AT175" i="23424"/>
  <c r="AU175" i="23424"/>
  <c r="BB49" i="23424"/>
  <c r="BA49" i="23424"/>
  <c r="BA167" i="23424"/>
  <c r="BB167" i="23424"/>
  <c r="AJ193" i="23424"/>
  <c r="AK193" i="23424"/>
  <c r="BE147" i="23424"/>
  <c r="BD147" i="23424"/>
  <c r="BH57" i="23424"/>
  <c r="BG57" i="23424"/>
  <c r="AR30" i="23424"/>
  <c r="AQ30" i="23424"/>
  <c r="AQ137" i="23424"/>
  <c r="AR137" i="23424"/>
  <c r="AG30" i="23424"/>
  <c r="AF30" i="23424"/>
  <c r="AY75" i="23424"/>
  <c r="AX75" i="23424"/>
  <c r="AN93" i="23424"/>
  <c r="AO93" i="23424"/>
  <c r="AT165" i="23424"/>
  <c r="AU165" i="23424"/>
  <c r="AC93" i="23424"/>
  <c r="AB93" i="23424"/>
  <c r="BB33" i="23424"/>
  <c r="BA33" i="23424"/>
  <c r="AJ19" i="23424"/>
  <c r="AK19" i="23424"/>
  <c r="AK189" i="23424"/>
  <c r="AJ189" i="23424"/>
  <c r="BD114" i="23424"/>
  <c r="BE114" i="23424"/>
  <c r="BH190" i="23424"/>
  <c r="BG190" i="23424"/>
  <c r="AQ195" i="23424"/>
  <c r="AR195" i="23424"/>
  <c r="AG186" i="23424"/>
  <c r="AF186" i="23424"/>
  <c r="AO27" i="23424"/>
  <c r="AN27" i="23424"/>
  <c r="AT130" i="23424"/>
  <c r="AU130" i="23424"/>
  <c r="AC137" i="23424"/>
  <c r="AB137" i="23424"/>
  <c r="AC112" i="23424"/>
  <c r="AB112" i="23424"/>
  <c r="BB50" i="23424"/>
  <c r="BA50" i="23424"/>
  <c r="BB142" i="23424"/>
  <c r="BA142" i="23424"/>
  <c r="BA153" i="23424"/>
  <c r="BB153" i="23424"/>
  <c r="AK51" i="23424"/>
  <c r="AJ51" i="23424"/>
  <c r="AJ133" i="23424"/>
  <c r="AK133" i="23424"/>
  <c r="AK192" i="23424"/>
  <c r="AJ192" i="23424"/>
  <c r="BE23" i="23424"/>
  <c r="BD23" i="23424"/>
  <c r="BE170" i="23424"/>
  <c r="BD170" i="23424"/>
  <c r="BG75" i="23424"/>
  <c r="BH75" i="23424"/>
  <c r="BH151" i="23424"/>
  <c r="BG151" i="23424"/>
  <c r="BH160" i="23424"/>
  <c r="BG160" i="23424"/>
  <c r="BG171" i="23424"/>
  <c r="BH171" i="23424"/>
  <c r="AR114" i="23424"/>
  <c r="AQ114" i="23424"/>
  <c r="AQ140" i="23424"/>
  <c r="AR140" i="23424"/>
  <c r="AQ200" i="23424"/>
  <c r="AR200" i="23424"/>
  <c r="AG116" i="23424"/>
  <c r="AF116" i="23424"/>
  <c r="AG169" i="23424"/>
  <c r="AF169" i="23424"/>
  <c r="AF161" i="23424"/>
  <c r="AG161" i="23424"/>
  <c r="AX24" i="23424"/>
  <c r="AY24" i="23424"/>
  <c r="AX99" i="23424"/>
  <c r="AY99" i="23424"/>
  <c r="AY101" i="23424"/>
  <c r="AX101" i="23424"/>
  <c r="AY125" i="23424"/>
  <c r="AX125" i="23424"/>
  <c r="AO126" i="23424"/>
  <c r="AN126" i="23424"/>
  <c r="AO10" i="23424"/>
  <c r="AN10" i="23424"/>
  <c r="AN61" i="23424"/>
  <c r="AO61" i="23424"/>
  <c r="AO184" i="23424"/>
  <c r="AN184" i="23424"/>
  <c r="AT59" i="23424"/>
  <c r="AU59" i="23424"/>
  <c r="AU79" i="23424"/>
  <c r="AT79" i="23424"/>
  <c r="AC41" i="23424"/>
  <c r="AB41" i="23424"/>
  <c r="BB14" i="23424"/>
  <c r="BA14" i="23424"/>
  <c r="BB157" i="23424"/>
  <c r="BA157" i="23424"/>
  <c r="AK150" i="23424"/>
  <c r="AJ150" i="23424"/>
  <c r="BD103" i="23424"/>
  <c r="BE103" i="23424"/>
  <c r="BH174" i="23424"/>
  <c r="BG174" i="23424"/>
  <c r="AQ125" i="23424"/>
  <c r="AR125" i="23424"/>
  <c r="AG185" i="23424"/>
  <c r="AF185" i="23424"/>
  <c r="AY97" i="23424"/>
  <c r="AX97" i="23424"/>
  <c r="AN84" i="23424"/>
  <c r="AO84" i="23424"/>
  <c r="AU193" i="23424"/>
  <c r="AT193" i="23424"/>
  <c r="AC142" i="23424"/>
  <c r="AB142" i="23424"/>
  <c r="BB56" i="23424"/>
  <c r="BA56" i="23424"/>
  <c r="AK92" i="23424"/>
  <c r="AJ92" i="23424"/>
  <c r="AK195" i="23424"/>
  <c r="AJ195" i="23424"/>
  <c r="BE193" i="23424"/>
  <c r="BD193" i="23424"/>
  <c r="BH184" i="23424"/>
  <c r="BG184" i="23424"/>
  <c r="AQ179" i="23424"/>
  <c r="AR179" i="23424"/>
  <c r="AY47" i="23424"/>
  <c r="AX47" i="23424"/>
  <c r="AU119" i="23424"/>
  <c r="AT119" i="23424"/>
  <c r="AC78" i="23424"/>
  <c r="AB78" i="23424"/>
  <c r="AB25" i="23424"/>
  <c r="AC25" i="23424"/>
  <c r="BB26" i="23424"/>
  <c r="BA26" i="23424"/>
  <c r="AC40" i="23424"/>
  <c r="AB40" i="23424"/>
  <c r="AB200" i="23424"/>
  <c r="AC200" i="23424"/>
  <c r="BB185" i="23424"/>
  <c r="BA185" i="23424"/>
  <c r="BB200" i="23424"/>
  <c r="BA200" i="23424"/>
  <c r="AC109" i="23424"/>
  <c r="AB109" i="23424"/>
  <c r="AC81" i="23424"/>
  <c r="AB81" i="23424"/>
  <c r="AC17" i="23424"/>
  <c r="AB17" i="23424"/>
  <c r="AC98" i="23424"/>
  <c r="AB98" i="23424"/>
  <c r="AB118" i="23424"/>
  <c r="AC118" i="23424"/>
  <c r="AC133" i="23424"/>
  <c r="AB133" i="23424"/>
  <c r="AC181" i="23424"/>
  <c r="AB181" i="23424"/>
  <c r="AC139" i="23424"/>
  <c r="AB139" i="23424"/>
  <c r="AC167" i="23424"/>
  <c r="AB167" i="23424"/>
  <c r="BB51" i="23424"/>
  <c r="BA51" i="23424"/>
  <c r="BB63" i="23424"/>
  <c r="BA63" i="23424"/>
  <c r="BB37" i="23424"/>
  <c r="BA37" i="23424"/>
  <c r="BA65" i="23424"/>
  <c r="BB65" i="23424"/>
  <c r="BA120" i="23424"/>
  <c r="BB120" i="23424"/>
  <c r="BB82" i="23424"/>
  <c r="BA82" i="23424"/>
  <c r="BB134" i="23424"/>
  <c r="BA134" i="23424"/>
  <c r="BA119" i="23424"/>
  <c r="BB119" i="23424"/>
  <c r="BB184" i="23424"/>
  <c r="BA184" i="23424"/>
  <c r="BB190" i="23424"/>
  <c r="BA190" i="23424"/>
  <c r="AJ37" i="23424"/>
  <c r="AK37" i="23424"/>
  <c r="AK119" i="23424"/>
  <c r="AJ119" i="23424"/>
  <c r="AJ62" i="23424"/>
  <c r="AK62" i="23424"/>
  <c r="AK61" i="23424"/>
  <c r="AJ61" i="23424"/>
  <c r="AK81" i="23424"/>
  <c r="AJ81" i="23424"/>
  <c r="AK98" i="23424"/>
  <c r="AJ98" i="23424"/>
  <c r="AJ156" i="23424"/>
  <c r="AK156" i="23424"/>
  <c r="AK179" i="23424"/>
  <c r="AJ179" i="23424"/>
  <c r="AK160" i="23424"/>
  <c r="AJ160" i="23424"/>
  <c r="BE66" i="23424"/>
  <c r="BD66" i="23424"/>
  <c r="BD52" i="23424"/>
  <c r="BE52" i="23424"/>
  <c r="BE41" i="23424"/>
  <c r="BD41" i="23424"/>
  <c r="BE48" i="23424"/>
  <c r="BD48" i="23424"/>
  <c r="BD157" i="23424"/>
  <c r="BE157" i="23424"/>
  <c r="BE36" i="23424"/>
  <c r="BD36" i="23424"/>
  <c r="BD106" i="23424"/>
  <c r="BE106" i="23424"/>
  <c r="BD154" i="23424"/>
  <c r="BE154" i="23424"/>
  <c r="BE174" i="23424"/>
  <c r="BD174" i="23424"/>
  <c r="BE200" i="23424"/>
  <c r="BD200" i="23424"/>
  <c r="BH66" i="23424"/>
  <c r="BG66" i="23424"/>
  <c r="BH60" i="23424"/>
  <c r="BG60" i="23424"/>
  <c r="BH31" i="23424"/>
  <c r="BG31" i="23424"/>
  <c r="BH35" i="23424"/>
  <c r="BG35" i="23424"/>
  <c r="BH114" i="23424"/>
  <c r="BG114" i="23424"/>
  <c r="BG117" i="23424"/>
  <c r="BH117" i="23424"/>
  <c r="BG119" i="23424"/>
  <c r="BH119" i="23424"/>
  <c r="BH123" i="23424"/>
  <c r="BG123" i="23424"/>
  <c r="BH173" i="23424"/>
  <c r="BG173" i="23424"/>
  <c r="BH198" i="23424"/>
  <c r="BG198" i="23424"/>
  <c r="AR24" i="23424"/>
  <c r="AQ24" i="23424"/>
  <c r="AR102" i="23424"/>
  <c r="AQ102" i="23424"/>
  <c r="AR82" i="23424"/>
  <c r="AQ82" i="23424"/>
  <c r="AR43" i="23424"/>
  <c r="AQ43" i="23424"/>
  <c r="AR85" i="23424"/>
  <c r="AQ85" i="23424"/>
  <c r="AQ104" i="23424"/>
  <c r="AR104" i="23424"/>
  <c r="AR134" i="23424"/>
  <c r="AQ134" i="23424"/>
  <c r="AR129" i="23424"/>
  <c r="AQ129" i="23424"/>
  <c r="AR139" i="23424"/>
  <c r="AQ139" i="23424"/>
  <c r="AG46" i="23424"/>
  <c r="AF46" i="23424"/>
  <c r="AF80" i="23424"/>
  <c r="AG80" i="23424"/>
  <c r="AG41" i="23424"/>
  <c r="AF41" i="23424"/>
  <c r="AG117" i="23424"/>
  <c r="AF117" i="23424"/>
  <c r="AG19" i="23424"/>
  <c r="AF19" i="23424"/>
  <c r="AG98" i="23424"/>
  <c r="AF98" i="23424"/>
  <c r="AG96" i="23424"/>
  <c r="AF96" i="23424"/>
  <c r="AG128" i="23424"/>
  <c r="AF128" i="23424"/>
  <c r="AG139" i="23424"/>
  <c r="AF139" i="23424"/>
  <c r="AG184" i="23424"/>
  <c r="AF184" i="23424"/>
  <c r="AY19" i="23424"/>
  <c r="AX19" i="23424"/>
  <c r="AX55" i="23424"/>
  <c r="AY55" i="23424"/>
  <c r="AX30" i="23424"/>
  <c r="AY30" i="23424"/>
  <c r="AY81" i="23424"/>
  <c r="AX81" i="23424"/>
  <c r="AX92" i="23424"/>
  <c r="AY92" i="23424"/>
  <c r="AY103" i="23424"/>
  <c r="AX103" i="23424"/>
  <c r="AX158" i="23424"/>
  <c r="AY158" i="23424"/>
  <c r="AY132" i="23424"/>
  <c r="AX132" i="23424"/>
  <c r="AY173" i="23424"/>
  <c r="AX173" i="23424"/>
  <c r="AO139" i="23424"/>
  <c r="AN139" i="23424"/>
  <c r="AO53" i="23424"/>
  <c r="AN53" i="23424"/>
  <c r="AO51" i="23424"/>
  <c r="AN51" i="23424"/>
  <c r="AO96" i="23424"/>
  <c r="AN96" i="23424"/>
  <c r="AO55" i="23424"/>
  <c r="AN55" i="23424"/>
  <c r="AO100" i="23424"/>
  <c r="AN100" i="23424"/>
  <c r="AO98" i="23424"/>
  <c r="AN98" i="23424"/>
  <c r="AN117" i="23424"/>
  <c r="AO117" i="23424"/>
  <c r="AN178" i="23424"/>
  <c r="AO178" i="23424"/>
  <c r="AO196" i="23424"/>
  <c r="AN196" i="23424"/>
  <c r="AU76" i="23424"/>
  <c r="AT76" i="23424"/>
  <c r="AU93" i="23424"/>
  <c r="AT93" i="23424"/>
  <c r="AT21" i="23424"/>
  <c r="AU21" i="23424"/>
  <c r="AU126" i="23424"/>
  <c r="AT126" i="23424"/>
  <c r="AU14" i="23424"/>
  <c r="AT14" i="23424"/>
  <c r="AU66" i="23424"/>
  <c r="AT66" i="23424"/>
  <c r="AT111" i="23424"/>
  <c r="AU111" i="23424"/>
  <c r="AU141" i="23424"/>
  <c r="AT141" i="23424"/>
  <c r="AT196" i="23424"/>
  <c r="AU196" i="23424"/>
  <c r="AT194" i="23424"/>
  <c r="AU194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  <author>User</author>
    <author>Ekologgruppen</author>
  </authors>
  <commentList>
    <comment ref="B2" authorId="0" shapeId="0" xr:uid="{9648A485-81A2-48B8-9847-DD2AECA22D01}">
      <text>
        <r>
          <rPr>
            <sz val="9"/>
            <color indexed="81"/>
            <rFont val="Tahoma"/>
            <family val="2"/>
          </rPr>
          <t>Länk till Excel-fil på Ekologgruppens hemsida</t>
        </r>
        <r>
          <rPr>
            <b/>
            <sz val="9"/>
            <color indexed="81"/>
            <rFont val="Tahoma"/>
            <family val="2"/>
          </rPr>
          <t xml:space="preserve">
OBS! Kräver Internetuppkoppling</t>
        </r>
      </text>
    </comment>
    <comment ref="C7" authorId="1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1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2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<sst xmlns="http://schemas.openxmlformats.org/spreadsheetml/2006/main" count="9776" uniqueCount="457">
  <si>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</si>
  <si>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</si>
  <si>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</si>
  <si>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</si>
  <si>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</si>
  <si>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</si>
  <si>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</si>
  <si>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</si>
  <si>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</si>
  <si>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</si>
  <si>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</si>
  <si>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</si>
  <si>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</si>
  <si>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</si>
  <si>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</si>
  <si>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</si>
  <si>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</si>
  <si>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</si>
  <si>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</si>
  <si>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</si>
  <si>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</si>
  <si>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</si>
  <si>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</si>
  <si>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</si>
  <si>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</si>
  <si>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</si>
  <si>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</si>
  <si>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</si>
  <si>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</si>
  <si>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</si>
  <si>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</si>
  <si>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</si>
  <si>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</si>
  <si>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</si>
  <si>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</si>
  <si>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</si>
  <si>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</si>
  <si>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</si>
  <si>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</si>
  <si>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</si>
  <si>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</si>
  <si>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</si>
  <si>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</si>
  <si>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</si>
  <si>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</si>
  <si>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</si>
  <si>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</si>
  <si>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</si>
  <si>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</si>
  <si>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</si>
  <si>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</si>
  <si>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</si>
  <si>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</si>
  <si>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</si>
  <si>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</si>
  <si>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</si>
  <si>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</si>
  <si>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</si>
  <si>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</si>
  <si>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</si>
  <si>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</si>
  <si>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</si>
  <si>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</si>
  <si>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</si>
  <si>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</si>
  <si>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</si>
  <si>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</si>
  <si>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</si>
  <si>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</si>
  <si>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</si>
  <si>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</si>
  <si>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</si>
  <si>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</si>
  <si>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</si>
  <si>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</si>
  <si>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</si>
  <si>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</si>
  <si>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</si>
  <si>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</si>
  <si>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</si>
  <si>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</si>
  <si>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</si>
  <si>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</si>
  <si>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</si>
  <si>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</si>
  <si>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</si>
  <si>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</si>
  <si>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</si>
  <si>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</si>
  <si>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</si>
  <si>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</si>
  <si>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</si>
  <si>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</si>
  <si>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</si>
  <si>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</si>
  <si>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</si>
  <si>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</si>
  <si>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</si>
  <si>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</si>
  <si>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</si>
  <si>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</si>
  <si>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</si>
  <si>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</si>
  <si>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</si>
  <si>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</si>
  <si>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</si>
  <si>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</si>
  <si>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</si>
  <si>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</si>
  <si>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</si>
  <si>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</si>
  <si>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</si>
  <si>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</si>
  <si>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</si>
  <si>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</si>
  <si>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</si>
  <si>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</si>
  <si>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</si>
  <si>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Metoder och mätosäkerhet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</si>
  <si>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</si>
  <si>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</si>
  <si>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</si>
  <si>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</si>
  <si>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</si>
  <si>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</si>
  <si>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</si>
  <si>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</si>
  <si>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</si>
  <si>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</si>
  <si>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</si>
  <si>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</si>
  <si>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</si>
  <si>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</si>
  <si>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</si>
  <si>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</si>
  <si>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</si>
  <si>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</si>
  <si>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</si>
  <si>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</si>
  <si>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</si>
  <si>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</si>
  <si>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</si>
  <si>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</si>
  <si>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</si>
  <si>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</si>
  <si>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</si>
  <si>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</si>
  <si>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</si>
  <si>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</si>
  <si>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</si>
  <si>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</si>
  <si>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</si>
  <si>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</si>
  <si>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</si>
  <si>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</si>
  <si>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</si>
  <si>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</si>
  <si>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</si>
  <si>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</si>
  <si>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</si>
  <si>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</si>
  <si>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</si>
  <si>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</si>
  <si>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</si>
  <si>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</si>
  <si>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</si>
  <si>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</si>
  <si>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</si>
  <si>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</si>
  <si>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</si>
  <si>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</si>
  <si>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</si>
  <si>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</si>
  <si>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</si>
  <si>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</si>
  <si>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</si>
  <si>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</si>
  <si>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</si>
  <si>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</si>
  <si>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</si>
  <si>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</si>
  <si>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</si>
  <si>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</si>
  <si>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</si>
  <si>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</si>
  <si>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</si>
  <si>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</si>
  <si>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</si>
  <si>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</si>
  <si>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</si>
  <si>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</si>
  <si>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</si>
  <si>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</si>
  <si>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</si>
  <si>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</si>
  <si>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</si>
  <si>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</si>
  <si>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</si>
  <si>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</si>
  <si>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</si>
  <si>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</si>
  <si>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</si>
  <si>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</si>
  <si>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</si>
  <si>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</si>
  <si>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</si>
  <si>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</si>
  <si>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</si>
  <si>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</si>
  <si>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</si>
  <si>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</si>
  <si>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</si>
  <si>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</si>
  <si>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</si>
  <si>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</si>
  <si>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</si>
  <si>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</si>
  <si>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</si>
  <si>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</si>
  <si>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</si>
  <si>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</si>
  <si>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</si>
  <si>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</si>
  <si>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</si>
  <si>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</si>
  <si>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</si>
  <si>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</si>
  <si>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</si>
  <si>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</si>
  <si>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</si>
  <si>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</si>
  <si>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</si>
  <si>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</si>
  <si>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</si>
  <si>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</si>
  <si>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</si>
  <si>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</si>
  <si>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</si>
  <si>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</si>
  <si>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</si>
  <si>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</si>
  <si>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</si>
  <si>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</si>
  <si>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</si>
  <si>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</si>
  <si>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</si>
  <si>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</si>
  <si>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</si>
  <si>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</si>
  <si>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</si>
  <si>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</si>
  <si>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</si>
  <si>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</si>
  <si>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</si>
  <si>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</si>
  <si>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</si>
  <si>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</si>
  <si>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</si>
  <si>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</si>
  <si>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</si>
  <si>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</si>
  <si>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</si>
  <si>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</si>
  <si>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</si>
  <si>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</si>
  <si>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</si>
  <si>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</si>
  <si>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</si>
  <si>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</si>
  <si>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</si>
  <si>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</si>
  <si>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</si>
  <si>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</si>
  <si>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</si>
  <si>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</si>
  <si>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</si>
  <si>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</si>
  <si>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</si>
  <si>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</si>
  <si>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</si>
  <si>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</si>
  <si>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</si>
  <si>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</si>
  <si>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</si>
  <si>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</si>
  <si>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</si>
  <si>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</si>
  <si>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</si>
  <si>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</si>
  <si>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</si>
  <si>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</si>
  <si>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</si>
  <si>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</si>
  <si>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</si>
  <si>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</si>
  <si>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</si>
  <si>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</si>
  <si>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</si>
  <si>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</si>
  <si>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</si>
  <si>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</si>
  <si>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</si>
  <si>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</si>
  <si>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</si>
  <si>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</si>
  <si>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</si>
  <si>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</si>
  <si>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</si>
  <si>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</si>
  <si>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</si>
  <si>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</si>
  <si>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</si>
  <si>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</si>
  <si>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</si>
  <si>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</si>
  <si>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</si>
  <si>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</si>
  <si>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</si>
  <si>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</si>
  <si>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</si>
  <si>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</si>
  <si>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</si>
  <si>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</si>
  <si>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</si>
  <si>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</si>
  <si>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</si>
  <si>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</si>
  <si>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</si>
  <si>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</si>
  <si>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</si>
  <si>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</si>
  <si>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</si>
  <si>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</si>
  <si>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</si>
  <si>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</si>
  <si>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</si>
  <si>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</si>
  <si>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</si>
  <si>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</si>
  <si>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</si>
  <si>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</si>
  <si>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</si>
  <si>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</si>
  <si>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</si>
  <si>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</si>
  <si>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</si>
  <si>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</si>
  <si>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</si>
  <si>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</si>
  <si>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</si>
  <si>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</si>
  <si>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</si>
  <si>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</si>
  <si>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</si>
  <si>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</si>
  <si>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</si>
  <si>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</si>
  <si>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</si>
  <si>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</si>
  <si>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</si>
  <si>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</si>
  <si>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</si>
  <si>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</si>
  <si>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</si>
  <si>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</si>
  <si>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</si>
  <si>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</si>
  <si>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</si>
  <si>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</si>
  <si>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</si>
  <si>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</si>
  <si>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</si>
  <si>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</si>
  <si>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</si>
  <si>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</si>
  <si>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</si>
  <si>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</si>
  <si>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</si>
  <si>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</si>
  <si>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</si>
  <si>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</si>
  <si>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</si>
  <si>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</si>
  <si>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</si>
  <si>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</si>
  <si>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</si>
  <si>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</si>
  <si>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</si>
  <si>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</si>
  <si>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</si>
  <si>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</si>
  <si>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</si>
  <si>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</si>
  <si>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</si>
  <si>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</si>
  <si>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</si>
  <si>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</si>
  <si>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</si>
  <si>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</si>
  <si>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</si>
  <si>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</si>
  <si>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</si>
  <si>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</si>
  <si>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</si>
  <si>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</si>
  <si>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</si>
  <si>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</si>
  <si>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</si>
  <si>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</si>
  <si>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</si>
  <si>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</si>
  <si>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</si>
  <si>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</si>
  <si>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</si>
  <si>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</si>
  <si>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</si>
  <si>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</si>
  <si>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</si>
  <si>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</si>
  <si>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</si>
  <si>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</si>
  <si>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</si>
  <si>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</si>
  <si>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</si>
  <si>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</si>
  <si>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</si>
  <si>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</si>
  <si>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</si>
  <si>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</si>
  <si>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</si>
  <si>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</si>
  <si>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</si>
  <si>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2026-08-</t>
  </si>
  <si>
    <t>2026-09-</t>
  </si>
  <si>
    <t>2026-10-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</si>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</sst>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0" tint="-0.24994659260841701"/>
      </right>
      <top style="thin">
        <color indexed="9"/>
      </top>
      <bottom style="medium">
        <color theme="0" tint="-0.24994659260841701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03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</cellStyleXfs>
  <cellXfs count="782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0" fontId="105" fillId="13" borderId="30" xfId="2" applyFont="1" applyFill="1" applyBorder="1" applyAlignment="1" applyProtection="1">
      <alignment horizontal="center" vertical="center" wrapText="1"/>
    </xf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3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13</c:v>
                </c:pt>
                <c:pt idx="5">
                  <c:v>12.6</c:v>
                </c:pt>
                <c:pt idx="10">
                  <c:v>12.5</c:v>
                </c:pt>
                <c:pt idx="12">
                  <c:v>12.4</c:v>
                </c:pt>
                <c:pt idx="14">
                  <c:v>11.7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10.1</c:v>
                </c:pt>
                <c:pt idx="5">
                  <c:v>10.199999999999999</c:v>
                </c:pt>
                <c:pt idx="10">
                  <c:v>9.0500000000000007</c:v>
                </c:pt>
                <c:pt idx="12">
                  <c:v>8.44</c:v>
                </c:pt>
                <c:pt idx="14">
                  <c:v>5.04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17.600000000000001</c:v>
                </c:pt>
                <c:pt idx="10">
                  <c:v>17.2</c:v>
                </c:pt>
                <c:pt idx="12">
                  <c:v>16.7</c:v>
                </c:pt>
                <c:pt idx="14">
                  <c:v>16.5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10.199999999999999</c:v>
                </c:pt>
                <c:pt idx="10">
                  <c:v>9.6999999999999993</c:v>
                </c:pt>
                <c:pt idx="12">
                  <c:v>7.03</c:v>
                </c:pt>
                <c:pt idx="14">
                  <c:v>4.7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5.67</c:v>
                </c:pt>
                <c:pt idx="1">
                  <c:v>5.9</c:v>
                </c:pt>
                <c:pt idx="2">
                  <c:v>5.59</c:v>
                </c:pt>
                <c:pt idx="3">
                  <c:v>5.45</c:v>
                </c:pt>
                <c:pt idx="4">
                  <c:v>5.27</c:v>
                </c:pt>
                <c:pt idx="5">
                  <c:v>5.26</c:v>
                </c:pt>
                <c:pt idx="6">
                  <c:v>4.97</c:v>
                </c:pt>
                <c:pt idx="7">
                  <c:v>4.75</c:v>
                </c:pt>
                <c:pt idx="8">
                  <c:v>4.6500000000000004</c:v>
                </c:pt>
                <c:pt idx="9">
                  <c:v>4.49</c:v>
                </c:pt>
                <c:pt idx="10">
                  <c:v>3.92</c:v>
                </c:pt>
                <c:pt idx="11">
                  <c:v>4.3</c:v>
                </c:pt>
                <c:pt idx="12">
                  <c:v>4.8600000000000003</c:v>
                </c:pt>
                <c:pt idx="13">
                  <c:v>6.96</c:v>
                </c:pt>
                <c:pt idx="14">
                  <c:v>9.6199999999999992</c:v>
                </c:pt>
                <c:pt idx="15">
                  <c:v>9.3000000000000007</c:v>
                </c:pt>
                <c:pt idx="16">
                  <c:v>9.76</c:v>
                </c:pt>
                <c:pt idx="17">
                  <c:v>9.69</c:v>
                </c:pt>
                <c:pt idx="18">
                  <c:v>9.42</c:v>
                </c:pt>
                <c:pt idx="19">
                  <c:v>8.34</c:v>
                </c:pt>
                <c:pt idx="20">
                  <c:v>7.16</c:v>
                </c:pt>
                <c:pt idx="21">
                  <c:v>6.36</c:v>
                </c:pt>
                <c:pt idx="22">
                  <c:v>5.8</c:v>
                </c:pt>
                <c:pt idx="23">
                  <c:v>5.66</c:v>
                </c:pt>
                <c:pt idx="24">
                  <c:v>5.72</c:v>
                </c:pt>
                <c:pt idx="25">
                  <c:v>6.02</c:v>
                </c:pt>
                <c:pt idx="26">
                  <c:v>6.16</c:v>
                </c:pt>
                <c:pt idx="27">
                  <c:v>6.41</c:v>
                </c:pt>
                <c:pt idx="28">
                  <c:v>6.24</c:v>
                </c:pt>
                <c:pt idx="29">
                  <c:v>5.86</c:v>
                </c:pt>
                <c:pt idx="30">
                  <c:v>4.08</c:v>
                </c:pt>
                <c:pt idx="31">
                  <c:v>3</c:v>
                </c:pt>
                <c:pt idx="32">
                  <c:v>3.81</c:v>
                </c:pt>
                <c:pt idx="33">
                  <c:v>3.57</c:v>
                </c:pt>
                <c:pt idx="34">
                  <c:v>3.33</c:v>
                </c:pt>
                <c:pt idx="35">
                  <c:v>3.41</c:v>
                </c:pt>
                <c:pt idx="36">
                  <c:v>3.67</c:v>
                </c:pt>
                <c:pt idx="37">
                  <c:v>3.68</c:v>
                </c:pt>
                <c:pt idx="38">
                  <c:v>3.57</c:v>
                </c:pt>
                <c:pt idx="39">
                  <c:v>3.45</c:v>
                </c:pt>
                <c:pt idx="40">
                  <c:v>3.46</c:v>
                </c:pt>
                <c:pt idx="41">
                  <c:v>3.53</c:v>
                </c:pt>
                <c:pt idx="42">
                  <c:v>3.6</c:v>
                </c:pt>
                <c:pt idx="43">
                  <c:v>3.57</c:v>
                </c:pt>
                <c:pt idx="44">
                  <c:v>3.41</c:v>
                </c:pt>
                <c:pt idx="45">
                  <c:v>3.21</c:v>
                </c:pt>
                <c:pt idx="46">
                  <c:v>3.1</c:v>
                </c:pt>
                <c:pt idx="47">
                  <c:v>3</c:v>
                </c:pt>
                <c:pt idx="48">
                  <c:v>2.97</c:v>
                </c:pt>
                <c:pt idx="49">
                  <c:v>2.98</c:v>
                </c:pt>
                <c:pt idx="50">
                  <c:v>2.86</c:v>
                </c:pt>
                <c:pt idx="51">
                  <c:v>3</c:v>
                </c:pt>
                <c:pt idx="52">
                  <c:v>3.23</c:v>
                </c:pt>
                <c:pt idx="53">
                  <c:v>5</c:v>
                </c:pt>
                <c:pt idx="54">
                  <c:v>9.33</c:v>
                </c:pt>
                <c:pt idx="55">
                  <c:v>8.65</c:v>
                </c:pt>
                <c:pt idx="56">
                  <c:v>7.1</c:v>
                </c:pt>
                <c:pt idx="57">
                  <c:v>7.11</c:v>
                </c:pt>
                <c:pt idx="58">
                  <c:v>9.36</c:v>
                </c:pt>
                <c:pt idx="59">
                  <c:v>10.9</c:v>
                </c:pt>
                <c:pt idx="60">
                  <c:v>10.6</c:v>
                </c:pt>
                <c:pt idx="61">
                  <c:v>9.7899999999999991</c:v>
                </c:pt>
                <c:pt idx="62">
                  <c:v>8.81</c:v>
                </c:pt>
                <c:pt idx="63">
                  <c:v>7.95</c:v>
                </c:pt>
                <c:pt idx="64">
                  <c:v>7</c:v>
                </c:pt>
                <c:pt idx="65">
                  <c:v>6.58</c:v>
                </c:pt>
                <c:pt idx="66">
                  <c:v>6.35</c:v>
                </c:pt>
                <c:pt idx="67">
                  <c:v>6.2</c:v>
                </c:pt>
                <c:pt idx="68">
                  <c:v>5.97</c:v>
                </c:pt>
                <c:pt idx="69">
                  <c:v>5.76</c:v>
                </c:pt>
                <c:pt idx="70">
                  <c:v>5.62</c:v>
                </c:pt>
                <c:pt idx="71">
                  <c:v>5.52</c:v>
                </c:pt>
                <c:pt idx="72">
                  <c:v>6.28</c:v>
                </c:pt>
                <c:pt idx="73">
                  <c:v>7.9</c:v>
                </c:pt>
                <c:pt idx="74">
                  <c:v>8.5399999999999991</c:v>
                </c:pt>
                <c:pt idx="75">
                  <c:v>8.09</c:v>
                </c:pt>
                <c:pt idx="76">
                  <c:v>7.39</c:v>
                </c:pt>
                <c:pt idx="77">
                  <c:v>6.8</c:v>
                </c:pt>
                <c:pt idx="78">
                  <c:v>6.49</c:v>
                </c:pt>
                <c:pt idx="79">
                  <c:v>6.16</c:v>
                </c:pt>
                <c:pt idx="80">
                  <c:v>5.79</c:v>
                </c:pt>
                <c:pt idx="81">
                  <c:v>5.46</c:v>
                </c:pt>
                <c:pt idx="82">
                  <c:v>5.27</c:v>
                </c:pt>
                <c:pt idx="83">
                  <c:v>5.4</c:v>
                </c:pt>
                <c:pt idx="84">
                  <c:v>5.55</c:v>
                </c:pt>
                <c:pt idx="85">
                  <c:v>5.44</c:v>
                </c:pt>
                <c:pt idx="86">
                  <c:v>5.19</c:v>
                </c:pt>
                <c:pt idx="87">
                  <c:v>5.05</c:v>
                </c:pt>
                <c:pt idx="88">
                  <c:v>5.36</c:v>
                </c:pt>
                <c:pt idx="89">
                  <c:v>5.51</c:v>
                </c:pt>
                <c:pt idx="90">
                  <c:v>5.39</c:v>
                </c:pt>
                <c:pt idx="91">
                  <c:v>5.28</c:v>
                </c:pt>
                <c:pt idx="92">
                  <c:v>5.0999999999999996</c:v>
                </c:pt>
                <c:pt idx="93">
                  <c:v>4.9000000000000004</c:v>
                </c:pt>
                <c:pt idx="94">
                  <c:v>4.7699999999999996</c:v>
                </c:pt>
                <c:pt idx="95">
                  <c:v>4.3499999999999996</c:v>
                </c:pt>
                <c:pt idx="96">
                  <c:v>4.33</c:v>
                </c:pt>
                <c:pt idx="97">
                  <c:v>4.09</c:v>
                </c:pt>
                <c:pt idx="98">
                  <c:v>3.93</c:v>
                </c:pt>
                <c:pt idx="99">
                  <c:v>3.81</c:v>
                </c:pt>
                <c:pt idx="100">
                  <c:v>3.7</c:v>
                </c:pt>
                <c:pt idx="101">
                  <c:v>3.58</c:v>
                </c:pt>
                <c:pt idx="102">
                  <c:v>3.47</c:v>
                </c:pt>
                <c:pt idx="103">
                  <c:v>3.39</c:v>
                </c:pt>
                <c:pt idx="104">
                  <c:v>3.24</c:v>
                </c:pt>
                <c:pt idx="105">
                  <c:v>3.18</c:v>
                </c:pt>
                <c:pt idx="106">
                  <c:v>3.15</c:v>
                </c:pt>
                <c:pt idx="107">
                  <c:v>3.08</c:v>
                </c:pt>
                <c:pt idx="108">
                  <c:v>3.09</c:v>
                </c:pt>
                <c:pt idx="109">
                  <c:v>3.03</c:v>
                </c:pt>
                <c:pt idx="110">
                  <c:v>2.79</c:v>
                </c:pt>
                <c:pt idx="111">
                  <c:v>2.66</c:v>
                </c:pt>
                <c:pt idx="112">
                  <c:v>2.6</c:v>
                </c:pt>
                <c:pt idx="113">
                  <c:v>2.5499999999999998</c:v>
                </c:pt>
                <c:pt idx="114">
                  <c:v>2.48</c:v>
                </c:pt>
                <c:pt idx="115">
                  <c:v>2.41</c:v>
                </c:pt>
                <c:pt idx="116">
                  <c:v>2.41</c:v>
                </c:pt>
                <c:pt idx="117">
                  <c:v>2.2799999999999998</c:v>
                </c:pt>
                <c:pt idx="118">
                  <c:v>2.23</c:v>
                </c:pt>
                <c:pt idx="119">
                  <c:v>2.19</c:v>
                </c:pt>
                <c:pt idx="120">
                  <c:v>2.12</c:v>
                </c:pt>
                <c:pt idx="121">
                  <c:v>2.0699999999999998</c:v>
                </c:pt>
                <c:pt idx="122">
                  <c:v>2.04</c:v>
                </c:pt>
                <c:pt idx="123">
                  <c:v>2</c:v>
                </c:pt>
                <c:pt idx="124">
                  <c:v>1.93</c:v>
                </c:pt>
                <c:pt idx="125">
                  <c:v>1.87</c:v>
                </c:pt>
                <c:pt idx="126">
                  <c:v>1.85</c:v>
                </c:pt>
                <c:pt idx="127">
                  <c:v>1.79</c:v>
                </c:pt>
                <c:pt idx="128">
                  <c:v>1.74</c:v>
                </c:pt>
                <c:pt idx="129">
                  <c:v>1.68</c:v>
                </c:pt>
                <c:pt idx="130">
                  <c:v>2.13</c:v>
                </c:pt>
                <c:pt idx="131">
                  <c:v>2.57</c:v>
                </c:pt>
                <c:pt idx="132">
                  <c:v>2.88</c:v>
                </c:pt>
                <c:pt idx="133">
                  <c:v>2.91</c:v>
                </c:pt>
                <c:pt idx="134">
                  <c:v>2.99</c:v>
                </c:pt>
                <c:pt idx="135">
                  <c:v>2.88</c:v>
                </c:pt>
                <c:pt idx="136">
                  <c:v>2.68</c:v>
                </c:pt>
                <c:pt idx="137">
                  <c:v>2.52</c:v>
                </c:pt>
                <c:pt idx="138">
                  <c:v>2.35</c:v>
                </c:pt>
                <c:pt idx="139">
                  <c:v>2.16</c:v>
                </c:pt>
                <c:pt idx="140">
                  <c:v>2.09</c:v>
                </c:pt>
                <c:pt idx="141">
                  <c:v>2.0099999999999998</c:v>
                </c:pt>
                <c:pt idx="142">
                  <c:v>1.93</c:v>
                </c:pt>
                <c:pt idx="143">
                  <c:v>1.85</c:v>
                </c:pt>
                <c:pt idx="144">
                  <c:v>1.72</c:v>
                </c:pt>
                <c:pt idx="145">
                  <c:v>1.64</c:v>
                </c:pt>
                <c:pt idx="146">
                  <c:v>1.55</c:v>
                </c:pt>
                <c:pt idx="147">
                  <c:v>1.47</c:v>
                </c:pt>
                <c:pt idx="148">
                  <c:v>1.39</c:v>
                </c:pt>
                <c:pt idx="149">
                  <c:v>1.3</c:v>
                </c:pt>
                <c:pt idx="150">
                  <c:v>1.22</c:v>
                </c:pt>
                <c:pt idx="151">
                  <c:v>1.0900000000000001</c:v>
                </c:pt>
                <c:pt idx="152">
                  <c:v>1.06</c:v>
                </c:pt>
                <c:pt idx="153">
                  <c:v>1.1100000000000001</c:v>
                </c:pt>
                <c:pt idx="154">
                  <c:v>0.98399999999999999</c:v>
                </c:pt>
                <c:pt idx="155">
                  <c:v>0.93700000000000006</c:v>
                </c:pt>
                <c:pt idx="156">
                  <c:v>0.95899999999999996</c:v>
                </c:pt>
                <c:pt idx="157">
                  <c:v>0.97899999999999998</c:v>
                </c:pt>
                <c:pt idx="158">
                  <c:v>0.71799999999999997</c:v>
                </c:pt>
                <c:pt idx="159">
                  <c:v>0.86199999999999999</c:v>
                </c:pt>
                <c:pt idx="160">
                  <c:v>0.84</c:v>
                </c:pt>
                <c:pt idx="161">
                  <c:v>0.81799999999999995</c:v>
                </c:pt>
                <c:pt idx="162">
                  <c:v>0.74299999999999999</c:v>
                </c:pt>
                <c:pt idx="163">
                  <c:v>1.0900000000000001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8.4</c:v>
                </c:pt>
                <c:pt idx="5">
                  <c:v>7.38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1300</c:v>
                </c:pt>
                <c:pt idx="5">
                  <c:v>1400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0\.0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0\.0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0\.0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0\.0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7.7</c:v>
                </c:pt>
                <c:pt idx="5">
                  <c:v>7.8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0\.0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0\.0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0\.0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0\.0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4.0999999999999996</c:v>
                </c:pt>
                <c:pt idx="5">
                  <c:v>1.4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0\.0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0\.0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0\.0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0\.0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\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48.8</c:v>
                </c:pt>
                <c:pt idx="5">
                  <c:v>55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0\.0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0\.0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0\.0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2.5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770</c:v>
                </c:pt>
                <c:pt idx="5">
                  <c:v>810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110</c:v>
                </c:pt>
                <c:pt idx="5">
                  <c:v>64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eg"/><Relationship Id="rId3" Type="http://schemas.openxmlformats.org/officeDocument/2006/relationships/hyperlink" Target="#Start!A1"/><Relationship Id="rId7" Type="http://schemas.openxmlformats.org/officeDocument/2006/relationships/image" Target="../media/image27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6.jpeg"/><Relationship Id="rId5" Type="http://schemas.openxmlformats.org/officeDocument/2006/relationships/image" Target="../media/image25.jpeg"/><Relationship Id="rId10" Type="http://schemas.openxmlformats.org/officeDocument/2006/relationships/image" Target="../media/image30.png"/><Relationship Id="rId4" Type="http://schemas.openxmlformats.org/officeDocument/2006/relationships/image" Target="../media/image24.png"/><Relationship Id="rId9" Type="http://schemas.openxmlformats.org/officeDocument/2006/relationships/image" Target="../media/image29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23.emf"/><Relationship Id="rId3" Type="http://schemas.openxmlformats.org/officeDocument/2006/relationships/image" Target="../media/image13.emf"/><Relationship Id="rId7" Type="http://schemas.openxmlformats.org/officeDocument/2006/relationships/image" Target="../media/image17.emf"/><Relationship Id="rId12" Type="http://schemas.openxmlformats.org/officeDocument/2006/relationships/image" Target="../media/image22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6" Type="http://schemas.openxmlformats.org/officeDocument/2006/relationships/image" Target="../media/image16.emf"/><Relationship Id="rId11" Type="http://schemas.openxmlformats.org/officeDocument/2006/relationships/image" Target="../media/image21.emf"/><Relationship Id="rId5" Type="http://schemas.openxmlformats.org/officeDocument/2006/relationships/image" Target="../media/image15.emf"/><Relationship Id="rId10" Type="http://schemas.openxmlformats.org/officeDocument/2006/relationships/image" Target="../media/image20.emf"/><Relationship Id="rId4" Type="http://schemas.openxmlformats.org/officeDocument/2006/relationships/image" Target="../media/image14.emf"/><Relationship Id="rId9" Type="http://schemas.openxmlformats.org/officeDocument/2006/relationships/image" Target="../media/image19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480060</xdr:colOff>
          <xdr:row>1</xdr:row>
          <xdr:rowOff>0</xdr:rowOff>
        </xdr:from>
        <xdr:to>
          <xdr:col>18</xdr:col>
          <xdr:colOff>91440</xdr:colOff>
          <xdr:row>16</xdr:row>
          <xdr:rowOff>236220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AB160C9C-44CD-1E09-0776-8B9A43F83A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0</xdr:colOff>
      <xdr:row>1</xdr:row>
      <xdr:rowOff>0</xdr:rowOff>
    </xdr:from>
    <xdr:to>
      <xdr:col>31</xdr:col>
      <xdr:colOff>148621</xdr:colOff>
      <xdr:row>16</xdr:row>
      <xdr:rowOff>140970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84820752-11B4-4363-943B-FE8228DBF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5340" y="289560"/>
          <a:ext cx="8271541" cy="584835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C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C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5006340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C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C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C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C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175260</xdr:colOff>
          <xdr:row>78</xdr:row>
          <xdr:rowOff>3360420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C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2</xdr:col>
          <xdr:colOff>7620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C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C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C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C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C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C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C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85" r="21440"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8" r="21024"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616871</xdr:colOff>
      <xdr:row>49</xdr:row>
      <xdr:rowOff>994894</xdr:rowOff>
    </xdr:from>
    <xdr:to>
      <xdr:col>5</xdr:col>
      <xdr:colOff>276465</xdr:colOff>
      <xdr:row>58</xdr:row>
      <xdr:rowOff>4404360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3ED5E927-524B-430A-B37A-44B67F719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78631" y="33608494"/>
          <a:ext cx="4528774" cy="6038366"/>
        </a:xfrm>
        <a:prstGeom prst="rect">
          <a:avLst/>
        </a:prstGeom>
      </xdr:spPr>
    </xdr:pic>
    <xdr:clientData/>
  </xdr:twoCellAnchor>
  <xdr:twoCellAnchor>
    <xdr:from>
      <xdr:col>3</xdr:col>
      <xdr:colOff>609251</xdr:colOff>
      <xdr:row>58</xdr:row>
      <xdr:rowOff>4058134</xdr:rowOff>
    </xdr:from>
    <xdr:to>
      <xdr:col>5</xdr:col>
      <xdr:colOff>595916</xdr:colOff>
      <xdr:row>58</xdr:row>
      <xdr:rowOff>4429609</xdr:rowOff>
    </xdr:to>
    <xdr:sp macro="" textlink="">
      <xdr:nvSpPr>
        <xdr:cNvPr id="14" name="textruta 13">
          <a:extLst>
            <a:ext uri="{FF2B5EF4-FFF2-40B4-BE49-F238E27FC236}">
              <a16:creationId xmlns:a16="http://schemas.microsoft.com/office/drawing/2014/main" id="{9F3AA05C-76FC-400B-94D0-9F117CFD9312}"/>
            </a:ext>
          </a:extLst>
        </xdr:cNvPr>
        <xdr:cNvSpPr txBox="1"/>
      </xdr:nvSpPr>
      <xdr:spPr>
        <a:xfrm>
          <a:off x="7071011" y="39300634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2026-05-11.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167640</xdr:colOff>
      <xdr:row>62</xdr:row>
      <xdr:rowOff>220980</xdr:rowOff>
    </xdr:from>
    <xdr:to>
      <xdr:col>4</xdr:col>
      <xdr:colOff>236220</xdr:colOff>
      <xdr:row>69</xdr:row>
      <xdr:rowOff>84884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25920EC-BF55-8893-FB2A-90A6D12D9F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6898" r="19744"/>
        <a:stretch>
          <a:fillRect/>
        </a:stretch>
      </xdr:blipFill>
      <xdr:spPr>
        <a:xfrm>
          <a:off x="6629400" y="42001440"/>
          <a:ext cx="4587240" cy="6333284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68</xdr:row>
      <xdr:rowOff>4899660</xdr:rowOff>
    </xdr:from>
    <xdr:to>
      <xdr:col>5</xdr:col>
      <xdr:colOff>139065</xdr:colOff>
      <xdr:row>69</xdr:row>
      <xdr:rowOff>81915</xdr:rowOff>
    </xdr:to>
    <xdr:sp macro="" textlink="">
      <xdr:nvSpPr>
        <xdr:cNvPr id="11" name="textruta 10">
          <a:extLst>
            <a:ext uri="{FF2B5EF4-FFF2-40B4-BE49-F238E27FC236}">
              <a16:creationId xmlns:a16="http://schemas.microsoft.com/office/drawing/2014/main" id="{DA85CFEA-941E-49F1-A9CB-28AF77EF7536}"/>
            </a:ext>
          </a:extLst>
        </xdr:cNvPr>
        <xdr:cNvSpPr txBox="1"/>
      </xdr:nvSpPr>
      <xdr:spPr>
        <a:xfrm>
          <a:off x="6614160" y="4796028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2026-0-10.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omments" Target="../comments7.xml"/><Relationship Id="rId3" Type="http://schemas.openxmlformats.org/officeDocument/2006/relationships/drawing" Target="../drawings/drawing11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7.xml"/><Relationship Id="rId1" Type="http://schemas.openxmlformats.org/officeDocument/2006/relationships/hyperlink" Target="http://www.ekologgruppen.com/vattenkontroll/Vattenmetoder_EIG.xlsm" TargetMode="External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vmlDrawing" Target="../drawings/vmlDrawing11.v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vmlDrawing" Target="../drawings/vmlDrawing10.v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7.emf"/><Relationship Id="rId26" Type="http://schemas.openxmlformats.org/officeDocument/2006/relationships/image" Target="../media/image21.emf"/><Relationship Id="rId3" Type="http://schemas.openxmlformats.org/officeDocument/2006/relationships/vmlDrawing" Target="../drawings/vmlDrawing12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4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2.xml"/><Relationship Id="rId16" Type="http://schemas.openxmlformats.org/officeDocument/2006/relationships/image" Target="../media/image16.emf"/><Relationship Id="rId20" Type="http://schemas.openxmlformats.org/officeDocument/2006/relationships/image" Target="../media/image18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3.bin"/><Relationship Id="rId6" Type="http://schemas.openxmlformats.org/officeDocument/2006/relationships/image" Target="../media/image11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0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2.emf"/><Relationship Id="rId10" Type="http://schemas.openxmlformats.org/officeDocument/2006/relationships/image" Target="../media/image13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19.xml"/><Relationship Id="rId4" Type="http://schemas.openxmlformats.org/officeDocument/2006/relationships/vmlDrawing" Target="../drawings/vmlDrawing13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5.emf"/><Relationship Id="rId22" Type="http://schemas.openxmlformats.org/officeDocument/2006/relationships/image" Target="../media/image19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3.emf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4.xm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mailto:therese.parodi@lund.se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5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/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779"/>
      <c r="L2" s="780"/>
      <c r="M2" s="773"/>
      <c r="N2" s="773"/>
      <c r="O2" s="773"/>
      <c r="P2" s="773"/>
      <c r="Q2" s="773"/>
      <c r="R2" s="773"/>
      <c r="S2" s="773"/>
      <c r="T2" s="773"/>
      <c r="U2" s="773"/>
      <c r="V2" s="773"/>
      <c r="W2" s="773"/>
    </row>
    <row r="3" spans="2:23" ht="28.5" customHeight="1">
      <c r="B3" s="344"/>
      <c r="C3" s="513"/>
      <c r="D3" s="344"/>
      <c r="E3" s="607" t="s">
        <v>425</v>
      </c>
      <c r="F3" s="346"/>
      <c r="G3" s="344"/>
      <c r="H3" s="344"/>
      <c r="I3" s="344"/>
      <c r="K3" s="771"/>
      <c r="L3" s="772"/>
      <c r="M3" s="773"/>
      <c r="N3" s="773"/>
      <c r="O3" s="773"/>
      <c r="P3" s="773"/>
      <c r="Q3" s="773"/>
      <c r="R3" s="773"/>
      <c r="S3" s="773"/>
      <c r="T3" s="773"/>
      <c r="U3" s="773"/>
      <c r="V3" s="773"/>
      <c r="W3" s="773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773"/>
      <c r="L4" s="773"/>
      <c r="M4" s="773"/>
      <c r="N4" s="773"/>
      <c r="O4" s="773"/>
      <c r="P4" s="773"/>
      <c r="Q4" s="773"/>
      <c r="R4" s="773"/>
      <c r="S4" s="773"/>
      <c r="T4" s="773"/>
      <c r="U4" s="773"/>
      <c r="V4" s="773"/>
      <c r="W4" s="773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773"/>
      <c r="L5" s="773"/>
      <c r="M5" s="773"/>
      <c r="N5" s="773"/>
      <c r="O5" s="773"/>
      <c r="P5" s="773"/>
      <c r="Q5" s="774"/>
      <c r="R5" s="773"/>
      <c r="S5" s="773"/>
      <c r="T5" s="773"/>
      <c r="U5" s="773"/>
      <c r="V5" s="773"/>
      <c r="W5" s="773"/>
    </row>
    <row r="6" spans="2:23" ht="23.4" customHeight="1">
      <c r="B6" s="350" t="s">
        <v>440</v>
      </c>
      <c r="C6" s="351"/>
      <c r="D6" s="344"/>
      <c r="E6" s="352"/>
      <c r="F6" s="344"/>
      <c r="G6" s="344"/>
      <c r="H6" s="352"/>
      <c r="I6" s="344"/>
      <c r="J6" s="342"/>
      <c r="K6" s="773"/>
      <c r="L6" s="773"/>
      <c r="M6" s="773"/>
      <c r="N6" s="773"/>
      <c r="O6" s="773"/>
      <c r="P6" s="773"/>
      <c r="Q6" s="773"/>
      <c r="R6" s="773"/>
      <c r="S6" s="773"/>
      <c r="T6" s="773"/>
      <c r="U6" s="773"/>
      <c r="V6" s="773"/>
      <c r="W6" s="773"/>
    </row>
    <row r="7" spans="2:23" ht="39" customHeight="1">
      <c r="B7" s="344"/>
      <c r="C7" s="376" t="s">
        <v>160</v>
      </c>
      <c r="D7" s="353"/>
      <c r="E7" s="376" t="s">
        <v>161</v>
      </c>
      <c r="F7" s="344"/>
      <c r="G7" s="354"/>
      <c r="H7" s="376" t="s">
        <v>190</v>
      </c>
      <c r="I7" s="344"/>
      <c r="J7" s="342"/>
      <c r="K7" s="773"/>
      <c r="L7" s="781"/>
      <c r="M7" s="773"/>
      <c r="N7" s="781"/>
      <c r="O7" s="773"/>
      <c r="P7" s="773"/>
      <c r="Q7" s="773"/>
      <c r="R7" s="773"/>
      <c r="S7" s="773"/>
      <c r="T7" s="773"/>
      <c r="U7" s="773"/>
      <c r="V7" s="773"/>
      <c r="W7" s="773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773"/>
      <c r="L8" s="773"/>
      <c r="M8" s="773"/>
      <c r="N8" s="775"/>
      <c r="O8" s="773"/>
      <c r="P8" s="773"/>
      <c r="Q8" s="773"/>
      <c r="R8" s="773"/>
      <c r="S8" s="773"/>
      <c r="T8" s="773"/>
      <c r="U8" s="773"/>
      <c r="V8" s="773"/>
      <c r="W8" s="773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773"/>
      <c r="L9" s="773"/>
      <c r="M9" s="773"/>
      <c r="N9" s="773"/>
      <c r="O9" s="773"/>
      <c r="P9" s="773"/>
      <c r="Q9" s="773"/>
      <c r="R9" s="773"/>
      <c r="S9" s="773"/>
      <c r="T9" s="773"/>
      <c r="U9" s="773"/>
      <c r="V9" s="773"/>
      <c r="W9" s="773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773"/>
      <c r="L10" s="773"/>
      <c r="M10" s="773"/>
      <c r="N10" s="773"/>
      <c r="O10" s="773"/>
      <c r="P10" s="773"/>
      <c r="Q10" s="773"/>
      <c r="R10" s="773"/>
      <c r="S10" s="773"/>
      <c r="T10" s="773"/>
      <c r="U10" s="773"/>
      <c r="V10" s="773"/>
      <c r="W10" s="773"/>
    </row>
    <row r="11" spans="2:23" ht="22.5" customHeight="1">
      <c r="B11" s="356"/>
      <c r="C11" s="377" t="s">
        <v>217</v>
      </c>
      <c r="D11" s="356"/>
      <c r="E11" s="377" t="s">
        <v>126</v>
      </c>
      <c r="F11" s="344"/>
      <c r="G11" s="344"/>
      <c r="H11" s="377" t="s">
        <v>127</v>
      </c>
      <c r="I11" s="344"/>
      <c r="J11" s="342"/>
      <c r="K11" s="772"/>
      <c r="L11" s="776"/>
      <c r="M11" s="773"/>
      <c r="N11" s="773"/>
      <c r="O11" s="773"/>
      <c r="P11" s="773"/>
      <c r="Q11" s="773"/>
      <c r="R11" s="773"/>
      <c r="S11" s="773"/>
      <c r="T11" s="773"/>
      <c r="U11" s="773"/>
      <c r="V11" s="773"/>
      <c r="W11" s="773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773"/>
      <c r="L12" s="772"/>
      <c r="M12" s="773"/>
      <c r="N12" s="773"/>
      <c r="O12" s="773"/>
      <c r="P12" s="773"/>
      <c r="Q12" s="773"/>
      <c r="R12" s="773"/>
      <c r="S12" s="773"/>
      <c r="T12" s="773"/>
      <c r="U12" s="773"/>
      <c r="V12" s="773"/>
      <c r="W12" s="773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772"/>
      <c r="L13" s="777"/>
      <c r="M13" s="773"/>
      <c r="N13" s="773"/>
      <c r="O13" s="773"/>
      <c r="P13" s="773"/>
      <c r="Q13" s="773"/>
      <c r="R13" s="773"/>
      <c r="S13" s="773"/>
      <c r="T13" s="773"/>
      <c r="U13" s="773"/>
      <c r="V13" s="773"/>
      <c r="W13" s="773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773"/>
      <c r="L14" s="773"/>
      <c r="M14" s="773"/>
      <c r="N14" s="773"/>
      <c r="O14" s="773"/>
      <c r="P14" s="773"/>
      <c r="Q14" s="773"/>
      <c r="R14" s="773"/>
      <c r="S14" s="773"/>
      <c r="T14" s="773"/>
      <c r="U14" s="773"/>
      <c r="V14" s="773"/>
      <c r="W14" s="773"/>
    </row>
    <row r="15" spans="2:23" ht="15" customHeight="1">
      <c r="B15" s="344"/>
      <c r="C15" s="361" t="s">
        <v>272</v>
      </c>
      <c r="D15" s="344"/>
      <c r="E15" s="353"/>
      <c r="F15" s="344"/>
      <c r="G15" s="344"/>
      <c r="H15" s="344"/>
      <c r="I15" s="344"/>
      <c r="K15" s="772"/>
      <c r="L15" s="777"/>
      <c r="M15" s="773"/>
      <c r="N15" s="773"/>
      <c r="O15" s="773"/>
      <c r="P15" s="778"/>
      <c r="Q15" s="773"/>
      <c r="R15" s="773"/>
      <c r="S15" s="773"/>
      <c r="T15" s="773"/>
      <c r="U15" s="773"/>
      <c r="V15" s="773"/>
      <c r="W15" s="773"/>
    </row>
    <row r="16" spans="2:23" ht="21.6" customHeight="1">
      <c r="C16" s="343"/>
      <c r="E16" s="343"/>
      <c r="H16" s="343"/>
      <c r="J16" s="342"/>
      <c r="K16" s="773"/>
      <c r="L16" s="773"/>
      <c r="M16" s="773"/>
      <c r="N16" s="773"/>
      <c r="O16" s="773"/>
      <c r="P16" s="773"/>
      <c r="Q16" s="773"/>
      <c r="R16" s="773"/>
      <c r="S16" s="773"/>
      <c r="T16" s="773"/>
      <c r="U16" s="773"/>
      <c r="V16" s="773"/>
      <c r="W16" s="773"/>
    </row>
    <row r="17" ht="30" customHeight="1"/>
    <row r="18" ht="18" customHeight="1"/>
    <row r="19" ht="18" customHeight="1"/>
  </sheetData>
  <sheetProtection algorithmName="SHA-512" hashValue="EJzDx/FRUSfatB/F50VlO6/wJPEGhOE7GOK9tsbZMGDoBY/uffGy7k0bBUtxCPZBP5VzXQk41CPtr9EHe1IdZg==" saltValue="G0blGBCTtHPOOfBl84zp+A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autoPict="0" r:id="rId5">
            <anchor moveWithCells="1">
              <from>
                <xdr:col>9</xdr:col>
                <xdr:colOff>480060</xdr:colOff>
                <xdr:row>1</xdr:row>
                <xdr:rowOff>0</xdr:rowOff>
              </from>
              <to>
                <xdr:col>18</xdr:col>
                <xdr:colOff>99060</xdr:colOff>
                <xdr:row>16</xdr:row>
                <xdr:rowOff>236220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9" activePane="bottomRight" state="frozen"/>
      <selection activeCell="B1" sqref="B1"/>
      <selection pane="topRight" activeCell="C1" sqref="C1"/>
      <selection pane="bottomLeft" activeCell="B9" sqref="B9"/>
      <selection pane="bottomRight" activeCell="B2" sqref="B2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426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40"/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5" ht="28.2" customHeight="1">
      <c r="B3" s="335" t="s">
        <v>246</v>
      </c>
      <c r="C3" s="598" t="s">
        <v>250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7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600" t="s">
        <v>251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7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9" t="s">
        <v>249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7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80" customFormat="1" ht="11.25" customHeight="1">
      <c r="A7" s="572" t="s">
        <v>2</v>
      </c>
      <c r="B7" s="573" t="s">
        <v>3</v>
      </c>
      <c r="C7" s="574" t="s">
        <v>4</v>
      </c>
      <c r="D7" s="575" t="s">
        <v>5</v>
      </c>
      <c r="E7" s="575" t="s">
        <v>7</v>
      </c>
      <c r="F7" s="576" t="s">
        <v>8</v>
      </c>
      <c r="G7" s="575" t="s">
        <v>6</v>
      </c>
      <c r="H7" s="575" t="s">
        <v>9</v>
      </c>
      <c r="I7" s="575" t="s">
        <v>116</v>
      </c>
      <c r="J7" s="575" t="s">
        <v>128</v>
      </c>
      <c r="K7" s="576" t="s">
        <v>102</v>
      </c>
      <c r="L7" s="577" t="s">
        <v>10</v>
      </c>
      <c r="M7" s="577" t="s">
        <v>129</v>
      </c>
      <c r="N7" s="578" t="s">
        <v>103</v>
      </c>
      <c r="O7" s="577" t="s">
        <v>11</v>
      </c>
      <c r="P7" s="575" t="s">
        <v>372</v>
      </c>
      <c r="Q7" s="575" t="s">
        <v>270</v>
      </c>
      <c r="R7" s="573" t="s">
        <v>13</v>
      </c>
      <c r="S7" s="579"/>
      <c r="V7" s="576"/>
    </row>
    <row r="8" spans="1:45" s="589" customFormat="1">
      <c r="A8" s="581" t="s">
        <v>14</v>
      </c>
      <c r="B8" s="582" t="s">
        <v>15</v>
      </c>
      <c r="C8" s="583" t="s">
        <v>16</v>
      </c>
      <c r="D8" s="584" t="s">
        <v>17</v>
      </c>
      <c r="E8" s="584" t="s">
        <v>106</v>
      </c>
      <c r="F8" s="584" t="s">
        <v>114</v>
      </c>
      <c r="G8" s="584"/>
      <c r="H8" s="584" t="s">
        <v>104</v>
      </c>
      <c r="I8" s="584" t="s">
        <v>105</v>
      </c>
      <c r="J8" s="584" t="s">
        <v>106</v>
      </c>
      <c r="K8" s="585" t="s">
        <v>19</v>
      </c>
      <c r="L8" s="586" t="s">
        <v>19</v>
      </c>
      <c r="M8" s="587" t="s">
        <v>20</v>
      </c>
      <c r="N8" s="586" t="s">
        <v>20</v>
      </c>
      <c r="O8" s="586" t="s">
        <v>20</v>
      </c>
      <c r="P8" s="584" t="s">
        <v>19</v>
      </c>
      <c r="Q8" s="584" t="s">
        <v>271</v>
      </c>
      <c r="R8" s="588"/>
      <c r="S8" s="582"/>
      <c r="V8" s="585"/>
    </row>
    <row r="9" spans="1:45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608"/>
      <c r="K9" s="509"/>
      <c r="L9" s="509"/>
      <c r="M9" s="509"/>
      <c r="N9" s="509"/>
      <c r="O9" s="509"/>
      <c r="P9" s="509"/>
      <c r="Q9" s="510"/>
      <c r="R9" s="512"/>
      <c r="S9" s="458"/>
      <c r="T9" s="459"/>
    </row>
    <row r="10" spans="1:45" s="102" customFormat="1" ht="12" customHeight="1">
      <c r="A10" s="118">
        <v>3</v>
      </c>
      <c r="B10" s="102" t="s">
        <v>252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  <c r="AS10" s="461"/>
    </row>
    <row r="11" spans="1:45" s="102" customFormat="1" ht="12" customHeight="1">
      <c r="A11" s="118">
        <v>5</v>
      </c>
      <c r="B11" s="102" t="s">
        <v>253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  <c r="AS11" s="461"/>
    </row>
    <row r="12" spans="1:45" s="102" customFormat="1" ht="12" customHeight="1">
      <c r="A12" s="118">
        <v>6</v>
      </c>
      <c r="B12" s="102" t="s">
        <v>265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443</v>
      </c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</row>
    <row r="13" spans="1:45" s="102" customFormat="1" ht="12" customHeight="1">
      <c r="A13" s="118">
        <v>7</v>
      </c>
      <c r="B13" s="102" t="s">
        <v>254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  <c r="AS13" s="461"/>
    </row>
    <row r="14" spans="1:45" s="102" customFormat="1" ht="12" customHeight="1">
      <c r="A14" s="118">
        <v>9</v>
      </c>
      <c r="B14" s="102" t="s">
        <v>255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  <c r="AS14" s="461"/>
    </row>
    <row r="15" spans="1:45" s="102" customFormat="1" ht="12" customHeight="1">
      <c r="A15" s="118">
        <v>11</v>
      </c>
      <c r="B15" s="102" t="s">
        <v>256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  <c r="AS15" s="461"/>
    </row>
    <row r="16" spans="1:45" s="102" customFormat="1" ht="12" customHeight="1">
      <c r="A16" s="118">
        <v>13</v>
      </c>
      <c r="B16" s="102" t="s">
        <v>257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443</v>
      </c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  <c r="AS16" s="461"/>
    </row>
    <row r="17" spans="1:45" s="102" customFormat="1" ht="12" customHeight="1">
      <c r="A17" s="118">
        <v>15</v>
      </c>
      <c r="B17" s="102" t="s">
        <v>258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  <c r="AS17" s="461"/>
    </row>
    <row r="18" spans="1:45" s="102" customFormat="1" ht="12" customHeight="1">
      <c r="A18" s="118">
        <v>17</v>
      </c>
      <c r="B18" s="102" t="s">
        <v>259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443</v>
      </c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  <c r="AS18" s="461"/>
    </row>
    <row r="19" spans="1:45" s="102" customFormat="1" ht="12" customHeight="1">
      <c r="A19" s="118">
        <v>18</v>
      </c>
      <c r="B19" s="102" t="s">
        <v>266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  <c r="AS19" s="461"/>
    </row>
    <row r="20" spans="1:45" s="102" customFormat="1" ht="12" customHeight="1">
      <c r="A20" s="118">
        <v>19</v>
      </c>
      <c r="B20" s="102" t="s">
        <v>260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  <c r="AS20" s="461"/>
    </row>
    <row r="21" spans="1:45" s="102" customFormat="1" ht="12" customHeight="1">
      <c r="A21" s="118">
        <v>20</v>
      </c>
      <c r="B21" s="102" t="s">
        <v>267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  <c r="AS21" s="461"/>
    </row>
    <row r="22" spans="1:45" s="102" customFormat="1" ht="12" customHeight="1">
      <c r="A22" s="118">
        <v>21</v>
      </c>
      <c r="B22" s="102" t="s">
        <v>261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288</v>
      </c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  <c r="AS22" s="461"/>
    </row>
    <row r="23" spans="1:45" s="102" customFormat="1" ht="12" customHeight="1">
      <c r="A23" s="118">
        <v>22</v>
      </c>
      <c r="B23" s="102" t="s">
        <v>268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  <c r="AS23" s="461"/>
    </row>
    <row r="24" spans="1:45" s="102" customFormat="1" ht="12" customHeight="1">
      <c r="A24" s="118">
        <v>23</v>
      </c>
      <c r="B24" s="122" t="s">
        <v>297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  <c r="AS24" s="461"/>
    </row>
    <row r="25" spans="1:45" s="102" customFormat="1" ht="12" customHeight="1">
      <c r="A25" s="118">
        <v>24</v>
      </c>
      <c r="B25" s="102" t="s">
        <v>269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  <c r="AS25" s="461"/>
    </row>
    <row r="26" spans="1:45" s="102" customFormat="1" ht="12" customHeight="1">
      <c r="A26" s="118">
        <v>25</v>
      </c>
      <c r="B26" s="102" t="s">
        <v>263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444</v>
      </c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  <c r="AS26" s="461"/>
    </row>
    <row r="27" spans="1:45" s="102" customFormat="1" ht="12" customHeight="1">
      <c r="A27" s="118">
        <v>27</v>
      </c>
      <c r="B27" s="102" t="s">
        <v>264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  <c r="AS27" s="461"/>
    </row>
    <row r="28" spans="1:45" s="102" customFormat="1" ht="12" customHeight="1">
      <c r="A28" s="118">
        <v>29</v>
      </c>
      <c r="B28" s="102" t="s">
        <v>295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179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  <c r="AS28" s="461"/>
    </row>
    <row r="29" spans="1:45" s="102" customFormat="1" ht="12" customHeight="1">
      <c r="A29" s="118">
        <v>30</v>
      </c>
      <c r="B29" s="102" t="s">
        <v>296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442</v>
      </c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  <c r="AS29" s="461"/>
    </row>
    <row r="30" spans="1:45">
      <c r="A30" s="1">
        <v>200</v>
      </c>
      <c r="B30" s="62" t="s">
        <v>97</v>
      </c>
      <c r="C30" s="125"/>
      <c r="D30" s="554"/>
      <c r="E30" s="554" t="s">
        <v>441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2"/>
      <c r="T30" s="463"/>
      <c r="U30" s="464"/>
      <c r="V30" s="464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  <c r="AS30" s="460"/>
    </row>
    <row r="31" spans="1:45" s="460" customFormat="1" ht="17.25" customHeight="1">
      <c r="A31" s="473">
        <v>250</v>
      </c>
      <c r="B31" s="474" t="s">
        <v>21</v>
      </c>
      <c r="C31" s="475"/>
      <c r="D31" s="476"/>
      <c r="E31" s="476"/>
      <c r="F31" s="555"/>
      <c r="G31" s="476"/>
      <c r="H31" s="476"/>
      <c r="I31" s="476"/>
      <c r="J31" s="476"/>
      <c r="K31" s="477"/>
      <c r="L31" s="477"/>
      <c r="M31" s="477"/>
      <c r="N31" s="477"/>
      <c r="O31" s="477"/>
      <c r="P31" s="477"/>
      <c r="Q31" s="476"/>
      <c r="R31" s="478"/>
      <c r="S31" s="465"/>
      <c r="T31" s="463"/>
      <c r="U31" s="464"/>
      <c r="V31" s="464"/>
    </row>
    <row r="32" spans="1:45" s="102" customFormat="1" ht="12" customHeight="1">
      <c r="A32" s="117">
        <v>3</v>
      </c>
      <c r="B32" s="102" t="s">
        <v>252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6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  <c r="AS32" s="461"/>
    </row>
    <row r="33" spans="1:45" s="102" customFormat="1" ht="12" customHeight="1">
      <c r="A33" s="117">
        <v>6</v>
      </c>
      <c r="B33" s="102" t="s">
        <v>265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6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  <c r="AS33" s="461"/>
    </row>
    <row r="34" spans="1:45" s="102" customFormat="1" ht="12" customHeight="1">
      <c r="A34" s="117">
        <v>7</v>
      </c>
      <c r="B34" s="122" t="s">
        <v>254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6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  <c r="AS34" s="461"/>
    </row>
    <row r="35" spans="1:45" s="102" customFormat="1" ht="12" customHeight="1">
      <c r="A35" s="117">
        <v>11</v>
      </c>
      <c r="B35" s="102" t="s">
        <v>256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6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  <c r="AS35" s="461"/>
    </row>
    <row r="36" spans="1:45" s="102" customFormat="1" ht="12" customHeight="1">
      <c r="A36" s="117">
        <v>19</v>
      </c>
      <c r="B36" s="102" t="s">
        <v>260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6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  <c r="AS36" s="461"/>
    </row>
    <row r="37" spans="1:45" s="102" customFormat="1" ht="12" customHeight="1">
      <c r="A37" s="117">
        <v>20</v>
      </c>
      <c r="B37" s="102" t="s">
        <v>267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6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  <c r="AS37" s="461"/>
    </row>
    <row r="38" spans="1:45" s="102" customFormat="1" ht="12" customHeight="1">
      <c r="A38" s="117">
        <v>21</v>
      </c>
      <c r="B38" s="102" t="s">
        <v>261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6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  <c r="AS38" s="461"/>
    </row>
    <row r="39" spans="1:45" s="102" customFormat="1" ht="12" customHeight="1">
      <c r="A39" s="117">
        <v>25</v>
      </c>
      <c r="B39" s="122" t="s">
        <v>263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444</v>
      </c>
      <c r="S39" s="466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  <c r="AS39" s="461"/>
    </row>
    <row r="40" spans="1:45" s="102" customFormat="1" ht="12" customHeight="1">
      <c r="A40" s="118">
        <v>29</v>
      </c>
      <c r="B40" s="102" t="s">
        <v>295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6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  <c r="AS40" s="461"/>
    </row>
    <row r="41" spans="1:45" s="102" customFormat="1" ht="12" customHeight="1">
      <c r="A41" s="118">
        <v>30</v>
      </c>
      <c r="B41" s="102" t="s">
        <v>296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448</v>
      </c>
      <c r="S41" s="466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  <c r="AS41" s="461"/>
    </row>
    <row r="42" spans="1:45">
      <c r="A42" s="1">
        <v>200</v>
      </c>
      <c r="B42" s="62" t="s">
        <v>97</v>
      </c>
      <c r="C42" s="84"/>
      <c r="D42" s="554"/>
      <c r="E42" s="554" t="s">
        <v>447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2"/>
      <c r="T42" s="463"/>
      <c r="U42" s="464"/>
      <c r="V42" s="464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  <c r="AS42" s="460"/>
    </row>
    <row r="43" spans="1:45" s="460" customFormat="1" ht="17.25" customHeight="1">
      <c r="A43" s="473">
        <v>250</v>
      </c>
      <c r="B43" s="474" t="s">
        <v>22</v>
      </c>
      <c r="C43" s="479"/>
      <c r="D43" s="476"/>
      <c r="E43" s="476"/>
      <c r="F43" s="556"/>
      <c r="G43" s="476"/>
      <c r="H43" s="476"/>
      <c r="I43" s="476"/>
      <c r="J43" s="476"/>
      <c r="K43" s="477"/>
      <c r="L43" s="477"/>
      <c r="M43" s="477"/>
      <c r="N43" s="477"/>
      <c r="O43" s="477"/>
      <c r="P43" s="477"/>
      <c r="Q43" s="476"/>
      <c r="R43" s="478"/>
      <c r="S43" s="465"/>
      <c r="T43" s="463"/>
      <c r="U43" s="464"/>
      <c r="V43" s="464"/>
    </row>
    <row r="44" spans="1:45" s="102" customFormat="1" ht="12" customHeight="1">
      <c r="A44" s="118">
        <v>3</v>
      </c>
      <c r="B44" s="102" t="s">
        <v>252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148</v>
      </c>
      <c r="O44" s="189">
        <v>5100</v>
      </c>
      <c r="P44" s="189"/>
      <c r="Q44" s="193"/>
      <c r="R44" s="200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  <c r="AS44" s="461"/>
    </row>
    <row r="45" spans="1:45" s="102" customFormat="1" ht="12" customHeight="1">
      <c r="A45" s="118">
        <v>5</v>
      </c>
      <c r="B45" s="102" t="s">
        <v>253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  <c r="AS45" s="461"/>
    </row>
    <row r="46" spans="1:45" s="102" customFormat="1" ht="12" customHeight="1">
      <c r="A46" s="118">
        <v>6</v>
      </c>
      <c r="B46" s="102" t="s">
        <v>265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  <c r="AS46" s="461"/>
    </row>
    <row r="47" spans="1:45" s="102" customFormat="1" ht="12" customHeight="1">
      <c r="A47" s="118">
        <v>7</v>
      </c>
      <c r="B47" s="102" t="s">
        <v>254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149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  <c r="AS47" s="461"/>
    </row>
    <row r="48" spans="1:45" s="102" customFormat="1" ht="12" customHeight="1">
      <c r="A48" s="118">
        <v>9</v>
      </c>
      <c r="B48" s="102" t="s">
        <v>255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  <c r="AS48" s="461"/>
    </row>
    <row r="49" spans="1:45" s="102" customFormat="1" ht="12" customHeight="1">
      <c r="A49" s="118">
        <v>11</v>
      </c>
      <c r="B49" s="102" t="s">
        <v>256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  <c r="AS49" s="461"/>
    </row>
    <row r="50" spans="1:45" s="102" customFormat="1" ht="12" customHeight="1">
      <c r="A50" s="118">
        <v>13</v>
      </c>
      <c r="B50" s="102" t="s">
        <v>257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  <c r="AS50" s="461"/>
    </row>
    <row r="51" spans="1:45" s="102" customFormat="1" ht="12" customHeight="1">
      <c r="A51" s="118">
        <v>15</v>
      </c>
      <c r="B51" s="102" t="s">
        <v>258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  <c r="AS51" s="461"/>
    </row>
    <row r="52" spans="1:45" s="102" customFormat="1" ht="12" customHeight="1">
      <c r="A52" s="118">
        <v>17</v>
      </c>
      <c r="B52" s="102" t="s">
        <v>259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  <c r="AS52" s="461"/>
    </row>
    <row r="53" spans="1:45" s="102" customFormat="1" ht="12" customHeight="1">
      <c r="A53" s="118">
        <v>18</v>
      </c>
      <c r="B53" s="102" t="s">
        <v>266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  <c r="AS53" s="461"/>
    </row>
    <row r="54" spans="1:45" s="102" customFormat="1" ht="12" customHeight="1">
      <c r="A54" s="118">
        <v>19</v>
      </c>
      <c r="B54" s="102" t="s">
        <v>260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  <c r="AS54" s="461"/>
    </row>
    <row r="55" spans="1:45" s="102" customFormat="1" ht="12" customHeight="1">
      <c r="A55" s="118">
        <v>20</v>
      </c>
      <c r="B55" s="102" t="s">
        <v>267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  <c r="AS55" s="461"/>
    </row>
    <row r="56" spans="1:45" s="102" customFormat="1" ht="12" customHeight="1">
      <c r="A56" s="118">
        <v>21</v>
      </c>
      <c r="B56" s="102" t="s">
        <v>261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148</v>
      </c>
      <c r="O56" s="189">
        <v>7600</v>
      </c>
      <c r="P56" s="189"/>
      <c r="Q56" s="193"/>
      <c r="R56" s="200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  <c r="AS56" s="461"/>
    </row>
    <row r="57" spans="1:45" s="102" customFormat="1" ht="12" customHeight="1">
      <c r="A57" s="118">
        <v>22</v>
      </c>
      <c r="B57" s="102" t="s">
        <v>268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  <c r="AS57" s="461"/>
    </row>
    <row r="58" spans="1:45" s="102" customFormat="1" ht="12" customHeight="1">
      <c r="A58" s="118">
        <v>23</v>
      </c>
      <c r="B58" s="122" t="s">
        <v>297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  <c r="AS58" s="461"/>
    </row>
    <row r="59" spans="1:45" s="102" customFormat="1" ht="12" customHeight="1">
      <c r="A59" s="118">
        <v>24</v>
      </c>
      <c r="B59" s="102" t="s">
        <v>269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148</v>
      </c>
      <c r="O59" s="189">
        <v>4200</v>
      </c>
      <c r="P59" s="189"/>
      <c r="Q59" s="193"/>
      <c r="R59" s="200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  <c r="AS59" s="461"/>
    </row>
    <row r="60" spans="1:45" s="102" customFormat="1" ht="12" customHeight="1">
      <c r="A60" s="118">
        <v>25</v>
      </c>
      <c r="B60" s="102" t="s">
        <v>263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  <c r="AS60" s="461"/>
    </row>
    <row r="61" spans="1:45" s="102" customFormat="1" ht="12" customHeight="1">
      <c r="A61" s="118">
        <v>27</v>
      </c>
      <c r="B61" s="102" t="s">
        <v>264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149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  <c r="AS61" s="461"/>
    </row>
    <row r="62" spans="1:45" s="102" customFormat="1" ht="12" customHeight="1">
      <c r="A62" s="118">
        <v>29</v>
      </c>
      <c r="B62" s="102" t="s">
        <v>295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149</v>
      </c>
      <c r="L62" s="189">
        <v>55</v>
      </c>
      <c r="M62" s="189">
        <v>1600</v>
      </c>
      <c r="N62" s="189" t="s">
        <v>148</v>
      </c>
      <c r="O62" s="189">
        <v>2400</v>
      </c>
      <c r="P62" s="189"/>
      <c r="Q62" s="193">
        <v>1</v>
      </c>
      <c r="R62" s="200" t="s">
        <v>451</v>
      </c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  <c r="AS62" s="461"/>
    </row>
    <row r="63" spans="1:45" s="102" customFormat="1" ht="12" customHeight="1">
      <c r="A63" s="118">
        <v>30</v>
      </c>
      <c r="B63" s="102" t="s">
        <v>296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149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  <c r="AS63" s="461"/>
    </row>
    <row r="64" spans="1:45">
      <c r="A64" s="1">
        <v>200</v>
      </c>
      <c r="B64" s="62" t="s">
        <v>97</v>
      </c>
      <c r="C64" s="125"/>
      <c r="D64" s="554"/>
      <c r="E64" s="554" t="s">
        <v>401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2"/>
      <c r="T64" s="463"/>
      <c r="U64" s="464"/>
      <c r="V64" s="464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0"/>
    </row>
    <row r="65" spans="1:45" s="460" customFormat="1" ht="17.25" customHeight="1">
      <c r="A65" s="473">
        <v>250</v>
      </c>
      <c r="B65" s="474" t="s">
        <v>23</v>
      </c>
      <c r="C65" s="480"/>
      <c r="D65" s="476"/>
      <c r="E65" s="476"/>
      <c r="F65" s="556"/>
      <c r="G65" s="476"/>
      <c r="H65" s="476"/>
      <c r="I65" s="476"/>
      <c r="J65" s="476"/>
      <c r="K65" s="477"/>
      <c r="L65" s="477"/>
      <c r="M65" s="477"/>
      <c r="N65" s="477"/>
      <c r="O65" s="477"/>
      <c r="P65" s="477"/>
      <c r="Q65" s="476"/>
      <c r="R65" s="478"/>
      <c r="S65" s="465"/>
      <c r="T65" s="463"/>
      <c r="U65" s="464"/>
      <c r="V65" s="464"/>
    </row>
    <row r="66" spans="1:45" s="102" customFormat="1" ht="12" customHeight="1">
      <c r="A66" s="117">
        <v>3</v>
      </c>
      <c r="B66" s="102" t="s">
        <v>252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6"/>
      <c r="T66" s="461"/>
      <c r="U66" s="461"/>
      <c r="V66" s="461"/>
      <c r="W66" s="461"/>
      <c r="X66" s="461"/>
      <c r="Y66" s="461"/>
      <c r="Z66" s="461"/>
      <c r="AA66" s="461"/>
      <c r="AB66" s="461"/>
      <c r="AC66" s="461"/>
      <c r="AD66" s="461"/>
      <c r="AE66" s="461"/>
      <c r="AF66" s="461"/>
      <c r="AG66" s="461"/>
      <c r="AH66" s="461"/>
      <c r="AI66" s="461"/>
      <c r="AJ66" s="461"/>
      <c r="AK66" s="461"/>
      <c r="AL66" s="461"/>
      <c r="AM66" s="461"/>
      <c r="AN66" s="461"/>
      <c r="AO66" s="461"/>
      <c r="AP66" s="461"/>
      <c r="AQ66" s="461"/>
      <c r="AR66" s="461"/>
      <c r="AS66" s="461"/>
    </row>
    <row r="67" spans="1:45" s="102" customFormat="1" ht="12" customHeight="1">
      <c r="A67" s="117">
        <v>6</v>
      </c>
      <c r="B67" s="102" t="s">
        <v>265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6"/>
      <c r="T67" s="461"/>
      <c r="U67" s="461"/>
      <c r="V67" s="461"/>
      <c r="W67" s="461"/>
      <c r="X67" s="461"/>
      <c r="Y67" s="461"/>
      <c r="Z67" s="461"/>
      <c r="AA67" s="461"/>
      <c r="AB67" s="461"/>
      <c r="AC67" s="461"/>
      <c r="AD67" s="461"/>
      <c r="AE67" s="461"/>
      <c r="AF67" s="461"/>
      <c r="AG67" s="461"/>
      <c r="AH67" s="461"/>
      <c r="AI67" s="461"/>
      <c r="AJ67" s="461"/>
      <c r="AK67" s="461"/>
      <c r="AL67" s="461"/>
      <c r="AM67" s="461"/>
      <c r="AN67" s="461"/>
      <c r="AO67" s="461"/>
      <c r="AP67" s="461"/>
      <c r="AQ67" s="461"/>
      <c r="AR67" s="461"/>
      <c r="AS67" s="461"/>
    </row>
    <row r="68" spans="1:45" s="102" customFormat="1" ht="12" customHeight="1">
      <c r="A68" s="117">
        <v>7</v>
      </c>
      <c r="B68" s="122" t="s">
        <v>254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149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6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1"/>
      <c r="AL68" s="461"/>
      <c r="AM68" s="461"/>
      <c r="AN68" s="461"/>
      <c r="AO68" s="461"/>
      <c r="AP68" s="461"/>
      <c r="AQ68" s="461"/>
      <c r="AR68" s="461"/>
      <c r="AS68" s="461"/>
    </row>
    <row r="69" spans="1:45" s="102" customFormat="1" ht="12" customHeight="1">
      <c r="A69" s="117">
        <v>11</v>
      </c>
      <c r="B69" s="102" t="s">
        <v>256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149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6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  <c r="AS69" s="461"/>
    </row>
    <row r="70" spans="1:45" s="102" customFormat="1" ht="12" customHeight="1">
      <c r="A70" s="117">
        <v>19</v>
      </c>
      <c r="B70" s="102" t="s">
        <v>260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6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  <c r="AS70" s="461"/>
    </row>
    <row r="71" spans="1:45" s="102" customFormat="1" ht="12" customHeight="1">
      <c r="A71" s="117">
        <v>20</v>
      </c>
      <c r="B71" s="102" t="s">
        <v>267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6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  <c r="AS71" s="461"/>
    </row>
    <row r="72" spans="1:45" s="102" customFormat="1" ht="12" customHeight="1">
      <c r="A72" s="117">
        <v>21</v>
      </c>
      <c r="B72" s="102" t="s">
        <v>261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148</v>
      </c>
      <c r="O72" s="189">
        <v>4800</v>
      </c>
      <c r="P72" s="189"/>
      <c r="Q72" s="193"/>
      <c r="R72" s="202"/>
      <c r="S72" s="466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  <c r="AS72" s="461"/>
    </row>
    <row r="73" spans="1:45" s="102" customFormat="1" ht="12" customHeight="1">
      <c r="A73" s="117">
        <v>25</v>
      </c>
      <c r="B73" s="122" t="s">
        <v>263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6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  <c r="AS73" s="461"/>
    </row>
    <row r="74" spans="1:45" s="102" customFormat="1" ht="12" customHeight="1">
      <c r="A74" s="118">
        <v>29</v>
      </c>
      <c r="B74" s="102" t="s">
        <v>295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149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456</v>
      </c>
      <c r="S74" s="466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  <c r="AS74" s="461"/>
    </row>
    <row r="75" spans="1:45" s="102" customFormat="1" ht="12" customHeight="1">
      <c r="A75" s="118">
        <v>30</v>
      </c>
      <c r="B75" s="102" t="s">
        <v>296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149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6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  <c r="AS75" s="461"/>
    </row>
    <row r="76" spans="1:45">
      <c r="A76" s="1">
        <v>200</v>
      </c>
      <c r="B76" s="62" t="s">
        <v>97</v>
      </c>
      <c r="C76" s="84"/>
      <c r="D76" s="554"/>
      <c r="E76" s="554" t="s">
        <v>452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2"/>
      <c r="T76" s="463"/>
      <c r="U76" s="464"/>
      <c r="V76" s="464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  <c r="AS76" s="460"/>
    </row>
    <row r="77" spans="1:45" s="460" customFormat="1" ht="17.25" customHeight="1">
      <c r="A77" s="473">
        <v>250</v>
      </c>
      <c r="B77" s="474" t="s">
        <v>24</v>
      </c>
      <c r="C77" s="481"/>
      <c r="D77" s="476"/>
      <c r="E77" s="476"/>
      <c r="F77" s="556"/>
      <c r="G77" s="476"/>
      <c r="H77" s="476"/>
      <c r="I77" s="476"/>
      <c r="J77" s="476"/>
      <c r="K77" s="477"/>
      <c r="L77" s="477"/>
      <c r="M77" s="477"/>
      <c r="N77" s="477"/>
      <c r="O77" s="477"/>
      <c r="P77" s="477"/>
      <c r="Q77" s="476"/>
      <c r="R77" s="478"/>
      <c r="S77" s="465"/>
      <c r="T77" s="463"/>
      <c r="U77" s="464"/>
      <c r="V77" s="464"/>
    </row>
    <row r="78" spans="1:45" s="102" customFormat="1" ht="12" customHeight="1">
      <c r="A78" s="118">
        <v>3</v>
      </c>
      <c r="B78" s="102" t="s">
        <v>252</v>
      </c>
      <c r="C78" s="125">
        <v>46154</v>
      </c>
      <c r="D78" s="193">
        <v>11.6</v>
      </c>
      <c r="E78" s="193">
        <v>8.4</v>
      </c>
      <c r="F78" s="214">
        <f t="shared" ref="F78:F97" si="5">IF(E78&lt;&gt;"",ROUND((E78/((9.266*EXP(-0.04555*D78)+5.374))*100),0),"")</f>
        <v>78</v>
      </c>
      <c r="G78" s="193">
        <v>7.7</v>
      </c>
      <c r="H78" s="193">
        <v>4.0999999999999996</v>
      </c>
      <c r="I78" s="193">
        <v>48.8</v>
      </c>
      <c r="J78" s="193">
        <v>2.5</v>
      </c>
      <c r="K78" s="189">
        <v>21</v>
      </c>
      <c r="L78" s="189">
        <v>65</v>
      </c>
      <c r="M78" s="189">
        <v>770</v>
      </c>
      <c r="N78" s="189">
        <v>110</v>
      </c>
      <c r="O78" s="189">
        <v>1300</v>
      </c>
      <c r="P78" s="189"/>
      <c r="Q78" s="193"/>
      <c r="R78" s="200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  <c r="AS78" s="461"/>
    </row>
    <row r="79" spans="1:45" s="102" customFormat="1" ht="12" customHeight="1">
      <c r="A79" s="118">
        <v>5</v>
      </c>
      <c r="B79" s="102" t="s">
        <v>253</v>
      </c>
      <c r="C79" s="125">
        <v>46154</v>
      </c>
      <c r="D79" s="193">
        <v>12.1</v>
      </c>
      <c r="E79" s="193">
        <v>9.9</v>
      </c>
      <c r="F79" s="214">
        <f t="shared" si="5"/>
        <v>92</v>
      </c>
      <c r="G79" s="193">
        <v>7.8</v>
      </c>
      <c r="H79" s="193">
        <v>4</v>
      </c>
      <c r="I79" s="193">
        <v>52.5</v>
      </c>
      <c r="J79" s="193">
        <v>2.4</v>
      </c>
      <c r="K79" s="189">
        <v>8.6999999999999993</v>
      </c>
      <c r="L79" s="189">
        <v>54</v>
      </c>
      <c r="M79" s="189">
        <v>550</v>
      </c>
      <c r="N79" s="189">
        <v>71</v>
      </c>
      <c r="O79" s="189">
        <v>1200</v>
      </c>
      <c r="P79" s="189"/>
      <c r="Q79" s="193"/>
      <c r="R79" s="200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  <c r="AS79" s="461"/>
    </row>
    <row r="80" spans="1:45" s="102" customFormat="1" ht="12" customHeight="1">
      <c r="A80" s="118">
        <v>6</v>
      </c>
      <c r="B80" s="102" t="s">
        <v>265</v>
      </c>
      <c r="C80" s="125">
        <v>46154</v>
      </c>
      <c r="D80" s="193">
        <v>10.7</v>
      </c>
      <c r="E80" s="193">
        <v>8.4</v>
      </c>
      <c r="F80" s="214">
        <f t="shared" si="5"/>
        <v>76</v>
      </c>
      <c r="G80" s="193">
        <v>7.7</v>
      </c>
      <c r="H80" s="193">
        <v>4.4000000000000004</v>
      </c>
      <c r="I80" s="193">
        <v>47.4</v>
      </c>
      <c r="J80" s="193">
        <v>3</v>
      </c>
      <c r="K80" s="189">
        <v>23</v>
      </c>
      <c r="L80" s="189">
        <v>62</v>
      </c>
      <c r="M80" s="189">
        <v>920</v>
      </c>
      <c r="N80" s="189">
        <v>320</v>
      </c>
      <c r="O80" s="189">
        <v>1700</v>
      </c>
      <c r="P80" s="189"/>
      <c r="Q80" s="193"/>
      <c r="R80" s="200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  <c r="AS80" s="461"/>
    </row>
    <row r="81" spans="1:45" s="102" customFormat="1" ht="12" customHeight="1">
      <c r="A81" s="118">
        <v>7</v>
      </c>
      <c r="B81" s="102" t="s">
        <v>254</v>
      </c>
      <c r="C81" s="125">
        <v>46153</v>
      </c>
      <c r="D81" s="193">
        <v>12.3</v>
      </c>
      <c r="E81" s="193">
        <v>11.21</v>
      </c>
      <c r="F81" s="214">
        <f t="shared" si="5"/>
        <v>105</v>
      </c>
      <c r="G81" s="193">
        <v>8.1999999999999993</v>
      </c>
      <c r="H81" s="193">
        <v>1.9</v>
      </c>
      <c r="I81" s="193">
        <v>41.6</v>
      </c>
      <c r="J81" s="193">
        <v>2.4</v>
      </c>
      <c r="K81" s="189">
        <v>2.2999999999999998</v>
      </c>
      <c r="L81" s="189">
        <v>26</v>
      </c>
      <c r="M81" s="189">
        <v>1100</v>
      </c>
      <c r="N81" s="189">
        <v>37</v>
      </c>
      <c r="O81" s="189">
        <v>1700</v>
      </c>
      <c r="P81" s="189"/>
      <c r="Q81" s="193"/>
      <c r="R81" s="200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  <c r="AS81" s="461"/>
    </row>
    <row r="82" spans="1:45" s="102" customFormat="1" ht="12" customHeight="1">
      <c r="A82" s="118">
        <v>9</v>
      </c>
      <c r="B82" s="102" t="s">
        <v>255</v>
      </c>
      <c r="C82" s="125">
        <v>46153</v>
      </c>
      <c r="D82" s="193">
        <v>9.5</v>
      </c>
      <c r="E82" s="193">
        <v>8.9700000000000006</v>
      </c>
      <c r="F82" s="214">
        <f t="shared" si="5"/>
        <v>79</v>
      </c>
      <c r="G82" s="193">
        <v>7.7</v>
      </c>
      <c r="H82" s="193">
        <v>2.1</v>
      </c>
      <c r="I82" s="193">
        <v>53.3</v>
      </c>
      <c r="J82" s="193">
        <v>3</v>
      </c>
      <c r="K82" s="189">
        <v>33</v>
      </c>
      <c r="L82" s="189">
        <v>89</v>
      </c>
      <c r="M82" s="189">
        <v>1500</v>
      </c>
      <c r="N82" s="189">
        <v>56</v>
      </c>
      <c r="O82" s="189">
        <v>2000</v>
      </c>
      <c r="P82" s="189"/>
      <c r="Q82" s="193"/>
      <c r="R82" s="200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  <c r="AS82" s="461"/>
    </row>
    <row r="83" spans="1:45" s="102" customFormat="1" ht="12" customHeight="1">
      <c r="A83" s="118">
        <v>11</v>
      </c>
      <c r="B83" s="102" t="s">
        <v>256</v>
      </c>
      <c r="C83" s="125">
        <v>46153</v>
      </c>
      <c r="D83" s="193">
        <v>10.199999999999999</v>
      </c>
      <c r="E83" s="193">
        <v>10.47</v>
      </c>
      <c r="F83" s="214">
        <f t="shared" si="5"/>
        <v>94</v>
      </c>
      <c r="G83" s="193">
        <v>8</v>
      </c>
      <c r="H83" s="193">
        <v>2.6</v>
      </c>
      <c r="I83" s="193">
        <v>56.9</v>
      </c>
      <c r="J83" s="193">
        <v>1.9</v>
      </c>
      <c r="K83" s="189">
        <v>3.7</v>
      </c>
      <c r="L83" s="189">
        <v>24</v>
      </c>
      <c r="M83" s="189">
        <v>1600</v>
      </c>
      <c r="N83" s="189">
        <v>15</v>
      </c>
      <c r="O83" s="189">
        <v>1800</v>
      </c>
      <c r="P83" s="189"/>
      <c r="Q83" s="193"/>
      <c r="R83" s="200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  <c r="AS83" s="461"/>
    </row>
    <row r="84" spans="1:45" s="102" customFormat="1" ht="12" customHeight="1">
      <c r="A84" s="118">
        <v>13</v>
      </c>
      <c r="B84" s="102" t="s">
        <v>257</v>
      </c>
      <c r="C84" s="125">
        <v>46153</v>
      </c>
      <c r="D84" s="193">
        <v>9.3000000000000007</v>
      </c>
      <c r="E84" s="193">
        <v>11.02</v>
      </c>
      <c r="F84" s="214">
        <f t="shared" si="5"/>
        <v>96</v>
      </c>
      <c r="G84" s="193">
        <v>8</v>
      </c>
      <c r="H84" s="193">
        <v>1.7</v>
      </c>
      <c r="I84" s="193">
        <v>51.8</v>
      </c>
      <c r="J84" s="193">
        <v>3.6</v>
      </c>
      <c r="K84" s="189">
        <v>3.9</v>
      </c>
      <c r="L84" s="189">
        <v>40</v>
      </c>
      <c r="M84" s="189">
        <v>1900</v>
      </c>
      <c r="N84" s="189">
        <v>120</v>
      </c>
      <c r="O84" s="189">
        <v>2400</v>
      </c>
      <c r="P84" s="189"/>
      <c r="Q84" s="193"/>
      <c r="R84" s="200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  <c r="AS84" s="461"/>
    </row>
    <row r="85" spans="1:45" s="102" customFormat="1" ht="12" customHeight="1">
      <c r="A85" s="118">
        <v>15</v>
      </c>
      <c r="B85" s="102" t="s">
        <v>258</v>
      </c>
      <c r="C85" s="125">
        <v>46153</v>
      </c>
      <c r="D85" s="193">
        <v>9.4</v>
      </c>
      <c r="E85" s="193">
        <v>10.888999999999999</v>
      </c>
      <c r="F85" s="214">
        <f t="shared" si="5"/>
        <v>95</v>
      </c>
      <c r="G85" s="193">
        <v>8</v>
      </c>
      <c r="H85" s="193">
        <v>2</v>
      </c>
      <c r="I85" s="193">
        <v>62.2</v>
      </c>
      <c r="J85" s="193">
        <v>2.8</v>
      </c>
      <c r="K85" s="189">
        <v>4.2</v>
      </c>
      <c r="L85" s="189">
        <v>28</v>
      </c>
      <c r="M85" s="189">
        <v>2000</v>
      </c>
      <c r="N85" s="189">
        <v>44</v>
      </c>
      <c r="O85" s="189">
        <v>2300</v>
      </c>
      <c r="P85" s="189"/>
      <c r="Q85" s="193"/>
      <c r="R85" s="200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  <c r="AS85" s="461"/>
    </row>
    <row r="86" spans="1:45" s="102" customFormat="1" ht="12" customHeight="1">
      <c r="A86" s="118">
        <v>17</v>
      </c>
      <c r="B86" s="102" t="s">
        <v>259</v>
      </c>
      <c r="C86" s="125">
        <v>46153</v>
      </c>
      <c r="D86" s="193">
        <v>8.6999999999999993</v>
      </c>
      <c r="E86" s="193">
        <v>11.07</v>
      </c>
      <c r="F86" s="214">
        <f t="shared" si="5"/>
        <v>95</v>
      </c>
      <c r="G86" s="193">
        <v>7.9</v>
      </c>
      <c r="H86" s="193">
        <v>3.4</v>
      </c>
      <c r="I86" s="193">
        <v>44.7</v>
      </c>
      <c r="J86" s="193">
        <v>2.2999999999999998</v>
      </c>
      <c r="K86" s="189">
        <v>6.1</v>
      </c>
      <c r="L86" s="189">
        <v>30</v>
      </c>
      <c r="M86" s="189">
        <v>980</v>
      </c>
      <c r="N86" s="189">
        <v>61</v>
      </c>
      <c r="O86" s="189">
        <v>1300</v>
      </c>
      <c r="P86" s="189"/>
      <c r="Q86" s="193"/>
      <c r="R86" s="200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  <c r="AS86" s="461"/>
    </row>
    <row r="87" spans="1:45" s="102" customFormat="1" ht="12" customHeight="1">
      <c r="A87" s="118">
        <v>18</v>
      </c>
      <c r="B87" s="102" t="s">
        <v>266</v>
      </c>
      <c r="C87" s="125">
        <v>46153</v>
      </c>
      <c r="D87" s="193">
        <v>8.3000000000000007</v>
      </c>
      <c r="E87" s="193">
        <v>11.61</v>
      </c>
      <c r="F87" s="214">
        <f t="shared" si="5"/>
        <v>99</v>
      </c>
      <c r="G87" s="193">
        <v>8.1999999999999993</v>
      </c>
      <c r="H87" s="193">
        <v>0.81</v>
      </c>
      <c r="I87" s="193">
        <v>59.1</v>
      </c>
      <c r="J87" s="193">
        <v>2.2999999999999998</v>
      </c>
      <c r="K87" s="189" t="s">
        <v>149</v>
      </c>
      <c r="L87" s="189">
        <v>24</v>
      </c>
      <c r="M87" s="189">
        <v>1900</v>
      </c>
      <c r="N87" s="189" t="s">
        <v>148</v>
      </c>
      <c r="O87" s="189">
        <v>2300</v>
      </c>
      <c r="P87" s="189"/>
      <c r="Q87" s="193"/>
      <c r="R87" s="200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  <c r="AS87" s="461"/>
    </row>
    <row r="88" spans="1:45" s="102" customFormat="1" ht="12" customHeight="1">
      <c r="A88" s="118">
        <v>19</v>
      </c>
      <c r="B88" s="102" t="s">
        <v>260</v>
      </c>
      <c r="C88" s="125">
        <v>46154</v>
      </c>
      <c r="D88" s="193">
        <v>10.1</v>
      </c>
      <c r="E88" s="193">
        <v>8.4</v>
      </c>
      <c r="F88" s="214">
        <f t="shared" si="5"/>
        <v>75</v>
      </c>
      <c r="G88" s="193">
        <v>7.6</v>
      </c>
      <c r="H88" s="193">
        <v>4.5999999999999996</v>
      </c>
      <c r="I88" s="193">
        <v>70.400000000000006</v>
      </c>
      <c r="J88" s="193">
        <v>4.2</v>
      </c>
      <c r="K88" s="189">
        <v>41</v>
      </c>
      <c r="L88" s="189">
        <v>100</v>
      </c>
      <c r="M88" s="189">
        <v>1300</v>
      </c>
      <c r="N88" s="189">
        <v>310</v>
      </c>
      <c r="O88" s="189">
        <v>2200</v>
      </c>
      <c r="P88" s="189"/>
      <c r="Q88" s="193"/>
      <c r="R88" s="200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  <c r="AS88" s="461"/>
    </row>
    <row r="89" spans="1:45" s="102" customFormat="1" ht="12" customHeight="1">
      <c r="A89" s="118">
        <v>20</v>
      </c>
      <c r="B89" s="102" t="s">
        <v>267</v>
      </c>
      <c r="C89" s="125">
        <v>46154</v>
      </c>
      <c r="D89" s="193">
        <v>8.9</v>
      </c>
      <c r="E89" s="193">
        <v>10.7</v>
      </c>
      <c r="F89" s="214">
        <f>IF(E89&lt;&gt;"",ROUND((E89/((9.266*EXP(-0.04555*D89)+5.374))*100),0),"")</f>
        <v>93</v>
      </c>
      <c r="G89" s="193">
        <v>7.8</v>
      </c>
      <c r="H89" s="193">
        <v>3</v>
      </c>
      <c r="I89" s="193">
        <v>67.8</v>
      </c>
      <c r="J89" s="193">
        <v>3.9</v>
      </c>
      <c r="K89" s="189">
        <v>40</v>
      </c>
      <c r="L89" s="189">
        <v>88</v>
      </c>
      <c r="M89" s="189">
        <v>1700</v>
      </c>
      <c r="N89" s="189">
        <v>430</v>
      </c>
      <c r="O89" s="189">
        <v>2400</v>
      </c>
      <c r="P89" s="189"/>
      <c r="Q89" s="193"/>
      <c r="R89" s="200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  <c r="AS89" s="461"/>
    </row>
    <row r="90" spans="1:45" s="102" customFormat="1" ht="12" customHeight="1">
      <c r="A90" s="118">
        <v>21</v>
      </c>
      <c r="B90" s="102" t="s">
        <v>261</v>
      </c>
      <c r="C90" s="125">
        <v>46154</v>
      </c>
      <c r="D90" s="193">
        <v>8.9</v>
      </c>
      <c r="E90" s="193">
        <v>10.4</v>
      </c>
      <c r="F90" s="214">
        <f t="shared" si="5"/>
        <v>90</v>
      </c>
      <c r="G90" s="193">
        <v>7.9</v>
      </c>
      <c r="H90" s="193">
        <v>2.9</v>
      </c>
      <c r="I90" s="193">
        <v>54.7</v>
      </c>
      <c r="J90" s="193">
        <v>2.6</v>
      </c>
      <c r="K90" s="189">
        <v>37</v>
      </c>
      <c r="L90" s="189">
        <v>76</v>
      </c>
      <c r="M90" s="189">
        <v>1600</v>
      </c>
      <c r="N90" s="189">
        <v>46</v>
      </c>
      <c r="O90" s="189">
        <v>2100</v>
      </c>
      <c r="P90" s="189"/>
      <c r="Q90" s="193"/>
      <c r="R90" s="200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  <c r="AS90" s="461"/>
    </row>
    <row r="91" spans="1:45" s="102" customFormat="1" ht="12" customHeight="1">
      <c r="A91" s="118">
        <v>22</v>
      </c>
      <c r="B91" s="102" t="s">
        <v>268</v>
      </c>
      <c r="C91" s="125">
        <v>46153</v>
      </c>
      <c r="D91" s="193">
        <v>9.1</v>
      </c>
      <c r="E91" s="193">
        <v>9.5</v>
      </c>
      <c r="F91" s="214">
        <f t="shared" si="5"/>
        <v>83</v>
      </c>
      <c r="G91" s="193">
        <v>7.9</v>
      </c>
      <c r="H91" s="193">
        <v>2.2000000000000002</v>
      </c>
      <c r="I91" s="193">
        <v>45.2</v>
      </c>
      <c r="J91" s="193">
        <v>2.1</v>
      </c>
      <c r="K91" s="189">
        <v>30</v>
      </c>
      <c r="L91" s="189">
        <v>61</v>
      </c>
      <c r="M91" s="189">
        <v>1100</v>
      </c>
      <c r="N91" s="189">
        <v>32</v>
      </c>
      <c r="O91" s="189">
        <v>1600</v>
      </c>
      <c r="P91" s="189"/>
      <c r="Q91" s="193"/>
      <c r="R91" s="200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  <c r="AS91" s="461"/>
    </row>
    <row r="92" spans="1:45" s="102" customFormat="1" ht="12" customHeight="1">
      <c r="A92" s="118">
        <v>23</v>
      </c>
      <c r="B92" s="122" t="s">
        <v>297</v>
      </c>
      <c r="C92" s="125">
        <v>46154</v>
      </c>
      <c r="D92" s="193">
        <v>8.6999999999999993</v>
      </c>
      <c r="E92" s="193">
        <v>9.6999999999999993</v>
      </c>
      <c r="F92" s="214">
        <f t="shared" si="5"/>
        <v>84</v>
      </c>
      <c r="G92" s="193">
        <v>7.7</v>
      </c>
      <c r="H92" s="193">
        <v>5.2</v>
      </c>
      <c r="I92" s="193">
        <v>63.5</v>
      </c>
      <c r="J92" s="193">
        <v>2.6</v>
      </c>
      <c r="K92" s="189">
        <v>25</v>
      </c>
      <c r="L92" s="189">
        <v>59</v>
      </c>
      <c r="M92" s="189">
        <v>1900</v>
      </c>
      <c r="N92" s="189">
        <v>74</v>
      </c>
      <c r="O92" s="189">
        <v>2300</v>
      </c>
      <c r="P92" s="189"/>
      <c r="Q92" s="193"/>
      <c r="R92" s="200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  <c r="AS92" s="461"/>
    </row>
    <row r="93" spans="1:45" s="102" customFormat="1" ht="12" customHeight="1">
      <c r="A93" s="118">
        <v>24</v>
      </c>
      <c r="B93" s="102" t="s">
        <v>269</v>
      </c>
      <c r="C93" s="125">
        <v>46154</v>
      </c>
      <c r="D93" s="193">
        <v>9</v>
      </c>
      <c r="E93" s="193">
        <v>10.4</v>
      </c>
      <c r="F93" s="214">
        <f t="shared" si="5"/>
        <v>90</v>
      </c>
      <c r="G93" s="193">
        <v>7.8</v>
      </c>
      <c r="H93" s="193">
        <v>5.5</v>
      </c>
      <c r="I93" s="193">
        <v>64.599999999999994</v>
      </c>
      <c r="J93" s="193">
        <v>2.6</v>
      </c>
      <c r="K93" s="189">
        <v>25</v>
      </c>
      <c r="L93" s="189">
        <v>62</v>
      </c>
      <c r="M93" s="189">
        <v>1900</v>
      </c>
      <c r="N93" s="189">
        <v>44</v>
      </c>
      <c r="O93" s="189">
        <v>2300</v>
      </c>
      <c r="P93" s="189"/>
      <c r="Q93" s="193"/>
      <c r="R93" s="200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  <c r="AS93" s="461"/>
    </row>
    <row r="94" spans="1:45" s="102" customFormat="1" ht="12" customHeight="1">
      <c r="A94" s="118">
        <v>25</v>
      </c>
      <c r="B94" s="102" t="s">
        <v>263</v>
      </c>
      <c r="C94" s="125">
        <v>46153</v>
      </c>
      <c r="D94" s="193">
        <v>10.1</v>
      </c>
      <c r="E94" s="193">
        <v>8.92</v>
      </c>
      <c r="F94" s="214">
        <f t="shared" si="5"/>
        <v>79</v>
      </c>
      <c r="G94" s="193">
        <v>7.8</v>
      </c>
      <c r="H94" s="193">
        <v>4.0999999999999996</v>
      </c>
      <c r="I94" s="193">
        <v>42.4</v>
      </c>
      <c r="J94" s="193">
        <v>2</v>
      </c>
      <c r="K94" s="189">
        <v>9.8000000000000007</v>
      </c>
      <c r="L94" s="189">
        <v>58</v>
      </c>
      <c r="M94" s="189">
        <v>320</v>
      </c>
      <c r="N94" s="189">
        <v>24</v>
      </c>
      <c r="O94" s="189">
        <v>930</v>
      </c>
      <c r="P94" s="189"/>
      <c r="Q94" s="193"/>
      <c r="R94" s="200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  <c r="AS94" s="461"/>
    </row>
    <row r="95" spans="1:45" s="102" customFormat="1" ht="12" customHeight="1">
      <c r="A95" s="118">
        <v>27</v>
      </c>
      <c r="B95" s="102" t="s">
        <v>264</v>
      </c>
      <c r="C95" s="125">
        <v>46153</v>
      </c>
      <c r="D95" s="193">
        <v>13.6</v>
      </c>
      <c r="E95" s="193">
        <v>9.83</v>
      </c>
      <c r="F95" s="214">
        <f t="shared" si="5"/>
        <v>95</v>
      </c>
      <c r="G95" s="193">
        <v>8.1999999999999993</v>
      </c>
      <c r="H95" s="193">
        <v>6.9</v>
      </c>
      <c r="I95" s="193">
        <v>35.700000000000003</v>
      </c>
      <c r="J95" s="193">
        <v>3.1</v>
      </c>
      <c r="K95" s="189" t="s">
        <v>149</v>
      </c>
      <c r="L95" s="189">
        <v>58</v>
      </c>
      <c r="M95" s="189">
        <v>410</v>
      </c>
      <c r="N95" s="189">
        <v>51</v>
      </c>
      <c r="O95" s="189">
        <v>1400</v>
      </c>
      <c r="P95" s="189"/>
      <c r="Q95" s="193"/>
      <c r="R95" s="200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  <c r="AS95" s="461"/>
    </row>
    <row r="96" spans="1:45" s="102" customFormat="1" ht="12" customHeight="1">
      <c r="A96" s="118">
        <v>29</v>
      </c>
      <c r="B96" s="102" t="s">
        <v>295</v>
      </c>
      <c r="C96" s="125">
        <v>46153</v>
      </c>
      <c r="D96" s="193">
        <v>13</v>
      </c>
      <c r="E96" s="193">
        <v>10.1</v>
      </c>
      <c r="F96" s="214">
        <f>IF(E96&lt;&gt;"",ROUND((E96/((9.266*EXP(-0.04555*D96)+5.374))*100),0),"")</f>
        <v>96</v>
      </c>
      <c r="G96" s="193">
        <v>8.1</v>
      </c>
      <c r="H96" s="193">
        <v>3.5</v>
      </c>
      <c r="I96" s="193">
        <v>43.3</v>
      </c>
      <c r="J96" s="193"/>
      <c r="K96" s="189" t="s">
        <v>149</v>
      </c>
      <c r="L96" s="189">
        <v>25</v>
      </c>
      <c r="M96" s="189">
        <v>1300</v>
      </c>
      <c r="N96" s="189">
        <v>68</v>
      </c>
      <c r="O96" s="189">
        <v>1800</v>
      </c>
      <c r="P96" s="189">
        <v>6.3</v>
      </c>
      <c r="Q96" s="193">
        <v>3</v>
      </c>
      <c r="R96" s="200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  <c r="AS96" s="461"/>
    </row>
    <row r="97" spans="1:45" s="102" customFormat="1" ht="12" customHeight="1">
      <c r="A97" s="118">
        <v>30</v>
      </c>
      <c r="B97" s="102" t="s">
        <v>296</v>
      </c>
      <c r="C97" s="125">
        <v>46153</v>
      </c>
      <c r="D97" s="193">
        <v>11.7</v>
      </c>
      <c r="E97" s="193">
        <v>5.04</v>
      </c>
      <c r="F97" s="214">
        <f t="shared" si="5"/>
        <v>47</v>
      </c>
      <c r="G97" s="193"/>
      <c r="H97" s="193"/>
      <c r="I97" s="193"/>
      <c r="J97" s="193"/>
      <c r="K97" s="189">
        <v>5.6</v>
      </c>
      <c r="L97" s="189">
        <v>43</v>
      </c>
      <c r="M97" s="189">
        <v>990</v>
      </c>
      <c r="N97" s="189">
        <v>230</v>
      </c>
      <c r="O97" s="189">
        <v>1500</v>
      </c>
      <c r="P97" s="189"/>
      <c r="Q97" s="193"/>
      <c r="R97" s="200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  <c r="AS97" s="461"/>
    </row>
    <row r="98" spans="1:45">
      <c r="A98" s="1">
        <v>200</v>
      </c>
      <c r="B98" s="62" t="s">
        <v>97</v>
      </c>
      <c r="C98" s="125"/>
      <c r="D98" s="554"/>
      <c r="E98" s="554" t="s">
        <v>401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2"/>
      <c r="T98" s="463"/>
      <c r="U98" s="464"/>
      <c r="V98" s="464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  <c r="AS98" s="460"/>
    </row>
    <row r="99" spans="1:45" s="460" customFormat="1" ht="17.25" customHeight="1">
      <c r="A99" s="473">
        <v>250</v>
      </c>
      <c r="B99" s="474" t="s">
        <v>25</v>
      </c>
      <c r="C99" s="480"/>
      <c r="D99" s="476"/>
      <c r="E99" s="476"/>
      <c r="F99" s="556"/>
      <c r="G99" s="476"/>
      <c r="H99" s="476"/>
      <c r="I99" s="476"/>
      <c r="J99" s="476"/>
      <c r="K99" s="477"/>
      <c r="L99" s="477"/>
      <c r="M99" s="477"/>
      <c r="N99" s="477"/>
      <c r="O99" s="477"/>
      <c r="P99" s="477"/>
      <c r="Q99" s="476"/>
      <c r="R99" s="478"/>
      <c r="S99" s="465"/>
      <c r="T99" s="463"/>
      <c r="U99" s="464"/>
      <c r="V99" s="464"/>
    </row>
    <row r="100" spans="1:45" s="102" customFormat="1" ht="12" customHeight="1">
      <c r="A100" s="117">
        <v>3</v>
      </c>
      <c r="B100" s="102" t="s">
        <v>252</v>
      </c>
      <c r="C100" s="125">
        <v>46183</v>
      </c>
      <c r="D100" s="193">
        <v>18.5</v>
      </c>
      <c r="E100" s="193">
        <v>7.38</v>
      </c>
      <c r="F100" s="214">
        <f t="shared" ref="F100:F107" si="6">IF(E100&lt;&gt;"",ROUND((E100/((9.266*EXP(-0.04555*D100)+5.374))*100),0),"")</f>
        <v>79</v>
      </c>
      <c r="G100" s="193">
        <v>7.8</v>
      </c>
      <c r="H100" s="193">
        <v>1.4</v>
      </c>
      <c r="I100" s="193">
        <v>55</v>
      </c>
      <c r="J100" s="193">
        <v>1</v>
      </c>
      <c r="K100" s="189">
        <v>48</v>
      </c>
      <c r="L100" s="189">
        <v>84</v>
      </c>
      <c r="M100" s="189">
        <v>810</v>
      </c>
      <c r="N100" s="189">
        <v>64</v>
      </c>
      <c r="O100" s="189">
        <v>1400</v>
      </c>
      <c r="P100" s="189"/>
      <c r="Q100" s="193"/>
      <c r="R100" s="202"/>
      <c r="S100" s="466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  <c r="AS100" s="461"/>
    </row>
    <row r="101" spans="1:45" s="102" customFormat="1" ht="12" customHeight="1">
      <c r="A101" s="117">
        <v>6</v>
      </c>
      <c r="B101" s="102" t="s">
        <v>265</v>
      </c>
      <c r="C101" s="125">
        <v>46183</v>
      </c>
      <c r="D101" s="193">
        <v>16.7</v>
      </c>
      <c r="E101" s="193">
        <v>8.0299999999999994</v>
      </c>
      <c r="F101" s="214">
        <f t="shared" si="6"/>
        <v>83</v>
      </c>
      <c r="G101" s="193">
        <v>7.7</v>
      </c>
      <c r="H101" s="193">
        <v>2.1</v>
      </c>
      <c r="I101" s="193">
        <v>46.9</v>
      </c>
      <c r="J101" s="193">
        <v>2</v>
      </c>
      <c r="K101" s="189">
        <v>17</v>
      </c>
      <c r="L101" s="189">
        <v>53</v>
      </c>
      <c r="M101" s="189">
        <v>650</v>
      </c>
      <c r="N101" s="189">
        <v>200</v>
      </c>
      <c r="O101" s="189">
        <v>1400</v>
      </c>
      <c r="P101" s="189"/>
      <c r="Q101" s="193"/>
      <c r="R101" s="202"/>
      <c r="S101" s="466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  <c r="AS101" s="461"/>
    </row>
    <row r="102" spans="1:45" s="102" customFormat="1" ht="12" customHeight="1">
      <c r="A102" s="117">
        <v>7</v>
      </c>
      <c r="B102" s="122" t="s">
        <v>254</v>
      </c>
      <c r="C102" s="125">
        <v>46183</v>
      </c>
      <c r="D102" s="193">
        <v>16.600000000000001</v>
      </c>
      <c r="E102" s="193">
        <v>10.68</v>
      </c>
      <c r="F102" s="214">
        <f t="shared" si="6"/>
        <v>110</v>
      </c>
      <c r="G102" s="193">
        <v>8.4</v>
      </c>
      <c r="H102" s="193">
        <v>2</v>
      </c>
      <c r="I102" s="193">
        <v>40.1</v>
      </c>
      <c r="J102" s="193">
        <v>1.6</v>
      </c>
      <c r="K102" s="189" t="s">
        <v>149</v>
      </c>
      <c r="L102" s="189">
        <v>22</v>
      </c>
      <c r="M102" s="189">
        <v>820</v>
      </c>
      <c r="N102" s="189">
        <v>32</v>
      </c>
      <c r="O102" s="189">
        <v>1300</v>
      </c>
      <c r="P102" s="189"/>
      <c r="Q102" s="193"/>
      <c r="R102" s="202"/>
      <c r="S102" s="466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  <c r="AS102" s="461"/>
    </row>
    <row r="103" spans="1:45" s="102" customFormat="1" ht="12" customHeight="1">
      <c r="A103" s="117">
        <v>11</v>
      </c>
      <c r="B103" s="102" t="s">
        <v>256</v>
      </c>
      <c r="C103" s="125">
        <v>46183</v>
      </c>
      <c r="D103" s="193">
        <v>14.9</v>
      </c>
      <c r="E103" s="193">
        <v>8.81</v>
      </c>
      <c r="F103" s="214">
        <f t="shared" si="6"/>
        <v>87</v>
      </c>
      <c r="G103" s="193">
        <v>7.9</v>
      </c>
      <c r="H103" s="193">
        <v>3</v>
      </c>
      <c r="I103" s="193">
        <v>54.5</v>
      </c>
      <c r="J103" s="193">
        <v>2.4</v>
      </c>
      <c r="K103" s="189">
        <v>38</v>
      </c>
      <c r="L103" s="189">
        <v>74</v>
      </c>
      <c r="M103" s="189">
        <v>1400</v>
      </c>
      <c r="N103" s="189">
        <v>43</v>
      </c>
      <c r="O103" s="189">
        <v>2100</v>
      </c>
      <c r="P103" s="189"/>
      <c r="Q103" s="193"/>
      <c r="R103" s="202"/>
      <c r="S103" s="466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  <c r="AS103" s="461"/>
    </row>
    <row r="104" spans="1:45" s="102" customFormat="1" ht="12" customHeight="1">
      <c r="A104" s="117">
        <v>19</v>
      </c>
      <c r="B104" s="102" t="s">
        <v>260</v>
      </c>
      <c r="C104" s="125">
        <v>46183</v>
      </c>
      <c r="D104" s="193">
        <v>15.5</v>
      </c>
      <c r="E104" s="193">
        <v>7.08</v>
      </c>
      <c r="F104" s="214">
        <f t="shared" si="6"/>
        <v>71</v>
      </c>
      <c r="G104" s="193">
        <v>7.8</v>
      </c>
      <c r="H104" s="193">
        <v>1.6</v>
      </c>
      <c r="I104" s="193">
        <v>65.900000000000006</v>
      </c>
      <c r="J104" s="193">
        <v>1.6</v>
      </c>
      <c r="K104" s="189">
        <v>120</v>
      </c>
      <c r="L104" s="189">
        <v>170</v>
      </c>
      <c r="M104" s="189">
        <v>1200</v>
      </c>
      <c r="N104" s="189">
        <v>55</v>
      </c>
      <c r="O104" s="189">
        <v>2000</v>
      </c>
      <c r="P104" s="189"/>
      <c r="Q104" s="193"/>
      <c r="R104" s="202"/>
      <c r="S104" s="466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  <c r="AS104" s="461"/>
    </row>
    <row r="105" spans="1:45" s="102" customFormat="1" ht="12" customHeight="1">
      <c r="A105" s="117">
        <v>20</v>
      </c>
      <c r="B105" s="102" t="s">
        <v>267</v>
      </c>
      <c r="C105" s="125">
        <v>46183</v>
      </c>
      <c r="D105" s="193">
        <v>15.5</v>
      </c>
      <c r="E105" s="193">
        <v>8.84</v>
      </c>
      <c r="F105" s="214">
        <f>IF(E105&lt;&gt;"",ROUND((E105/((9.266*EXP(-0.04555*D105)+5.374))*100),0),"")</f>
        <v>89</v>
      </c>
      <c r="G105" s="193">
        <v>7.9</v>
      </c>
      <c r="H105" s="193">
        <v>1.8</v>
      </c>
      <c r="I105" s="193">
        <v>62.6</v>
      </c>
      <c r="J105" s="193">
        <v>2</v>
      </c>
      <c r="K105" s="189">
        <v>91</v>
      </c>
      <c r="L105" s="189">
        <v>150</v>
      </c>
      <c r="M105" s="189">
        <v>1200</v>
      </c>
      <c r="N105" s="189">
        <v>460</v>
      </c>
      <c r="O105" s="189">
        <v>2200</v>
      </c>
      <c r="P105" s="189"/>
      <c r="Q105" s="193"/>
      <c r="R105" s="202"/>
      <c r="S105" s="466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  <c r="AS105" s="461"/>
    </row>
    <row r="106" spans="1:45" s="102" customFormat="1" ht="12" customHeight="1">
      <c r="A106" s="117">
        <v>21</v>
      </c>
      <c r="B106" s="102" t="s">
        <v>261</v>
      </c>
      <c r="C106" s="125">
        <v>46183</v>
      </c>
      <c r="D106" s="193">
        <v>14.6</v>
      </c>
      <c r="E106" s="193">
        <v>9.49</v>
      </c>
      <c r="F106" s="214">
        <f t="shared" si="6"/>
        <v>94</v>
      </c>
      <c r="G106" s="193">
        <v>8</v>
      </c>
      <c r="H106" s="193">
        <v>1.4</v>
      </c>
      <c r="I106" s="193">
        <v>55</v>
      </c>
      <c r="J106" s="193">
        <v>1.4</v>
      </c>
      <c r="K106" s="189">
        <v>130</v>
      </c>
      <c r="L106" s="189">
        <v>160</v>
      </c>
      <c r="M106" s="189">
        <v>520</v>
      </c>
      <c r="N106" s="189">
        <v>37</v>
      </c>
      <c r="O106" s="189">
        <v>1000</v>
      </c>
      <c r="P106" s="189"/>
      <c r="Q106" s="193"/>
      <c r="R106" s="202"/>
      <c r="S106" s="466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  <c r="AS106" s="461"/>
    </row>
    <row r="107" spans="1:45" s="102" customFormat="1" ht="12" customHeight="1">
      <c r="A107" s="117">
        <v>25</v>
      </c>
      <c r="B107" s="122" t="s">
        <v>263</v>
      </c>
      <c r="C107" s="125">
        <v>46183</v>
      </c>
      <c r="D107" s="193">
        <v>14.6</v>
      </c>
      <c r="E107" s="193">
        <v>8.26</v>
      </c>
      <c r="F107" s="214">
        <f t="shared" si="6"/>
        <v>81</v>
      </c>
      <c r="G107" s="193">
        <v>7.9</v>
      </c>
      <c r="H107" s="193">
        <v>11</v>
      </c>
      <c r="I107" s="193">
        <v>42.7</v>
      </c>
      <c r="J107" s="193">
        <v>1.8</v>
      </c>
      <c r="K107" s="189">
        <v>34</v>
      </c>
      <c r="L107" s="189">
        <v>96</v>
      </c>
      <c r="M107" s="189">
        <v>83</v>
      </c>
      <c r="N107" s="189">
        <v>45</v>
      </c>
      <c r="O107" s="189">
        <v>940</v>
      </c>
      <c r="P107" s="189"/>
      <c r="Q107" s="193"/>
      <c r="R107" s="202"/>
      <c r="S107" s="466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  <c r="AS107" s="461"/>
    </row>
    <row r="108" spans="1:45" s="102" customFormat="1" ht="12" customHeight="1">
      <c r="A108" s="118">
        <v>29</v>
      </c>
      <c r="B108" s="102" t="s">
        <v>295</v>
      </c>
      <c r="C108" s="125">
        <v>46183</v>
      </c>
      <c r="D108" s="193">
        <v>17.600000000000001</v>
      </c>
      <c r="E108" s="193">
        <v>10.199999999999999</v>
      </c>
      <c r="F108" s="214">
        <f>IF(E108&lt;&gt;"",ROUND((E108/((9.266*EXP(-0.04555*D108)+5.374))*100),0),"")</f>
        <v>107</v>
      </c>
      <c r="G108" s="193">
        <v>8.4</v>
      </c>
      <c r="H108" s="193">
        <v>1.6</v>
      </c>
      <c r="I108" s="193">
        <v>41.8</v>
      </c>
      <c r="J108" s="193"/>
      <c r="K108" s="189" t="s">
        <v>149</v>
      </c>
      <c r="L108" s="189">
        <v>23</v>
      </c>
      <c r="M108" s="189">
        <v>1000</v>
      </c>
      <c r="N108" s="189">
        <v>51</v>
      </c>
      <c r="O108" s="189">
        <v>1500</v>
      </c>
      <c r="P108" s="189">
        <v>9.6999999999999993</v>
      </c>
      <c r="Q108" s="193">
        <v>3.2</v>
      </c>
      <c r="R108" s="202"/>
      <c r="S108" s="466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  <c r="AS108" s="461"/>
    </row>
    <row r="109" spans="1:45" s="102" customFormat="1" ht="12" customHeight="1">
      <c r="A109" s="118">
        <v>30</v>
      </c>
      <c r="B109" s="102" t="s">
        <v>296</v>
      </c>
      <c r="C109" s="125">
        <v>46183</v>
      </c>
      <c r="D109" s="193">
        <v>16.5</v>
      </c>
      <c r="E109" s="193">
        <v>4.7</v>
      </c>
      <c r="F109" s="214">
        <f>IF(E109&lt;&gt;"",ROUND((E109/((9.266*EXP(-0.04555*D109)+5.374))*100),0),"")</f>
        <v>48</v>
      </c>
      <c r="G109" s="193"/>
      <c r="H109" s="193"/>
      <c r="I109" s="193"/>
      <c r="J109" s="193"/>
      <c r="K109" s="189">
        <v>24</v>
      </c>
      <c r="L109" s="189">
        <v>84</v>
      </c>
      <c r="M109" s="189">
        <v>700</v>
      </c>
      <c r="N109" s="189">
        <v>360</v>
      </c>
      <c r="O109" s="189">
        <v>1800</v>
      </c>
      <c r="P109" s="189"/>
      <c r="Q109" s="193"/>
      <c r="R109" s="202"/>
      <c r="S109" s="466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  <c r="AS109" s="461"/>
    </row>
    <row r="110" spans="1:45">
      <c r="A110" s="1">
        <v>200</v>
      </c>
      <c r="B110" s="62" t="s">
        <v>97</v>
      </c>
      <c r="C110" s="84"/>
      <c r="D110" s="554"/>
      <c r="E110" s="554" t="s">
        <v>452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2"/>
      <c r="T110" s="463"/>
      <c r="U110" s="464"/>
      <c r="V110" s="464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  <c r="AS110" s="460"/>
    </row>
    <row r="111" spans="1:45" s="460" customFormat="1" ht="17.25" customHeight="1">
      <c r="A111" s="473">
        <v>250</v>
      </c>
      <c r="B111" s="474" t="s">
        <v>26</v>
      </c>
      <c r="C111" s="480"/>
      <c r="D111" s="476"/>
      <c r="E111" s="476"/>
      <c r="F111" s="556"/>
      <c r="G111" s="476"/>
      <c r="H111" s="476"/>
      <c r="I111" s="476"/>
      <c r="J111" s="476"/>
      <c r="K111" s="477"/>
      <c r="L111" s="477"/>
      <c r="M111" s="477"/>
      <c r="N111" s="477"/>
      <c r="O111" s="477"/>
      <c r="P111" s="477"/>
      <c r="Q111" s="476"/>
      <c r="R111" s="478"/>
      <c r="S111" s="465"/>
      <c r="T111" s="463"/>
      <c r="U111" s="464"/>
      <c r="V111" s="464"/>
    </row>
    <row r="112" spans="1:45" s="102" customFormat="1" ht="12" customHeight="1">
      <c r="A112" s="118">
        <v>3</v>
      </c>
      <c r="B112" s="102" t="s">
        <v>252</v>
      </c>
      <c r="C112" s="125"/>
      <c r="D112" s="193"/>
      <c r="E112" s="193"/>
      <c r="F112" s="214" t="str">
        <f t="shared" ref="F112:F131" si="7">IF(E112&lt;&gt;"",ROUND((E112/((9.266*EXP(-0.04555*D112)+5.374))*100),0),"")</f>
        <v/>
      </c>
      <c r="G112" s="193"/>
      <c r="H112" s="193"/>
      <c r="I112" s="193"/>
      <c r="J112" s="193"/>
      <c r="K112" s="189"/>
      <c r="L112" s="189"/>
      <c r="M112" s="189"/>
      <c r="N112" s="189"/>
      <c r="O112" s="189"/>
      <c r="P112" s="189"/>
      <c r="Q112" s="193"/>
      <c r="R112" s="200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  <c r="AS112" s="461"/>
    </row>
    <row r="113" spans="1:45" s="102" customFormat="1" ht="12" customHeight="1">
      <c r="A113" s="118">
        <v>5</v>
      </c>
      <c r="B113" s="102" t="s">
        <v>253</v>
      </c>
      <c r="C113" s="125"/>
      <c r="D113" s="193"/>
      <c r="E113" s="193"/>
      <c r="F113" s="214" t="str">
        <f t="shared" si="7"/>
        <v/>
      </c>
      <c r="G113" s="193"/>
      <c r="H113" s="193"/>
      <c r="I113" s="193"/>
      <c r="J113" s="193"/>
      <c r="K113" s="189"/>
      <c r="L113" s="189"/>
      <c r="M113" s="189"/>
      <c r="N113" s="189"/>
      <c r="O113" s="189"/>
      <c r="P113" s="189"/>
      <c r="Q113" s="193"/>
      <c r="R113" s="200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  <c r="AS113" s="461"/>
    </row>
    <row r="114" spans="1:45" s="102" customFormat="1" ht="12" customHeight="1">
      <c r="A114" s="118">
        <v>6</v>
      </c>
      <c r="B114" s="102" t="s">
        <v>265</v>
      </c>
      <c r="C114" s="125"/>
      <c r="D114" s="193"/>
      <c r="E114" s="193"/>
      <c r="F114" s="214" t="str">
        <f t="shared" si="7"/>
        <v/>
      </c>
      <c r="G114" s="193"/>
      <c r="H114" s="193"/>
      <c r="I114" s="193"/>
      <c r="J114" s="193"/>
      <c r="K114" s="189"/>
      <c r="L114" s="189"/>
      <c r="M114" s="189"/>
      <c r="N114" s="189"/>
      <c r="O114" s="189"/>
      <c r="P114" s="189"/>
      <c r="Q114" s="193"/>
      <c r="R114" s="200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  <c r="AS114" s="461"/>
    </row>
    <row r="115" spans="1:45" s="102" customFormat="1" ht="12" customHeight="1">
      <c r="A115" s="118">
        <v>7</v>
      </c>
      <c r="B115" s="102" t="s">
        <v>254</v>
      </c>
      <c r="C115" s="125"/>
      <c r="D115" s="193"/>
      <c r="E115" s="193"/>
      <c r="F115" s="214" t="str">
        <f t="shared" si="7"/>
        <v/>
      </c>
      <c r="G115" s="193"/>
      <c r="H115" s="193"/>
      <c r="I115" s="193"/>
      <c r="J115" s="193"/>
      <c r="K115" s="189"/>
      <c r="L115" s="189"/>
      <c r="M115" s="189"/>
      <c r="N115" s="189"/>
      <c r="O115" s="189"/>
      <c r="P115" s="189"/>
      <c r="Q115" s="193"/>
      <c r="R115" s="200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  <c r="AS115" s="461"/>
    </row>
    <row r="116" spans="1:45" s="102" customFormat="1" ht="12" customHeight="1">
      <c r="A116" s="118">
        <v>9</v>
      </c>
      <c r="B116" s="102" t="s">
        <v>255</v>
      </c>
      <c r="C116" s="125"/>
      <c r="D116" s="193"/>
      <c r="E116" s="193"/>
      <c r="F116" s="214" t="str">
        <f t="shared" si="7"/>
        <v/>
      </c>
      <c r="G116" s="193"/>
      <c r="H116" s="193"/>
      <c r="I116" s="193"/>
      <c r="J116" s="193"/>
      <c r="K116" s="189"/>
      <c r="L116" s="189"/>
      <c r="M116" s="189"/>
      <c r="N116" s="189"/>
      <c r="O116" s="189"/>
      <c r="P116" s="189"/>
      <c r="Q116" s="193"/>
      <c r="R116" s="200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  <c r="AS116" s="461"/>
    </row>
    <row r="117" spans="1:45" s="102" customFormat="1" ht="12" customHeight="1">
      <c r="A117" s="118">
        <v>11</v>
      </c>
      <c r="B117" s="102" t="s">
        <v>256</v>
      </c>
      <c r="C117" s="125"/>
      <c r="D117" s="193"/>
      <c r="E117" s="193"/>
      <c r="F117" s="214" t="str">
        <f t="shared" si="7"/>
        <v/>
      </c>
      <c r="G117" s="193"/>
      <c r="H117" s="193"/>
      <c r="I117" s="193"/>
      <c r="J117" s="193"/>
      <c r="K117" s="189"/>
      <c r="L117" s="189"/>
      <c r="M117" s="189"/>
      <c r="N117" s="189"/>
      <c r="O117" s="189"/>
      <c r="P117" s="189"/>
      <c r="Q117" s="193"/>
      <c r="R117" s="200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  <c r="AS117" s="461"/>
    </row>
    <row r="118" spans="1:45" s="102" customFormat="1" ht="12" customHeight="1">
      <c r="A118" s="118">
        <v>13</v>
      </c>
      <c r="B118" s="102" t="s">
        <v>257</v>
      </c>
      <c r="C118" s="125"/>
      <c r="D118" s="193"/>
      <c r="E118" s="193"/>
      <c r="F118" s="214" t="str">
        <f t="shared" si="7"/>
        <v/>
      </c>
      <c r="G118" s="193"/>
      <c r="H118" s="193"/>
      <c r="I118" s="193"/>
      <c r="J118" s="193"/>
      <c r="K118" s="189"/>
      <c r="L118" s="189"/>
      <c r="M118" s="189"/>
      <c r="N118" s="189"/>
      <c r="O118" s="189"/>
      <c r="P118" s="189"/>
      <c r="Q118" s="193"/>
      <c r="R118" s="74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  <c r="AS118" s="461"/>
    </row>
    <row r="119" spans="1:45" s="102" customFormat="1" ht="12" customHeight="1">
      <c r="A119" s="118">
        <v>15</v>
      </c>
      <c r="B119" s="102" t="s">
        <v>258</v>
      </c>
      <c r="C119" s="125"/>
      <c r="D119" s="193"/>
      <c r="E119" s="193"/>
      <c r="F119" s="214" t="str">
        <f t="shared" si="7"/>
        <v/>
      </c>
      <c r="G119" s="193"/>
      <c r="H119" s="193"/>
      <c r="I119" s="193"/>
      <c r="J119" s="193"/>
      <c r="K119" s="189"/>
      <c r="L119" s="189"/>
      <c r="M119" s="189"/>
      <c r="N119" s="189"/>
      <c r="O119" s="189"/>
      <c r="P119" s="189"/>
      <c r="Q119" s="193"/>
      <c r="R119" s="200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  <c r="AS119" s="461"/>
    </row>
    <row r="120" spans="1:45" s="102" customFormat="1" ht="12" customHeight="1">
      <c r="A120" s="118">
        <v>17</v>
      </c>
      <c r="B120" s="102" t="s">
        <v>259</v>
      </c>
      <c r="C120" s="125"/>
      <c r="D120" s="193"/>
      <c r="E120" s="193"/>
      <c r="F120" s="214" t="str">
        <f t="shared" si="7"/>
        <v/>
      </c>
      <c r="G120" s="193"/>
      <c r="H120" s="193"/>
      <c r="I120" s="193"/>
      <c r="J120" s="193"/>
      <c r="K120" s="189"/>
      <c r="L120" s="189"/>
      <c r="M120" s="189"/>
      <c r="N120" s="189"/>
      <c r="O120" s="189"/>
      <c r="P120" s="189"/>
      <c r="Q120" s="193"/>
      <c r="R120" s="200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  <c r="AS120" s="461"/>
    </row>
    <row r="121" spans="1:45" s="102" customFormat="1" ht="12" customHeight="1">
      <c r="A121" s="118">
        <v>18</v>
      </c>
      <c r="B121" s="102" t="s">
        <v>266</v>
      </c>
      <c r="C121" s="125"/>
      <c r="D121" s="193"/>
      <c r="E121" s="193"/>
      <c r="F121" s="214" t="str">
        <f t="shared" si="7"/>
        <v/>
      </c>
      <c r="G121" s="193"/>
      <c r="H121" s="193"/>
      <c r="I121" s="193"/>
      <c r="J121" s="193"/>
      <c r="K121" s="189"/>
      <c r="L121" s="189"/>
      <c r="M121" s="189"/>
      <c r="N121" s="189"/>
      <c r="O121" s="189"/>
      <c r="P121" s="189"/>
      <c r="Q121" s="193"/>
      <c r="R121" s="200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  <c r="AS121" s="461"/>
    </row>
    <row r="122" spans="1:45" s="102" customFormat="1" ht="12" customHeight="1">
      <c r="A122" s="118">
        <v>19</v>
      </c>
      <c r="B122" s="102" t="s">
        <v>260</v>
      </c>
      <c r="C122" s="125"/>
      <c r="D122" s="193"/>
      <c r="E122" s="193"/>
      <c r="F122" s="214" t="str">
        <f t="shared" si="7"/>
        <v/>
      </c>
      <c r="G122" s="193"/>
      <c r="H122" s="193"/>
      <c r="I122" s="193"/>
      <c r="J122" s="193"/>
      <c r="K122" s="189"/>
      <c r="L122" s="189"/>
      <c r="M122" s="189"/>
      <c r="N122" s="189"/>
      <c r="O122" s="189"/>
      <c r="P122" s="189"/>
      <c r="Q122" s="193"/>
      <c r="R122" s="200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  <c r="AS122" s="461"/>
    </row>
    <row r="123" spans="1:45" s="102" customFormat="1" ht="12" customHeight="1">
      <c r="A123" s="118">
        <v>20</v>
      </c>
      <c r="B123" s="102" t="s">
        <v>267</v>
      </c>
      <c r="C123" s="125"/>
      <c r="D123" s="193"/>
      <c r="E123" s="193"/>
      <c r="F123" s="214" t="str">
        <f t="shared" si="7"/>
        <v/>
      </c>
      <c r="G123" s="193"/>
      <c r="H123" s="193"/>
      <c r="I123" s="193"/>
      <c r="J123" s="193"/>
      <c r="K123" s="189"/>
      <c r="L123" s="189"/>
      <c r="M123" s="189"/>
      <c r="N123" s="189"/>
      <c r="O123" s="189"/>
      <c r="P123" s="189"/>
      <c r="Q123" s="193"/>
      <c r="R123" s="200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  <c r="AS123" s="461"/>
    </row>
    <row r="124" spans="1:45" s="102" customFormat="1" ht="12" customHeight="1">
      <c r="A124" s="118">
        <v>21</v>
      </c>
      <c r="B124" s="102" t="s">
        <v>261</v>
      </c>
      <c r="C124" s="125"/>
      <c r="D124" s="193"/>
      <c r="E124" s="193"/>
      <c r="F124" s="214" t="str">
        <f t="shared" si="7"/>
        <v/>
      </c>
      <c r="G124" s="193"/>
      <c r="H124" s="193"/>
      <c r="I124" s="193"/>
      <c r="J124" s="193"/>
      <c r="K124" s="189"/>
      <c r="L124" s="189"/>
      <c r="M124" s="189"/>
      <c r="N124" s="189"/>
      <c r="O124" s="189"/>
      <c r="P124" s="189"/>
      <c r="Q124" s="193"/>
      <c r="R124" s="200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  <c r="AS124" s="461"/>
    </row>
    <row r="125" spans="1:45" s="102" customFormat="1" ht="12" customHeight="1">
      <c r="A125" s="118">
        <v>22</v>
      </c>
      <c r="B125" s="102" t="s">
        <v>268</v>
      </c>
      <c r="C125" s="125"/>
      <c r="D125" s="193"/>
      <c r="E125" s="193"/>
      <c r="F125" s="214" t="str">
        <f t="shared" si="7"/>
        <v/>
      </c>
      <c r="G125" s="193"/>
      <c r="H125" s="193"/>
      <c r="I125" s="193"/>
      <c r="J125" s="193"/>
      <c r="K125" s="189"/>
      <c r="L125" s="189"/>
      <c r="M125" s="189"/>
      <c r="N125" s="189"/>
      <c r="O125" s="189"/>
      <c r="P125" s="189"/>
      <c r="Q125" s="193"/>
      <c r="R125" s="200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  <c r="AS125" s="461"/>
    </row>
    <row r="126" spans="1:45" s="102" customFormat="1" ht="12" customHeight="1">
      <c r="A126" s="118">
        <v>23</v>
      </c>
      <c r="B126" s="122" t="s">
        <v>297</v>
      </c>
      <c r="C126" s="125"/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  <c r="AS126" s="461"/>
    </row>
    <row r="127" spans="1:45" s="102" customFormat="1" ht="12" customHeight="1">
      <c r="A127" s="118">
        <v>24</v>
      </c>
      <c r="B127" s="102" t="s">
        <v>269</v>
      </c>
      <c r="C127" s="125"/>
      <c r="D127" s="193"/>
      <c r="E127" s="193"/>
      <c r="F127" s="214" t="str">
        <f t="shared" si="7"/>
        <v/>
      </c>
      <c r="G127" s="193"/>
      <c r="H127" s="193"/>
      <c r="I127" s="193"/>
      <c r="J127" s="193"/>
      <c r="K127" s="189"/>
      <c r="L127" s="189"/>
      <c r="M127" s="189"/>
      <c r="N127" s="189"/>
      <c r="O127" s="189"/>
      <c r="P127" s="189"/>
      <c r="Q127" s="193"/>
      <c r="R127" s="200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  <c r="AS127" s="461"/>
    </row>
    <row r="128" spans="1:45" s="102" customFormat="1" ht="12" customHeight="1">
      <c r="A128" s="118">
        <v>25</v>
      </c>
      <c r="B128" s="102" t="s">
        <v>263</v>
      </c>
      <c r="C128" s="125"/>
      <c r="D128" s="193"/>
      <c r="E128" s="193"/>
      <c r="F128" s="214" t="str">
        <f t="shared" si="7"/>
        <v/>
      </c>
      <c r="G128" s="193"/>
      <c r="H128" s="193"/>
      <c r="I128" s="193"/>
      <c r="J128" s="193"/>
      <c r="K128" s="189"/>
      <c r="L128" s="189"/>
      <c r="M128" s="189"/>
      <c r="N128" s="189"/>
      <c r="O128" s="189"/>
      <c r="P128" s="189"/>
      <c r="Q128" s="193"/>
      <c r="R128" s="200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  <c r="AS128" s="461"/>
    </row>
    <row r="129" spans="1:45" s="102" customFormat="1" ht="12" customHeight="1">
      <c r="A129" s="118">
        <v>27</v>
      </c>
      <c r="B129" s="102" t="s">
        <v>264</v>
      </c>
      <c r="C129" s="125"/>
      <c r="D129" s="193"/>
      <c r="E129" s="193"/>
      <c r="F129" s="214" t="str">
        <f t="shared" si="7"/>
        <v/>
      </c>
      <c r="G129" s="193"/>
      <c r="H129" s="193"/>
      <c r="I129" s="193"/>
      <c r="J129" s="193"/>
      <c r="K129" s="189"/>
      <c r="L129" s="189"/>
      <c r="M129" s="189"/>
      <c r="N129" s="189"/>
      <c r="O129" s="189"/>
      <c r="P129" s="189"/>
      <c r="Q129" s="193"/>
      <c r="R129" s="200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  <c r="AS129" s="461"/>
    </row>
    <row r="130" spans="1:45" s="102" customFormat="1" ht="12" customHeight="1">
      <c r="A130" s="118">
        <v>29</v>
      </c>
      <c r="B130" s="102" t="s">
        <v>295</v>
      </c>
      <c r="C130" s="125"/>
      <c r="D130" s="112"/>
      <c r="E130" s="193"/>
      <c r="F130" s="214" t="str">
        <f t="shared" si="7"/>
        <v/>
      </c>
      <c r="G130" s="193"/>
      <c r="H130" s="193"/>
      <c r="I130" s="193"/>
      <c r="J130" s="193"/>
      <c r="K130" s="189"/>
      <c r="L130" s="189"/>
      <c r="M130" s="189"/>
      <c r="N130" s="189"/>
      <c r="O130" s="189"/>
      <c r="P130" s="189"/>
      <c r="Q130" s="193"/>
      <c r="R130" s="200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  <c r="AS130" s="461"/>
    </row>
    <row r="131" spans="1:45" s="102" customFormat="1" ht="12" customHeight="1">
      <c r="A131" s="118">
        <v>30</v>
      </c>
      <c r="B131" s="102" t="s">
        <v>296</v>
      </c>
      <c r="C131" s="125"/>
      <c r="D131" s="193"/>
      <c r="E131" s="193"/>
      <c r="F131" s="214" t="str">
        <f t="shared" si="7"/>
        <v/>
      </c>
      <c r="G131" s="193"/>
      <c r="H131" s="193"/>
      <c r="I131" s="193"/>
      <c r="J131" s="193"/>
      <c r="K131" s="189"/>
      <c r="L131" s="189"/>
      <c r="M131" s="189"/>
      <c r="N131" s="189"/>
      <c r="O131" s="189"/>
      <c r="P131" s="189"/>
      <c r="Q131" s="193"/>
      <c r="R131" s="200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  <c r="AS131" s="461"/>
    </row>
    <row r="132" spans="1:45">
      <c r="A132" s="1">
        <v>200</v>
      </c>
      <c r="B132" s="62" t="s">
        <v>97</v>
      </c>
      <c r="C132" s="125"/>
      <c r="D132" s="554"/>
      <c r="E132" s="554" t="s">
        <v>401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2"/>
      <c r="T132" s="463"/>
      <c r="U132" s="464"/>
      <c r="V132" s="464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  <c r="AS132" s="460"/>
    </row>
    <row r="133" spans="1:45" s="460" customFormat="1" ht="17.25" customHeight="1">
      <c r="A133" s="473">
        <v>250</v>
      </c>
      <c r="B133" s="474" t="s">
        <v>27</v>
      </c>
      <c r="C133" s="482"/>
      <c r="D133" s="476"/>
      <c r="E133" s="476"/>
      <c r="F133" s="556"/>
      <c r="G133" s="476"/>
      <c r="H133" s="476"/>
      <c r="I133" s="476"/>
      <c r="J133" s="476"/>
      <c r="K133" s="477"/>
      <c r="L133" s="477"/>
      <c r="M133" s="477"/>
      <c r="N133" s="477"/>
      <c r="O133" s="477"/>
      <c r="P133" s="477"/>
      <c r="Q133" s="476"/>
      <c r="R133" s="478"/>
      <c r="S133" s="465"/>
      <c r="T133" s="463"/>
      <c r="U133" s="464"/>
      <c r="V133" s="464"/>
    </row>
    <row r="134" spans="1:45" s="102" customFormat="1" ht="12" customHeight="1">
      <c r="A134" s="117">
        <v>3</v>
      </c>
      <c r="B134" s="102" t="s">
        <v>252</v>
      </c>
      <c r="C134" s="125"/>
      <c r="D134" s="193"/>
      <c r="E134" s="193"/>
      <c r="F134" s="214" t="str">
        <f t="shared" ref="F134:F143" si="8">IF(E134&lt;&gt;"",ROUND((E134/((9.266*EXP(-0.04555*D134)+5.374))*100),0),"")</f>
        <v/>
      </c>
      <c r="G134" s="193"/>
      <c r="H134" s="193"/>
      <c r="I134" s="193"/>
      <c r="J134" s="193"/>
      <c r="K134" s="189"/>
      <c r="L134" s="189"/>
      <c r="M134" s="189"/>
      <c r="N134" s="189"/>
      <c r="O134" s="189"/>
      <c r="P134" s="189"/>
      <c r="Q134" s="193"/>
      <c r="R134" s="202"/>
      <c r="S134" s="466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  <c r="AS134" s="461"/>
    </row>
    <row r="135" spans="1:45" s="102" customFormat="1" ht="12" customHeight="1">
      <c r="A135" s="117">
        <v>6</v>
      </c>
      <c r="B135" s="102" t="s">
        <v>265</v>
      </c>
      <c r="C135" s="125"/>
      <c r="D135" s="193"/>
      <c r="E135" s="193"/>
      <c r="F135" s="214" t="str">
        <f t="shared" si="8"/>
        <v/>
      </c>
      <c r="G135" s="193"/>
      <c r="H135" s="193"/>
      <c r="I135" s="193"/>
      <c r="J135" s="193"/>
      <c r="K135" s="189"/>
      <c r="L135" s="189"/>
      <c r="M135" s="189"/>
      <c r="N135" s="189"/>
      <c r="O135" s="189"/>
      <c r="P135" s="189"/>
      <c r="Q135" s="193"/>
      <c r="R135" s="202"/>
      <c r="S135" s="466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  <c r="AS135" s="461"/>
    </row>
    <row r="136" spans="1:45" s="102" customFormat="1" ht="12" customHeight="1">
      <c r="A136" s="117">
        <v>7</v>
      </c>
      <c r="B136" s="122" t="s">
        <v>254</v>
      </c>
      <c r="C136" s="125"/>
      <c r="D136" s="193"/>
      <c r="E136" s="193"/>
      <c r="F136" s="214" t="str">
        <f t="shared" si="8"/>
        <v/>
      </c>
      <c r="G136" s="193"/>
      <c r="H136" s="193"/>
      <c r="I136" s="193"/>
      <c r="J136" s="193"/>
      <c r="K136" s="189"/>
      <c r="L136" s="189"/>
      <c r="M136" s="189"/>
      <c r="N136" s="189"/>
      <c r="O136" s="189"/>
      <c r="P136" s="189"/>
      <c r="Q136" s="193"/>
      <c r="R136" s="202"/>
      <c r="S136" s="466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  <c r="AS136" s="461"/>
    </row>
    <row r="137" spans="1:45" s="102" customFormat="1" ht="12" customHeight="1">
      <c r="A137" s="117">
        <v>11</v>
      </c>
      <c r="B137" s="102" t="s">
        <v>256</v>
      </c>
      <c r="C137" s="125"/>
      <c r="D137" s="193"/>
      <c r="E137" s="193"/>
      <c r="F137" s="214" t="str">
        <f t="shared" si="8"/>
        <v/>
      </c>
      <c r="G137" s="193"/>
      <c r="H137" s="193"/>
      <c r="I137" s="193"/>
      <c r="J137" s="193"/>
      <c r="K137" s="189"/>
      <c r="L137" s="189"/>
      <c r="M137" s="189"/>
      <c r="N137" s="189"/>
      <c r="O137" s="189"/>
      <c r="P137" s="189"/>
      <c r="Q137" s="193"/>
      <c r="R137" s="202"/>
      <c r="S137" s="466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  <c r="AS137" s="461"/>
    </row>
    <row r="138" spans="1:45" s="102" customFormat="1" ht="12" customHeight="1">
      <c r="A138" s="117">
        <v>19</v>
      </c>
      <c r="B138" s="102" t="s">
        <v>260</v>
      </c>
      <c r="C138" s="125"/>
      <c r="D138" s="193"/>
      <c r="E138" s="193"/>
      <c r="F138" s="214" t="str">
        <f t="shared" si="8"/>
        <v/>
      </c>
      <c r="G138" s="193"/>
      <c r="H138" s="193"/>
      <c r="I138" s="193"/>
      <c r="J138" s="193"/>
      <c r="K138" s="189"/>
      <c r="L138" s="189"/>
      <c r="M138" s="189"/>
      <c r="N138" s="189"/>
      <c r="O138" s="189"/>
      <c r="P138" s="189"/>
      <c r="Q138" s="193"/>
      <c r="R138" s="202"/>
      <c r="S138" s="466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  <c r="AS138" s="461"/>
    </row>
    <row r="139" spans="1:45" s="102" customFormat="1" ht="12" customHeight="1">
      <c r="A139" s="117">
        <v>20</v>
      </c>
      <c r="B139" s="102" t="s">
        <v>267</v>
      </c>
      <c r="C139" s="125"/>
      <c r="D139" s="193"/>
      <c r="E139" s="193"/>
      <c r="F139" s="214" t="str">
        <f>IF(E139&lt;&gt;"",ROUND((E139/((9.266*EXP(-0.04555*D139)+5.374))*100),0),"")</f>
        <v/>
      </c>
      <c r="G139" s="193"/>
      <c r="H139" s="193"/>
      <c r="I139" s="193"/>
      <c r="J139" s="193"/>
      <c r="K139" s="189"/>
      <c r="L139" s="189"/>
      <c r="M139" s="189"/>
      <c r="N139" s="189"/>
      <c r="O139" s="189"/>
      <c r="P139" s="189"/>
      <c r="Q139" s="193"/>
      <c r="R139" s="202"/>
      <c r="S139" s="466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  <c r="AS139" s="461"/>
    </row>
    <row r="140" spans="1:45" s="102" customFormat="1" ht="12" customHeight="1">
      <c r="A140" s="117">
        <v>21</v>
      </c>
      <c r="B140" s="102" t="s">
        <v>261</v>
      </c>
      <c r="C140" s="125"/>
      <c r="D140" s="193"/>
      <c r="E140" s="193"/>
      <c r="F140" s="214" t="str">
        <f t="shared" si="8"/>
        <v/>
      </c>
      <c r="G140" s="193"/>
      <c r="H140" s="193"/>
      <c r="I140" s="193"/>
      <c r="J140" s="193"/>
      <c r="K140" s="189"/>
      <c r="L140" s="189"/>
      <c r="M140" s="189"/>
      <c r="N140" s="189"/>
      <c r="O140" s="189"/>
      <c r="P140" s="189"/>
      <c r="Q140" s="193"/>
      <c r="R140" s="202"/>
      <c r="S140" s="466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  <c r="AS140" s="461"/>
    </row>
    <row r="141" spans="1:45" s="102" customFormat="1" ht="12" customHeight="1">
      <c r="A141" s="117">
        <v>25</v>
      </c>
      <c r="B141" s="122" t="s">
        <v>263</v>
      </c>
      <c r="C141" s="125"/>
      <c r="D141" s="193"/>
      <c r="E141" s="193"/>
      <c r="F141" s="214" t="str">
        <f t="shared" si="8"/>
        <v/>
      </c>
      <c r="G141" s="193"/>
      <c r="H141" s="193"/>
      <c r="I141" s="193"/>
      <c r="J141" s="193"/>
      <c r="K141" s="189"/>
      <c r="L141" s="189"/>
      <c r="M141" s="189"/>
      <c r="N141" s="189"/>
      <c r="O141" s="189"/>
      <c r="P141" s="189"/>
      <c r="Q141" s="193"/>
      <c r="R141" s="202"/>
      <c r="S141" s="466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  <c r="AS141" s="461"/>
    </row>
    <row r="142" spans="1:45" s="102" customFormat="1" ht="12" customHeight="1">
      <c r="A142" s="118">
        <v>29</v>
      </c>
      <c r="B142" s="102" t="s">
        <v>295</v>
      </c>
      <c r="C142" s="125"/>
      <c r="D142" s="193"/>
      <c r="E142" s="193"/>
      <c r="F142" s="214" t="str">
        <f>IF(E142&lt;&gt;"",ROUND((E142/((9.266*EXP(-0.04555*D142)+5.374))*100),0),"")</f>
        <v/>
      </c>
      <c r="G142" s="193"/>
      <c r="H142" s="193"/>
      <c r="I142" s="193"/>
      <c r="J142" s="193"/>
      <c r="K142" s="189"/>
      <c r="L142" s="189"/>
      <c r="M142" s="189"/>
      <c r="N142" s="189"/>
      <c r="O142" s="189"/>
      <c r="P142" s="189"/>
      <c r="Q142" s="193"/>
      <c r="R142" s="202"/>
      <c r="S142" s="466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  <c r="AS142" s="461"/>
    </row>
    <row r="143" spans="1:45" s="102" customFormat="1" ht="12" customHeight="1">
      <c r="A143" s="118">
        <v>30</v>
      </c>
      <c r="B143" s="102" t="s">
        <v>296</v>
      </c>
      <c r="C143" s="125"/>
      <c r="D143" s="193"/>
      <c r="E143" s="193"/>
      <c r="F143" s="214" t="str">
        <f t="shared" si="8"/>
        <v/>
      </c>
      <c r="G143" s="193"/>
      <c r="H143" s="193"/>
      <c r="I143" s="193"/>
      <c r="J143" s="193"/>
      <c r="K143" s="189"/>
      <c r="L143" s="189"/>
      <c r="M143" s="189"/>
      <c r="N143" s="189"/>
      <c r="O143" s="189"/>
      <c r="P143" s="189"/>
      <c r="Q143" s="193"/>
      <c r="R143" s="202"/>
      <c r="S143" s="466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  <c r="AS143" s="461"/>
    </row>
    <row r="144" spans="1:45">
      <c r="A144" s="1">
        <v>200</v>
      </c>
      <c r="B144" s="62" t="s">
        <v>97</v>
      </c>
      <c r="C144" s="84"/>
      <c r="D144" s="554"/>
      <c r="E144" s="554" t="s">
        <v>401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2"/>
      <c r="T144" s="463"/>
      <c r="U144" s="464"/>
      <c r="V144" s="464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  <c r="AS144" s="460"/>
    </row>
    <row r="145" spans="1:45" s="460" customFormat="1" ht="17.25" customHeight="1">
      <c r="A145" s="473">
        <v>250</v>
      </c>
      <c r="B145" s="474" t="s">
        <v>28</v>
      </c>
      <c r="C145" s="480"/>
      <c r="D145" s="476"/>
      <c r="E145" s="476"/>
      <c r="F145" s="556"/>
      <c r="G145" s="476"/>
      <c r="H145" s="476"/>
      <c r="I145" s="476"/>
      <c r="J145" s="476"/>
      <c r="K145" s="477"/>
      <c r="L145" s="477"/>
      <c r="M145" s="477"/>
      <c r="N145" s="477"/>
      <c r="O145" s="477"/>
      <c r="P145" s="477"/>
      <c r="Q145" s="476"/>
      <c r="R145" s="478"/>
      <c r="S145" s="465"/>
      <c r="T145" s="463"/>
      <c r="U145" s="464"/>
      <c r="V145" s="464"/>
    </row>
    <row r="146" spans="1:45" s="102" customFormat="1" ht="12" customHeight="1">
      <c r="A146" s="118">
        <v>3</v>
      </c>
      <c r="B146" s="102" t="s">
        <v>252</v>
      </c>
      <c r="C146" s="125"/>
      <c r="D146" s="193"/>
      <c r="E146" s="193"/>
      <c r="F146" s="214" t="str">
        <f t="shared" ref="F146:F153" si="9">IF(E146&lt;&gt;"",ROUND((E146/((9.266*EXP(-0.04555*D146)+5.374))*100),0),"")</f>
        <v/>
      </c>
      <c r="G146" s="193"/>
      <c r="H146" s="193"/>
      <c r="I146" s="193"/>
      <c r="J146" s="193"/>
      <c r="K146" s="189"/>
      <c r="L146" s="189"/>
      <c r="M146" s="189"/>
      <c r="N146" s="189"/>
      <c r="O146" s="189"/>
      <c r="P146" s="189"/>
      <c r="Q146" s="193"/>
      <c r="R146" s="200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  <c r="AS146" s="461"/>
    </row>
    <row r="147" spans="1:45" s="102" customFormat="1" ht="12" customHeight="1">
      <c r="A147" s="118">
        <v>5</v>
      </c>
      <c r="B147" s="102" t="s">
        <v>253</v>
      </c>
      <c r="C147" s="125"/>
      <c r="D147" s="193"/>
      <c r="E147" s="193"/>
      <c r="F147" s="214" t="str">
        <f t="shared" si="9"/>
        <v/>
      </c>
      <c r="G147" s="193"/>
      <c r="H147" s="193"/>
      <c r="I147" s="193"/>
      <c r="J147" s="193"/>
      <c r="K147" s="189"/>
      <c r="L147" s="189"/>
      <c r="M147" s="189"/>
      <c r="N147" s="189"/>
      <c r="O147" s="189"/>
      <c r="P147" s="189"/>
      <c r="Q147" s="193"/>
      <c r="R147" s="200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  <c r="AS147" s="461"/>
    </row>
    <row r="148" spans="1:45" s="102" customFormat="1" ht="12" customHeight="1">
      <c r="A148" s="118">
        <v>6</v>
      </c>
      <c r="B148" s="102" t="s">
        <v>265</v>
      </c>
      <c r="C148" s="125"/>
      <c r="D148" s="193"/>
      <c r="E148" s="193"/>
      <c r="F148" s="214" t="str">
        <f t="shared" si="9"/>
        <v/>
      </c>
      <c r="G148" s="193"/>
      <c r="H148" s="193"/>
      <c r="I148" s="193"/>
      <c r="J148" s="193"/>
      <c r="K148" s="189"/>
      <c r="L148" s="189"/>
      <c r="M148" s="189"/>
      <c r="N148" s="189"/>
      <c r="O148" s="189"/>
      <c r="P148" s="189"/>
      <c r="Q148" s="193"/>
      <c r="R148" s="200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  <c r="AS148" s="461"/>
    </row>
    <row r="149" spans="1:45" s="102" customFormat="1" ht="12" customHeight="1">
      <c r="A149" s="118">
        <v>7</v>
      </c>
      <c r="B149" s="102" t="s">
        <v>254</v>
      </c>
      <c r="C149" s="125"/>
      <c r="D149" s="193"/>
      <c r="E149" s="193"/>
      <c r="F149" s="214" t="str">
        <f t="shared" si="9"/>
        <v/>
      </c>
      <c r="G149" s="193"/>
      <c r="H149" s="193"/>
      <c r="I149" s="193"/>
      <c r="J149" s="193"/>
      <c r="K149" s="189"/>
      <c r="L149" s="189"/>
      <c r="M149" s="189"/>
      <c r="N149" s="189"/>
      <c r="O149" s="189"/>
      <c r="P149" s="189"/>
      <c r="Q149" s="193"/>
      <c r="R149" s="200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  <c r="AS149" s="461"/>
    </row>
    <row r="150" spans="1:45" s="102" customFormat="1" ht="12" customHeight="1">
      <c r="A150" s="118">
        <v>9</v>
      </c>
      <c r="B150" s="102" t="s">
        <v>255</v>
      </c>
      <c r="C150" s="125"/>
      <c r="D150" s="193"/>
      <c r="E150" s="193"/>
      <c r="F150" s="214" t="str">
        <f t="shared" si="9"/>
        <v/>
      </c>
      <c r="G150" s="193"/>
      <c r="H150" s="193"/>
      <c r="I150" s="193"/>
      <c r="J150" s="193"/>
      <c r="K150" s="189"/>
      <c r="L150" s="189"/>
      <c r="M150" s="189"/>
      <c r="N150" s="189"/>
      <c r="O150" s="189"/>
      <c r="P150" s="189"/>
      <c r="Q150" s="193"/>
      <c r="R150" s="200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  <c r="AS150" s="461"/>
    </row>
    <row r="151" spans="1:45" s="102" customFormat="1" ht="12" customHeight="1">
      <c r="A151" s="118">
        <v>11</v>
      </c>
      <c r="B151" s="102" t="s">
        <v>256</v>
      </c>
      <c r="C151" s="125"/>
      <c r="D151" s="193"/>
      <c r="E151" s="193"/>
      <c r="F151" s="214" t="str">
        <f t="shared" si="9"/>
        <v/>
      </c>
      <c r="G151" s="193"/>
      <c r="H151" s="193"/>
      <c r="I151" s="193"/>
      <c r="J151" s="193"/>
      <c r="K151" s="189"/>
      <c r="L151" s="189"/>
      <c r="M151" s="189"/>
      <c r="N151" s="189"/>
      <c r="O151" s="189"/>
      <c r="P151" s="189"/>
      <c r="Q151" s="193"/>
      <c r="R151" s="200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  <c r="AS151" s="461"/>
    </row>
    <row r="152" spans="1:45" s="102" customFormat="1" ht="12" customHeight="1">
      <c r="A152" s="118">
        <v>13</v>
      </c>
      <c r="B152" s="102" t="s">
        <v>257</v>
      </c>
      <c r="C152" s="125"/>
      <c r="D152" s="193"/>
      <c r="E152" s="193"/>
      <c r="F152" s="214" t="str">
        <f t="shared" si="9"/>
        <v/>
      </c>
      <c r="G152" s="193"/>
      <c r="H152" s="193"/>
      <c r="I152" s="193"/>
      <c r="J152" s="193"/>
      <c r="K152" s="189"/>
      <c r="L152" s="189"/>
      <c r="M152" s="189"/>
      <c r="N152" s="189"/>
      <c r="O152" s="189"/>
      <c r="P152" s="189"/>
      <c r="Q152" s="193"/>
      <c r="R152" s="200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  <c r="AS152" s="461"/>
    </row>
    <row r="153" spans="1:45" s="102" customFormat="1" ht="12" customHeight="1">
      <c r="A153" s="118">
        <v>15</v>
      </c>
      <c r="B153" s="102" t="s">
        <v>258</v>
      </c>
      <c r="C153" s="125"/>
      <c r="D153" s="193"/>
      <c r="E153" s="193"/>
      <c r="F153" s="214" t="str">
        <f t="shared" si="9"/>
        <v/>
      </c>
      <c r="G153" s="193"/>
      <c r="H153" s="193"/>
      <c r="I153" s="193"/>
      <c r="J153" s="193"/>
      <c r="K153" s="189"/>
      <c r="L153" s="189"/>
      <c r="M153" s="189"/>
      <c r="N153" s="189"/>
      <c r="O153" s="189"/>
      <c r="P153" s="189"/>
      <c r="Q153" s="193"/>
      <c r="R153" s="200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  <c r="AS153" s="461"/>
    </row>
    <row r="154" spans="1:45" s="102" customFormat="1" ht="12" customHeight="1">
      <c r="A154" s="118">
        <v>17</v>
      </c>
      <c r="B154" s="102" t="s">
        <v>259</v>
      </c>
      <c r="C154" s="125"/>
      <c r="D154" s="193"/>
      <c r="E154" s="193"/>
      <c r="F154" s="214" t="str">
        <f t="shared" ref="F154:F163" si="10">IF(E154&lt;&gt;"",ROUND((E154/((9.266*EXP(-0.04555*D154)+5.374))*100),0),"")</f>
        <v/>
      </c>
      <c r="G154" s="193"/>
      <c r="H154" s="193"/>
      <c r="I154" s="193"/>
      <c r="J154" s="193"/>
      <c r="K154" s="189"/>
      <c r="L154" s="189"/>
      <c r="M154" s="189"/>
      <c r="N154" s="189"/>
      <c r="O154" s="189"/>
      <c r="P154" s="189"/>
      <c r="Q154" s="193"/>
      <c r="R154" s="200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  <c r="AS154" s="461"/>
    </row>
    <row r="155" spans="1:45" s="102" customFormat="1" ht="12" customHeight="1">
      <c r="A155" s="118">
        <v>18</v>
      </c>
      <c r="B155" s="102" t="s">
        <v>266</v>
      </c>
      <c r="C155" s="125"/>
      <c r="D155" s="193"/>
      <c r="E155" s="193"/>
      <c r="F155" s="214" t="str">
        <f t="shared" si="10"/>
        <v/>
      </c>
      <c r="G155" s="193"/>
      <c r="H155" s="193"/>
      <c r="I155" s="193"/>
      <c r="J155" s="193"/>
      <c r="K155" s="189"/>
      <c r="L155" s="189"/>
      <c r="M155" s="189"/>
      <c r="N155" s="189"/>
      <c r="O155" s="189"/>
      <c r="P155" s="189"/>
      <c r="Q155" s="193"/>
      <c r="R155" s="200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  <c r="AS155" s="461"/>
    </row>
    <row r="156" spans="1:45" s="102" customFormat="1" ht="12" customHeight="1">
      <c r="A156" s="118">
        <v>19</v>
      </c>
      <c r="B156" s="102" t="s">
        <v>260</v>
      </c>
      <c r="C156" s="125"/>
      <c r="D156" s="193"/>
      <c r="E156" s="193"/>
      <c r="F156" s="214" t="str">
        <f t="shared" si="10"/>
        <v/>
      </c>
      <c r="G156" s="193"/>
      <c r="H156" s="193"/>
      <c r="I156" s="193"/>
      <c r="J156" s="193"/>
      <c r="K156" s="189"/>
      <c r="L156" s="189"/>
      <c r="M156" s="189"/>
      <c r="N156" s="189"/>
      <c r="O156" s="189"/>
      <c r="P156" s="189"/>
      <c r="Q156" s="193"/>
      <c r="R156" s="200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  <c r="AS156" s="461"/>
    </row>
    <row r="157" spans="1:45" s="102" customFormat="1" ht="12" customHeight="1">
      <c r="A157" s="118">
        <v>20</v>
      </c>
      <c r="B157" s="102" t="s">
        <v>267</v>
      </c>
      <c r="C157" s="125"/>
      <c r="D157" s="193"/>
      <c r="E157" s="193"/>
      <c r="F157" s="214" t="str">
        <f t="shared" si="10"/>
        <v/>
      </c>
      <c r="G157" s="193"/>
      <c r="H157" s="193"/>
      <c r="I157" s="193"/>
      <c r="J157" s="193"/>
      <c r="K157" s="189"/>
      <c r="L157" s="189"/>
      <c r="M157" s="189"/>
      <c r="N157" s="189"/>
      <c r="O157" s="189"/>
      <c r="P157" s="189"/>
      <c r="Q157" s="193"/>
      <c r="R157" s="200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  <c r="AS157" s="461"/>
    </row>
    <row r="158" spans="1:45" s="102" customFormat="1" ht="12" customHeight="1">
      <c r="A158" s="118">
        <v>21</v>
      </c>
      <c r="B158" s="102" t="s">
        <v>261</v>
      </c>
      <c r="C158" s="125"/>
      <c r="D158" s="193"/>
      <c r="E158" s="193"/>
      <c r="F158" s="214" t="str">
        <f t="shared" si="10"/>
        <v/>
      </c>
      <c r="G158" s="193"/>
      <c r="H158" s="193"/>
      <c r="I158" s="193"/>
      <c r="J158" s="193"/>
      <c r="K158" s="189"/>
      <c r="L158" s="189"/>
      <c r="M158" s="189"/>
      <c r="N158" s="189"/>
      <c r="O158" s="189"/>
      <c r="P158" s="189"/>
      <c r="Q158" s="193"/>
      <c r="R158" s="200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  <c r="AS158" s="461"/>
    </row>
    <row r="159" spans="1:45" s="102" customFormat="1" ht="12" customHeight="1">
      <c r="A159" s="118">
        <v>22</v>
      </c>
      <c r="B159" s="102" t="s">
        <v>268</v>
      </c>
      <c r="C159" s="125"/>
      <c r="D159" s="193"/>
      <c r="E159" s="193"/>
      <c r="F159" s="214" t="str">
        <f t="shared" si="10"/>
        <v/>
      </c>
      <c r="G159" s="193"/>
      <c r="H159" s="193"/>
      <c r="I159" s="193"/>
      <c r="J159" s="193"/>
      <c r="K159" s="189"/>
      <c r="L159" s="189"/>
      <c r="M159" s="189"/>
      <c r="N159" s="189"/>
      <c r="O159" s="189"/>
      <c r="P159" s="189"/>
      <c r="Q159" s="193"/>
      <c r="R159" s="200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  <c r="AS159" s="461"/>
    </row>
    <row r="160" spans="1:45" s="102" customFormat="1" ht="12" customHeight="1">
      <c r="A160" s="118">
        <v>23</v>
      </c>
      <c r="B160" s="122" t="s">
        <v>297</v>
      </c>
      <c r="C160" s="125"/>
      <c r="D160" s="193"/>
      <c r="E160" s="193"/>
      <c r="F160" s="214" t="str">
        <f t="shared" si="10"/>
        <v/>
      </c>
      <c r="G160" s="193"/>
      <c r="H160" s="193"/>
      <c r="I160" s="193"/>
      <c r="J160" s="193"/>
      <c r="K160" s="189"/>
      <c r="L160" s="189"/>
      <c r="M160" s="189"/>
      <c r="N160" s="189"/>
      <c r="O160" s="189"/>
      <c r="P160" s="189"/>
      <c r="Q160" s="193"/>
      <c r="R160" s="200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  <c r="AS160" s="461"/>
    </row>
    <row r="161" spans="1:45" s="102" customFormat="1" ht="12" customHeight="1">
      <c r="A161" s="118">
        <v>24</v>
      </c>
      <c r="B161" s="102" t="s">
        <v>269</v>
      </c>
      <c r="C161" s="125"/>
      <c r="D161" s="193"/>
      <c r="E161" s="193"/>
      <c r="F161" s="214" t="str">
        <f t="shared" si="10"/>
        <v/>
      </c>
      <c r="G161" s="193"/>
      <c r="H161" s="193"/>
      <c r="I161" s="193"/>
      <c r="J161" s="193"/>
      <c r="K161" s="189"/>
      <c r="L161" s="189"/>
      <c r="M161" s="189"/>
      <c r="N161" s="189"/>
      <c r="O161" s="189"/>
      <c r="P161" s="189"/>
      <c r="Q161" s="193"/>
      <c r="R161" s="200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  <c r="AS161" s="461"/>
    </row>
    <row r="162" spans="1:45" s="102" customFormat="1" ht="12" customHeight="1">
      <c r="A162" s="118">
        <v>25</v>
      </c>
      <c r="B162" s="102" t="s">
        <v>263</v>
      </c>
      <c r="C162" s="125"/>
      <c r="D162" s="193"/>
      <c r="E162" s="193"/>
      <c r="F162" s="214" t="str">
        <f t="shared" si="10"/>
        <v/>
      </c>
      <c r="G162" s="193"/>
      <c r="H162" s="193"/>
      <c r="I162" s="193"/>
      <c r="J162" s="193"/>
      <c r="K162" s="189"/>
      <c r="L162" s="189"/>
      <c r="M162" s="189"/>
      <c r="N162" s="189"/>
      <c r="O162" s="189"/>
      <c r="P162" s="189"/>
      <c r="Q162" s="193"/>
      <c r="R162" s="200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  <c r="AS162" s="461"/>
    </row>
    <row r="163" spans="1:45" s="102" customFormat="1" ht="12" customHeight="1">
      <c r="A163" s="118">
        <v>27</v>
      </c>
      <c r="B163" s="102" t="s">
        <v>264</v>
      </c>
      <c r="C163" s="125"/>
      <c r="D163" s="193"/>
      <c r="E163" s="193"/>
      <c r="F163" s="214" t="str">
        <f t="shared" si="10"/>
        <v/>
      </c>
      <c r="G163" s="193"/>
      <c r="H163" s="193"/>
      <c r="I163" s="193"/>
      <c r="J163" s="193"/>
      <c r="K163" s="189"/>
      <c r="L163" s="189"/>
      <c r="M163" s="189"/>
      <c r="N163" s="189"/>
      <c r="O163" s="189"/>
      <c r="P163" s="189"/>
      <c r="Q163" s="193"/>
      <c r="R163" s="200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  <c r="AS163" s="461"/>
    </row>
    <row r="164" spans="1:45" s="102" customFormat="1" ht="12" customHeight="1">
      <c r="A164" s="118">
        <v>29</v>
      </c>
      <c r="B164" s="102" t="s">
        <v>295</v>
      </c>
      <c r="C164" s="125"/>
      <c r="D164" s="193"/>
      <c r="E164" s="193"/>
      <c r="F164" s="214" t="str">
        <f>IF(E164&lt;&gt;"",ROUND((E164/((9.266*EXP(-0.04555*D164)+5.374))*100),0),"")</f>
        <v/>
      </c>
      <c r="G164" s="193"/>
      <c r="H164" s="193"/>
      <c r="I164" s="193"/>
      <c r="J164" s="193"/>
      <c r="K164" s="189"/>
      <c r="L164" s="189"/>
      <c r="M164" s="189"/>
      <c r="N164" s="189"/>
      <c r="O164" s="189"/>
      <c r="P164" s="189"/>
      <c r="Q164" s="193"/>
      <c r="R164" s="200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  <c r="AS164" s="461"/>
    </row>
    <row r="165" spans="1:45" s="102" customFormat="1" ht="12" customHeight="1">
      <c r="A165" s="118">
        <v>30</v>
      </c>
      <c r="B165" s="102" t="s">
        <v>296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  <c r="AS165" s="461"/>
    </row>
    <row r="166" spans="1:45">
      <c r="A166" s="1">
        <v>200</v>
      </c>
      <c r="B166" s="62" t="s">
        <v>97</v>
      </c>
      <c r="C166" s="125"/>
      <c r="D166" s="554"/>
      <c r="E166" s="554" t="s">
        <v>401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2"/>
      <c r="T166" s="463"/>
      <c r="U166" s="464"/>
      <c r="V166" s="464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  <c r="AS166" s="460"/>
    </row>
    <row r="167" spans="1:45" s="460" customFormat="1" ht="17.25" customHeight="1">
      <c r="A167" s="473">
        <v>250</v>
      </c>
      <c r="B167" s="474" t="s">
        <v>29</v>
      </c>
      <c r="C167" s="480"/>
      <c r="D167" s="483"/>
      <c r="E167" s="476"/>
      <c r="F167" s="556"/>
      <c r="G167" s="476"/>
      <c r="H167" s="476"/>
      <c r="I167" s="476"/>
      <c r="J167" s="476"/>
      <c r="K167" s="477"/>
      <c r="L167" s="477"/>
      <c r="M167" s="477"/>
      <c r="N167" s="477"/>
      <c r="O167" s="477"/>
      <c r="P167" s="477"/>
      <c r="Q167" s="476"/>
      <c r="R167" s="478"/>
      <c r="S167" s="465"/>
      <c r="T167" s="463"/>
      <c r="U167" s="464"/>
      <c r="V167" s="464"/>
    </row>
    <row r="168" spans="1:45" s="102" customFormat="1" ht="12" customHeight="1">
      <c r="A168" s="117">
        <v>3</v>
      </c>
      <c r="B168" s="102" t="s">
        <v>252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6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  <c r="AS168" s="461"/>
    </row>
    <row r="169" spans="1:45" s="102" customFormat="1" ht="12" customHeight="1">
      <c r="A169" s="117">
        <v>6</v>
      </c>
      <c r="B169" s="102" t="s">
        <v>265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6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  <c r="AS169" s="461"/>
    </row>
    <row r="170" spans="1:45" s="102" customFormat="1" ht="12" customHeight="1">
      <c r="A170" s="117">
        <v>7</v>
      </c>
      <c r="B170" s="122" t="s">
        <v>254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6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  <c r="AS170" s="461"/>
    </row>
    <row r="171" spans="1:45" s="102" customFormat="1" ht="12" customHeight="1">
      <c r="A171" s="117">
        <v>11</v>
      </c>
      <c r="B171" s="102" t="s">
        <v>256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6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  <c r="AS171" s="461"/>
    </row>
    <row r="172" spans="1:45" s="102" customFormat="1" ht="12" customHeight="1">
      <c r="A172" s="117">
        <v>19</v>
      </c>
      <c r="B172" s="102" t="s">
        <v>260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6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  <c r="AS172" s="461"/>
    </row>
    <row r="173" spans="1:45" s="102" customFormat="1" ht="12" customHeight="1">
      <c r="A173" s="117">
        <v>20</v>
      </c>
      <c r="B173" s="102" t="s">
        <v>267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6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  <c r="AS173" s="461"/>
    </row>
    <row r="174" spans="1:45" s="102" customFormat="1" ht="12" customHeight="1">
      <c r="A174" s="117">
        <v>21</v>
      </c>
      <c r="B174" s="102" t="s">
        <v>261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6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  <c r="AS174" s="461"/>
    </row>
    <row r="175" spans="1:45" s="102" customFormat="1" ht="12" customHeight="1">
      <c r="A175" s="117">
        <v>25</v>
      </c>
      <c r="B175" s="122" t="s">
        <v>263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6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  <c r="AS175" s="461"/>
    </row>
    <row r="176" spans="1:45" s="102" customFormat="1" ht="12" customHeight="1">
      <c r="A176" s="118">
        <v>29</v>
      </c>
      <c r="B176" s="102" t="s">
        <v>295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6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  <c r="AS176" s="461"/>
    </row>
    <row r="177" spans="1:45" s="102" customFormat="1" ht="12" customHeight="1">
      <c r="A177" s="118">
        <v>30</v>
      </c>
      <c r="B177" s="102" t="s">
        <v>296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6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  <c r="AS177" s="461"/>
    </row>
    <row r="178" spans="1:45">
      <c r="A178" s="1">
        <v>200</v>
      </c>
      <c r="B178" s="62" t="s">
        <v>97</v>
      </c>
      <c r="C178" s="84"/>
      <c r="D178" s="554"/>
      <c r="E178" s="554" t="s">
        <v>401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2"/>
      <c r="T178" s="463"/>
      <c r="U178" s="464"/>
      <c r="V178" s="464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  <c r="AS178" s="460"/>
    </row>
    <row r="179" spans="1:45" s="460" customFormat="1" ht="17.25" customHeight="1">
      <c r="A179" s="473">
        <v>250</v>
      </c>
      <c r="B179" s="474" t="s">
        <v>30</v>
      </c>
      <c r="C179" s="481"/>
      <c r="D179" s="476"/>
      <c r="E179" s="476"/>
      <c r="F179" s="556"/>
      <c r="G179" s="476"/>
      <c r="H179" s="476"/>
      <c r="I179" s="476"/>
      <c r="J179" s="476"/>
      <c r="K179" s="477"/>
      <c r="L179" s="477"/>
      <c r="M179" s="477"/>
      <c r="N179" s="477"/>
      <c r="O179" s="477"/>
      <c r="P179" s="477"/>
      <c r="Q179" s="476"/>
      <c r="R179" s="478"/>
      <c r="S179" s="465"/>
      <c r="T179" s="463"/>
      <c r="U179" s="464"/>
      <c r="V179" s="464"/>
    </row>
    <row r="180" spans="1:45" s="102" customFormat="1" ht="12" customHeight="1">
      <c r="A180" s="118">
        <v>3</v>
      </c>
      <c r="B180" s="102" t="s">
        <v>252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  <c r="AS180" s="461"/>
    </row>
    <row r="181" spans="1:45" s="102" customFormat="1" ht="12" customHeight="1">
      <c r="A181" s="118">
        <v>5</v>
      </c>
      <c r="B181" s="102" t="s">
        <v>253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  <c r="AS181" s="461"/>
    </row>
    <row r="182" spans="1:45" s="102" customFormat="1" ht="12" customHeight="1">
      <c r="A182" s="118">
        <v>6</v>
      </c>
      <c r="B182" s="102" t="s">
        <v>265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  <c r="AS182" s="461"/>
    </row>
    <row r="183" spans="1:45" s="102" customFormat="1" ht="12" customHeight="1">
      <c r="A183" s="118">
        <v>7</v>
      </c>
      <c r="B183" s="102" t="s">
        <v>254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  <c r="AS183" s="461"/>
    </row>
    <row r="184" spans="1:45" s="102" customFormat="1" ht="12" customHeight="1">
      <c r="A184" s="118">
        <v>9</v>
      </c>
      <c r="B184" s="102" t="s">
        <v>255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  <c r="AS184" s="461"/>
    </row>
    <row r="185" spans="1:45" s="102" customFormat="1" ht="12" customHeight="1">
      <c r="A185" s="118">
        <v>11</v>
      </c>
      <c r="B185" s="102" t="s">
        <v>256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  <c r="AS185" s="461"/>
    </row>
    <row r="186" spans="1:45" s="102" customFormat="1" ht="12" customHeight="1">
      <c r="A186" s="118">
        <v>13</v>
      </c>
      <c r="B186" s="102" t="s">
        <v>257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  <c r="AS186" s="461"/>
    </row>
    <row r="187" spans="1:45" s="102" customFormat="1" ht="12" customHeight="1">
      <c r="A187" s="118">
        <v>15</v>
      </c>
      <c r="B187" s="102" t="s">
        <v>258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  <c r="AS187" s="461"/>
    </row>
    <row r="188" spans="1:45" s="102" customFormat="1" ht="12" customHeight="1">
      <c r="A188" s="118">
        <v>17</v>
      </c>
      <c r="B188" s="102" t="s">
        <v>259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  <c r="AS188" s="461"/>
    </row>
    <row r="189" spans="1:45" s="102" customFormat="1" ht="12" customHeight="1">
      <c r="A189" s="118">
        <v>18</v>
      </c>
      <c r="B189" s="102" t="s">
        <v>266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  <c r="AS189" s="461"/>
    </row>
    <row r="190" spans="1:45" s="102" customFormat="1" ht="12" customHeight="1">
      <c r="A190" s="118">
        <v>19</v>
      </c>
      <c r="B190" s="102" t="s">
        <v>260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  <c r="AS190" s="461"/>
    </row>
    <row r="191" spans="1:45" s="102" customFormat="1" ht="12" customHeight="1">
      <c r="A191" s="118">
        <v>20</v>
      </c>
      <c r="B191" s="102" t="s">
        <v>267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  <c r="AS191" s="461"/>
    </row>
    <row r="192" spans="1:45" s="102" customFormat="1" ht="12" customHeight="1">
      <c r="A192" s="118">
        <v>21</v>
      </c>
      <c r="B192" s="102" t="s">
        <v>261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  <c r="AS192" s="461"/>
    </row>
    <row r="193" spans="1:45" s="102" customFormat="1" ht="12" customHeight="1">
      <c r="A193" s="118">
        <v>22</v>
      </c>
      <c r="B193" s="102" t="s">
        <v>268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  <c r="AS193" s="461"/>
    </row>
    <row r="194" spans="1:45" s="102" customFormat="1" ht="12" customHeight="1">
      <c r="A194" s="118">
        <v>23</v>
      </c>
      <c r="B194" s="122" t="s">
        <v>297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  <c r="AS194" s="461"/>
    </row>
    <row r="195" spans="1:45" s="102" customFormat="1" ht="12" customHeight="1">
      <c r="A195" s="118">
        <v>24</v>
      </c>
      <c r="B195" s="102" t="s">
        <v>269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  <c r="AS195" s="461"/>
    </row>
    <row r="196" spans="1:45" s="102" customFormat="1" ht="12" customHeight="1">
      <c r="A196" s="118">
        <v>25</v>
      </c>
      <c r="B196" s="102" t="s">
        <v>263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  <c r="AS196" s="461"/>
    </row>
    <row r="197" spans="1:45" s="102" customFormat="1" ht="12" customHeight="1">
      <c r="A197" s="118">
        <v>27</v>
      </c>
      <c r="B197" s="102" t="s">
        <v>264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  <c r="AS197" s="461"/>
    </row>
    <row r="198" spans="1:45" s="102" customFormat="1" ht="12" customHeight="1">
      <c r="A198" s="118">
        <v>29</v>
      </c>
      <c r="B198" s="102" t="s">
        <v>295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  <c r="AS198" s="461"/>
    </row>
    <row r="199" spans="1:45" s="102" customFormat="1" ht="12" customHeight="1">
      <c r="A199" s="118">
        <v>30</v>
      </c>
      <c r="B199" s="102" t="s">
        <v>296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  <c r="AS199" s="461"/>
    </row>
    <row r="200" spans="1:45">
      <c r="A200" s="1">
        <v>200</v>
      </c>
      <c r="B200" s="62" t="s">
        <v>97</v>
      </c>
      <c r="C200" s="125"/>
      <c r="D200" s="554"/>
      <c r="E200" s="554" t="s">
        <v>401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2"/>
      <c r="T200" s="463"/>
      <c r="U200" s="464"/>
      <c r="V200" s="464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  <c r="AS200" s="460"/>
    </row>
    <row r="201" spans="1:45" s="460" customFormat="1" ht="17.25" customHeight="1">
      <c r="A201" s="473">
        <v>250</v>
      </c>
      <c r="B201" s="474" t="s">
        <v>31</v>
      </c>
      <c r="C201" s="480"/>
      <c r="D201" s="476"/>
      <c r="E201" s="476"/>
      <c r="F201" s="556"/>
      <c r="G201" s="476"/>
      <c r="H201" s="476"/>
      <c r="I201" s="476"/>
      <c r="J201" s="476"/>
      <c r="K201" s="477"/>
      <c r="L201" s="477"/>
      <c r="M201" s="477"/>
      <c r="N201" s="477"/>
      <c r="O201" s="477"/>
      <c r="P201" s="477"/>
      <c r="Q201" s="476"/>
      <c r="R201" s="478"/>
      <c r="S201" s="465"/>
      <c r="T201" s="463"/>
      <c r="U201" s="464"/>
      <c r="V201" s="464"/>
    </row>
    <row r="202" spans="1:45" s="102" customFormat="1" ht="12" customHeight="1">
      <c r="A202" s="117">
        <v>3</v>
      </c>
      <c r="B202" s="102" t="s">
        <v>252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6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  <c r="AS202" s="461"/>
    </row>
    <row r="203" spans="1:45" s="102" customFormat="1" ht="12" customHeight="1">
      <c r="A203" s="117">
        <v>6</v>
      </c>
      <c r="B203" s="102" t="s">
        <v>265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6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  <c r="AS203" s="461"/>
    </row>
    <row r="204" spans="1:45" s="102" customFormat="1" ht="12" customHeight="1">
      <c r="A204" s="117">
        <v>7</v>
      </c>
      <c r="B204" s="122" t="s">
        <v>254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6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  <c r="AS204" s="461"/>
    </row>
    <row r="205" spans="1:45" s="102" customFormat="1" ht="12" customHeight="1">
      <c r="A205" s="117">
        <v>11</v>
      </c>
      <c r="B205" s="102" t="s">
        <v>256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6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  <c r="AS205" s="461"/>
    </row>
    <row r="206" spans="1:45" s="102" customFormat="1" ht="12" customHeight="1">
      <c r="A206" s="117">
        <v>19</v>
      </c>
      <c r="B206" s="102" t="s">
        <v>260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6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  <c r="AS206" s="461"/>
    </row>
    <row r="207" spans="1:45" s="102" customFormat="1" ht="12" customHeight="1">
      <c r="A207" s="117">
        <v>20</v>
      </c>
      <c r="B207" s="102" t="s">
        <v>267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6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  <c r="AS207" s="461"/>
    </row>
    <row r="208" spans="1:45" s="102" customFormat="1" ht="12" customHeight="1">
      <c r="A208" s="117">
        <v>21</v>
      </c>
      <c r="B208" s="102" t="s">
        <v>261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6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  <c r="AS208" s="461"/>
    </row>
    <row r="209" spans="1:45" s="102" customFormat="1" ht="12" customHeight="1">
      <c r="A209" s="117">
        <v>25</v>
      </c>
      <c r="B209" s="122" t="s">
        <v>263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6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  <c r="AS209" s="461"/>
    </row>
    <row r="210" spans="1:45" s="102" customFormat="1" ht="12" customHeight="1">
      <c r="A210" s="118">
        <v>29</v>
      </c>
      <c r="B210" s="102" t="s">
        <v>295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6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  <c r="AS210" s="461"/>
    </row>
    <row r="211" spans="1:45" s="102" customFormat="1" ht="12" customHeight="1">
      <c r="A211" s="118">
        <v>30</v>
      </c>
      <c r="B211" s="102" t="s">
        <v>296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6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  <c r="AS211" s="461"/>
    </row>
    <row r="212" spans="1:45">
      <c r="A212" s="1">
        <v>200</v>
      </c>
      <c r="B212" s="62" t="s">
        <v>97</v>
      </c>
      <c r="C212" s="84"/>
      <c r="D212" s="554"/>
      <c r="E212" s="554" t="s">
        <v>401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2"/>
      <c r="T212" s="463"/>
      <c r="U212" s="464"/>
      <c r="V212" s="464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  <c r="AS212" s="460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8"/>
      <c r="T213" s="470"/>
      <c r="U213" s="464"/>
      <c r="V213" s="464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  <c r="AS213" s="460"/>
    </row>
    <row r="214" spans="1:45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76"/>
      <c r="R214" s="490"/>
      <c r="S214" s="468"/>
      <c r="T214" s="470"/>
      <c r="U214" s="464"/>
      <c r="V214" s="464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  <c r="AS214" s="460"/>
    </row>
    <row r="215" spans="1:45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76"/>
      <c r="R215" s="491"/>
      <c r="S215" s="471"/>
      <c r="T215" s="470"/>
      <c r="U215" s="464"/>
      <c r="V215" s="464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  <c r="AS215" s="460"/>
    </row>
    <row r="216" spans="1:45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728"/>
      <c r="R216" s="491"/>
      <c r="S216" s="471"/>
      <c r="T216" s="470"/>
      <c r="U216" s="464"/>
      <c r="V216" s="464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  <c r="AS216" s="460"/>
    </row>
    <row r="217" spans="1:45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728"/>
      <c r="R217" s="491"/>
      <c r="S217" s="470"/>
      <c r="T217" s="470"/>
      <c r="U217" s="464"/>
      <c r="V217" s="464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  <c r="AS217" s="460"/>
    </row>
    <row r="218" spans="1:45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729"/>
      <c r="R218" s="501"/>
      <c r="S218" s="472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  <c r="AS218" s="460"/>
    </row>
    <row r="219" spans="1:45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729"/>
      <c r="R219" s="501"/>
      <c r="S219" s="472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  <c r="AS219" s="460"/>
    </row>
    <row r="220" spans="1:45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729"/>
      <c r="R220" s="501"/>
      <c r="S220" s="472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  <c r="AS220" s="460"/>
    </row>
    <row r="221" spans="1:45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729"/>
      <c r="R221" s="501"/>
      <c r="S221" s="472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  <c r="AS221" s="460"/>
    </row>
    <row r="222" spans="1:45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729"/>
      <c r="R222" s="501"/>
      <c r="S222" s="472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  <c r="AS222" s="460"/>
    </row>
    <row r="223" spans="1:45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729"/>
      <c r="R223" s="501"/>
      <c r="S223" s="472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  <c r="AS223" s="460"/>
    </row>
    <row r="224" spans="1:45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6"/>
      <c r="R224" s="501"/>
      <c r="S224" s="472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  <c r="AS224" s="460"/>
    </row>
    <row r="225" spans="2:45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6"/>
      <c r="R225" s="501"/>
      <c r="S225" s="472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  <c r="AS225" s="460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30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30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1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1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1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1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1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1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1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1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1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1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1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1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1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30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30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1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1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4UqM7aJEUpmCmIp5wy2iYnUqMX0HKxsJZksH693O2fPI/VzDCvOnv+8AQmxdwNZVKCXeYNrMnLd6tX6sKGregg==" saltValue="4o6hp7NxNvuNUJhCFjFofg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77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427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6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128</v>
      </c>
      <c r="K3" s="183" t="s">
        <v>102</v>
      </c>
      <c r="L3" s="183" t="s">
        <v>10</v>
      </c>
      <c r="M3" s="183" t="s">
        <v>129</v>
      </c>
      <c r="N3" s="183" t="s">
        <v>103</v>
      </c>
      <c r="O3" s="183" t="s">
        <v>11</v>
      </c>
      <c r="P3" s="183" t="s">
        <v>372</v>
      </c>
      <c r="Q3" s="183" t="s">
        <v>270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271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252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253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265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254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255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256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257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258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259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266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260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267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261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268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297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269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263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264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295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179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296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252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265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254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256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260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267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261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263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295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296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252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148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253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265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254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149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255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256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257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258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259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266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260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267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261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148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268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297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269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148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263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264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149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295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149</v>
      </c>
      <c r="L58" s="195">
        <v>55</v>
      </c>
      <c r="M58" s="195">
        <v>1600</v>
      </c>
      <c r="N58" s="195" t="s">
        <v>148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296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149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252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265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254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149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256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149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260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267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261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148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263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295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149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296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149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252</v>
      </c>
      <c r="C74" s="266">
        <v>46154</v>
      </c>
      <c r="D74" s="192">
        <v>11.6</v>
      </c>
      <c r="E74" s="192">
        <v>8.4</v>
      </c>
      <c r="F74" s="214">
        <v>78</v>
      </c>
      <c r="G74" s="192">
        <v>7.7</v>
      </c>
      <c r="H74" s="192">
        <v>4.0999999999999996</v>
      </c>
      <c r="I74" s="192">
        <v>48.8</v>
      </c>
      <c r="J74" s="194">
        <v>2.5</v>
      </c>
      <c r="K74" s="195">
        <v>21</v>
      </c>
      <c r="L74" s="195">
        <v>65</v>
      </c>
      <c r="M74" s="195">
        <v>770</v>
      </c>
      <c r="N74" s="195">
        <v>110</v>
      </c>
      <c r="O74" s="195">
        <v>1300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253</v>
      </c>
      <c r="C75" s="266">
        <v>46154</v>
      </c>
      <c r="D75" s="192">
        <v>12.1</v>
      </c>
      <c r="E75" s="192">
        <v>9.9</v>
      </c>
      <c r="F75" s="214">
        <v>92</v>
      </c>
      <c r="G75" s="192">
        <v>7.8</v>
      </c>
      <c r="H75" s="192">
        <v>4</v>
      </c>
      <c r="I75" s="192">
        <v>52.5</v>
      </c>
      <c r="J75" s="194">
        <v>2.4</v>
      </c>
      <c r="K75" s="195">
        <v>8.6999999999999993</v>
      </c>
      <c r="L75" s="195">
        <v>54</v>
      </c>
      <c r="M75" s="195">
        <v>550</v>
      </c>
      <c r="N75" s="195">
        <v>71</v>
      </c>
      <c r="O75" s="195">
        <v>1200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265</v>
      </c>
      <c r="C76" s="266">
        <v>46154</v>
      </c>
      <c r="D76" s="192">
        <v>10.7</v>
      </c>
      <c r="E76" s="192">
        <v>8.4</v>
      </c>
      <c r="F76" s="214">
        <v>76</v>
      </c>
      <c r="G76" s="192">
        <v>7.7</v>
      </c>
      <c r="H76" s="192">
        <v>4.4000000000000004</v>
      </c>
      <c r="I76" s="192">
        <v>47.4</v>
      </c>
      <c r="J76" s="194">
        <v>3</v>
      </c>
      <c r="K76" s="195">
        <v>23</v>
      </c>
      <c r="L76" s="195">
        <v>62</v>
      </c>
      <c r="M76" s="195">
        <v>920</v>
      </c>
      <c r="N76" s="195">
        <v>320</v>
      </c>
      <c r="O76" s="195">
        <v>1700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254</v>
      </c>
      <c r="C77" s="266">
        <v>46153</v>
      </c>
      <c r="D77" s="192">
        <v>12.3</v>
      </c>
      <c r="E77" s="192">
        <v>11.21</v>
      </c>
      <c r="F77" s="214">
        <v>105</v>
      </c>
      <c r="G77" s="192">
        <v>8.1999999999999993</v>
      </c>
      <c r="H77" s="192">
        <v>1.9</v>
      </c>
      <c r="I77" s="192">
        <v>41.6</v>
      </c>
      <c r="J77" s="194">
        <v>2.4</v>
      </c>
      <c r="K77" s="195">
        <v>2.2999999999999998</v>
      </c>
      <c r="L77" s="195">
        <v>26</v>
      </c>
      <c r="M77" s="195">
        <v>1100</v>
      </c>
      <c r="N77" s="195">
        <v>37</v>
      </c>
      <c r="O77" s="195">
        <v>1700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255</v>
      </c>
      <c r="C78" s="266">
        <v>46153</v>
      </c>
      <c r="D78" s="192">
        <v>9.5</v>
      </c>
      <c r="E78" s="192">
        <v>8.9700000000000006</v>
      </c>
      <c r="F78" s="214">
        <v>79</v>
      </c>
      <c r="G78" s="192">
        <v>7.7</v>
      </c>
      <c r="H78" s="192">
        <v>2.1</v>
      </c>
      <c r="I78" s="192">
        <v>53.3</v>
      </c>
      <c r="J78" s="194">
        <v>3</v>
      </c>
      <c r="K78" s="195">
        <v>33</v>
      </c>
      <c r="L78" s="195">
        <v>89</v>
      </c>
      <c r="M78" s="195">
        <v>1500</v>
      </c>
      <c r="N78" s="195">
        <v>56</v>
      </c>
      <c r="O78" s="195">
        <v>2000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256</v>
      </c>
      <c r="C79" s="266">
        <v>46153</v>
      </c>
      <c r="D79" s="192">
        <v>10.199999999999999</v>
      </c>
      <c r="E79" s="192">
        <v>10.47</v>
      </c>
      <c r="F79" s="214">
        <v>94</v>
      </c>
      <c r="G79" s="192">
        <v>8</v>
      </c>
      <c r="H79" s="192">
        <v>2.6</v>
      </c>
      <c r="I79" s="192">
        <v>56.9</v>
      </c>
      <c r="J79" s="194">
        <v>1.9</v>
      </c>
      <c r="K79" s="195">
        <v>3.7</v>
      </c>
      <c r="L79" s="195">
        <v>24</v>
      </c>
      <c r="M79" s="195">
        <v>1600</v>
      </c>
      <c r="N79" s="195">
        <v>15</v>
      </c>
      <c r="O79" s="195">
        <v>1800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257</v>
      </c>
      <c r="C80" s="266">
        <v>46153</v>
      </c>
      <c r="D80" s="192">
        <v>9.3000000000000007</v>
      </c>
      <c r="E80" s="192">
        <v>11.02</v>
      </c>
      <c r="F80" s="214">
        <v>96</v>
      </c>
      <c r="G80" s="192">
        <v>8</v>
      </c>
      <c r="H80" s="192">
        <v>1.7</v>
      </c>
      <c r="I80" s="192">
        <v>51.8</v>
      </c>
      <c r="J80" s="194">
        <v>3.6</v>
      </c>
      <c r="K80" s="195">
        <v>3.9</v>
      </c>
      <c r="L80" s="195">
        <v>40</v>
      </c>
      <c r="M80" s="195">
        <v>1900</v>
      </c>
      <c r="N80" s="195">
        <v>120</v>
      </c>
      <c r="O80" s="195">
        <v>2400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258</v>
      </c>
      <c r="C81" s="266">
        <v>46153</v>
      </c>
      <c r="D81" s="192">
        <v>9.4</v>
      </c>
      <c r="E81" s="192">
        <v>10.888999999999999</v>
      </c>
      <c r="F81" s="214">
        <v>95</v>
      </c>
      <c r="G81" s="192">
        <v>8</v>
      </c>
      <c r="H81" s="192">
        <v>2</v>
      </c>
      <c r="I81" s="192">
        <v>62.2</v>
      </c>
      <c r="J81" s="194">
        <v>2.8</v>
      </c>
      <c r="K81" s="195">
        <v>4.2</v>
      </c>
      <c r="L81" s="195">
        <v>28</v>
      </c>
      <c r="M81" s="195">
        <v>2000</v>
      </c>
      <c r="N81" s="195">
        <v>44</v>
      </c>
      <c r="O81" s="195">
        <v>2300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259</v>
      </c>
      <c r="C82" s="266">
        <v>46153</v>
      </c>
      <c r="D82" s="192">
        <v>8.6999999999999993</v>
      </c>
      <c r="E82" s="192">
        <v>11.07</v>
      </c>
      <c r="F82" s="214">
        <v>95</v>
      </c>
      <c r="G82" s="192">
        <v>7.9</v>
      </c>
      <c r="H82" s="192">
        <v>3.4</v>
      </c>
      <c r="I82" s="192">
        <v>44.7</v>
      </c>
      <c r="J82" s="194">
        <v>2.2999999999999998</v>
      </c>
      <c r="K82" s="195">
        <v>6.1</v>
      </c>
      <c r="L82" s="195">
        <v>30</v>
      </c>
      <c r="M82" s="195">
        <v>980</v>
      </c>
      <c r="N82" s="195">
        <v>61</v>
      </c>
      <c r="O82" s="195">
        <v>1300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266</v>
      </c>
      <c r="C83" s="266">
        <v>46153</v>
      </c>
      <c r="D83" s="192">
        <v>8.3000000000000007</v>
      </c>
      <c r="E83" s="192">
        <v>11.61</v>
      </c>
      <c r="F83" s="214">
        <v>99</v>
      </c>
      <c r="G83" s="192">
        <v>8.1999999999999993</v>
      </c>
      <c r="H83" s="192">
        <v>0.81</v>
      </c>
      <c r="I83" s="192">
        <v>59.1</v>
      </c>
      <c r="J83" s="194">
        <v>2.2999999999999998</v>
      </c>
      <c r="K83" s="195" t="s">
        <v>149</v>
      </c>
      <c r="L83" s="195">
        <v>24</v>
      </c>
      <c r="M83" s="195">
        <v>1900</v>
      </c>
      <c r="N83" s="195" t="s">
        <v>148</v>
      </c>
      <c r="O83" s="195">
        <v>2300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260</v>
      </c>
      <c r="C84" s="266">
        <v>46154</v>
      </c>
      <c r="D84" s="192">
        <v>10.1</v>
      </c>
      <c r="E84" s="192">
        <v>8.4</v>
      </c>
      <c r="F84" s="214">
        <v>75</v>
      </c>
      <c r="G84" s="192">
        <v>7.6</v>
      </c>
      <c r="H84" s="192">
        <v>4.5999999999999996</v>
      </c>
      <c r="I84" s="192">
        <v>70.400000000000006</v>
      </c>
      <c r="J84" s="194">
        <v>4.2</v>
      </c>
      <c r="K84" s="195">
        <v>41</v>
      </c>
      <c r="L84" s="195">
        <v>100</v>
      </c>
      <c r="M84" s="195">
        <v>1300</v>
      </c>
      <c r="N84" s="195">
        <v>310</v>
      </c>
      <c r="O84" s="195">
        <v>2200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267</v>
      </c>
      <c r="C85" s="266">
        <v>46154</v>
      </c>
      <c r="D85" s="192">
        <v>8.9</v>
      </c>
      <c r="E85" s="192">
        <v>10.7</v>
      </c>
      <c r="F85" s="214">
        <v>93</v>
      </c>
      <c r="G85" s="192">
        <v>7.8</v>
      </c>
      <c r="H85" s="192">
        <v>3</v>
      </c>
      <c r="I85" s="192">
        <v>67.8</v>
      </c>
      <c r="J85" s="194">
        <v>3.9</v>
      </c>
      <c r="K85" s="195">
        <v>40</v>
      </c>
      <c r="L85" s="195">
        <v>88</v>
      </c>
      <c r="M85" s="195">
        <v>1700</v>
      </c>
      <c r="N85" s="195">
        <v>430</v>
      </c>
      <c r="O85" s="195">
        <v>2400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261</v>
      </c>
      <c r="C86" s="266">
        <v>46154</v>
      </c>
      <c r="D86" s="192">
        <v>8.9</v>
      </c>
      <c r="E86" s="192">
        <v>10.4</v>
      </c>
      <c r="F86" s="214">
        <v>90</v>
      </c>
      <c r="G86" s="192">
        <v>7.9</v>
      </c>
      <c r="H86" s="192">
        <v>2.9</v>
      </c>
      <c r="I86" s="192">
        <v>54.7</v>
      </c>
      <c r="J86" s="194">
        <v>2.6</v>
      </c>
      <c r="K86" s="195">
        <v>37</v>
      </c>
      <c r="L86" s="195">
        <v>76</v>
      </c>
      <c r="M86" s="195">
        <v>1600</v>
      </c>
      <c r="N86" s="195">
        <v>46</v>
      </c>
      <c r="O86" s="195">
        <v>2100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268</v>
      </c>
      <c r="C87" s="266">
        <v>46153</v>
      </c>
      <c r="D87" s="192">
        <v>9.1</v>
      </c>
      <c r="E87" s="192">
        <v>9.5</v>
      </c>
      <c r="F87" s="214">
        <v>83</v>
      </c>
      <c r="G87" s="192">
        <v>7.9</v>
      </c>
      <c r="H87" s="192">
        <v>2.2000000000000002</v>
      </c>
      <c r="I87" s="192">
        <v>45.2</v>
      </c>
      <c r="J87" s="194">
        <v>2.1</v>
      </c>
      <c r="K87" s="195">
        <v>30</v>
      </c>
      <c r="L87" s="195">
        <v>61</v>
      </c>
      <c r="M87" s="195">
        <v>1100</v>
      </c>
      <c r="N87" s="195">
        <v>32</v>
      </c>
      <c r="O87" s="195">
        <v>1600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297</v>
      </c>
      <c r="C88" s="266">
        <v>46154</v>
      </c>
      <c r="D88" s="192">
        <v>8.6999999999999993</v>
      </c>
      <c r="E88" s="192">
        <v>9.6999999999999993</v>
      </c>
      <c r="F88" s="214">
        <v>84</v>
      </c>
      <c r="G88" s="192">
        <v>7.7</v>
      </c>
      <c r="H88" s="192">
        <v>5.2</v>
      </c>
      <c r="I88" s="192">
        <v>63.5</v>
      </c>
      <c r="J88" s="194">
        <v>2.6</v>
      </c>
      <c r="K88" s="195">
        <v>25</v>
      </c>
      <c r="L88" s="195">
        <v>59</v>
      </c>
      <c r="M88" s="195">
        <v>1900</v>
      </c>
      <c r="N88" s="195">
        <v>74</v>
      </c>
      <c r="O88" s="195">
        <v>2300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269</v>
      </c>
      <c r="C89" s="266">
        <v>46154</v>
      </c>
      <c r="D89" s="192">
        <v>9</v>
      </c>
      <c r="E89" s="192">
        <v>10.4</v>
      </c>
      <c r="F89" s="214">
        <v>90</v>
      </c>
      <c r="G89" s="192">
        <v>7.8</v>
      </c>
      <c r="H89" s="192">
        <v>5.5</v>
      </c>
      <c r="I89" s="192">
        <v>64.599999999999994</v>
      </c>
      <c r="J89" s="194">
        <v>2.6</v>
      </c>
      <c r="K89" s="195">
        <v>25</v>
      </c>
      <c r="L89" s="195">
        <v>62</v>
      </c>
      <c r="M89" s="195">
        <v>1900</v>
      </c>
      <c r="N89" s="195">
        <v>44</v>
      </c>
      <c r="O89" s="195">
        <v>2300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263</v>
      </c>
      <c r="C90" s="266">
        <v>46153</v>
      </c>
      <c r="D90" s="192">
        <v>10.1</v>
      </c>
      <c r="E90" s="192">
        <v>8.92</v>
      </c>
      <c r="F90" s="214">
        <v>79</v>
      </c>
      <c r="G90" s="192">
        <v>7.8</v>
      </c>
      <c r="H90" s="192">
        <v>4.0999999999999996</v>
      </c>
      <c r="I90" s="192">
        <v>42.4</v>
      </c>
      <c r="J90" s="194">
        <v>2</v>
      </c>
      <c r="K90" s="195">
        <v>9.8000000000000007</v>
      </c>
      <c r="L90" s="195">
        <v>58</v>
      </c>
      <c r="M90" s="195">
        <v>320</v>
      </c>
      <c r="N90" s="195">
        <v>24</v>
      </c>
      <c r="O90" s="195">
        <v>930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264</v>
      </c>
      <c r="C91" s="266">
        <v>46153</v>
      </c>
      <c r="D91" s="192">
        <v>13.6</v>
      </c>
      <c r="E91" s="192">
        <v>9.83</v>
      </c>
      <c r="F91" s="214">
        <v>95</v>
      </c>
      <c r="G91" s="192">
        <v>8.1999999999999993</v>
      </c>
      <c r="H91" s="192">
        <v>6.9</v>
      </c>
      <c r="I91" s="192">
        <v>35.700000000000003</v>
      </c>
      <c r="J91" s="194">
        <v>3.1</v>
      </c>
      <c r="K91" s="195" t="s">
        <v>149</v>
      </c>
      <c r="L91" s="195">
        <v>58</v>
      </c>
      <c r="M91" s="195">
        <v>410</v>
      </c>
      <c r="N91" s="195">
        <v>51</v>
      </c>
      <c r="O91" s="195">
        <v>1400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295</v>
      </c>
      <c r="C92" s="266">
        <v>46153</v>
      </c>
      <c r="D92" s="192">
        <v>13</v>
      </c>
      <c r="E92" s="192">
        <v>10.1</v>
      </c>
      <c r="F92" s="214">
        <v>96</v>
      </c>
      <c r="G92" s="192">
        <v>8.1</v>
      </c>
      <c r="H92" s="192">
        <v>3.5</v>
      </c>
      <c r="I92" s="192">
        <v>43.3</v>
      </c>
      <c r="J92" s="194" t="s">
        <v>18</v>
      </c>
      <c r="K92" s="195" t="s">
        <v>149</v>
      </c>
      <c r="L92" s="195">
        <v>25</v>
      </c>
      <c r="M92" s="195">
        <v>1300</v>
      </c>
      <c r="N92" s="195">
        <v>68</v>
      </c>
      <c r="O92" s="195">
        <v>1800</v>
      </c>
      <c r="P92" s="195">
        <v>6.3</v>
      </c>
      <c r="Q92" s="192">
        <f>IF(Indata!Q96="","",Indata!Q96)</f>
        <v>3</v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296</v>
      </c>
      <c r="C93" s="266">
        <v>46153</v>
      </c>
      <c r="D93" s="192">
        <v>11.7</v>
      </c>
      <c r="E93" s="192">
        <v>5.04</v>
      </c>
      <c r="F93" s="214">
        <v>47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>
        <v>5.6</v>
      </c>
      <c r="L93" s="195">
        <v>43</v>
      </c>
      <c r="M93" s="195">
        <v>990</v>
      </c>
      <c r="N93" s="195">
        <v>230</v>
      </c>
      <c r="O93" s="195">
        <v>1500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252</v>
      </c>
      <c r="C96" s="266">
        <v>46183</v>
      </c>
      <c r="D96" s="192">
        <v>18.5</v>
      </c>
      <c r="E96" s="192">
        <v>7.38</v>
      </c>
      <c r="F96" s="214">
        <v>79</v>
      </c>
      <c r="G96" s="192">
        <v>7.8</v>
      </c>
      <c r="H96" s="192">
        <v>1.4</v>
      </c>
      <c r="I96" s="192">
        <v>55</v>
      </c>
      <c r="J96" s="194">
        <v>1</v>
      </c>
      <c r="K96" s="195">
        <v>48</v>
      </c>
      <c r="L96" s="195">
        <v>84</v>
      </c>
      <c r="M96" s="195">
        <v>810</v>
      </c>
      <c r="N96" s="195">
        <v>64</v>
      </c>
      <c r="O96" s="195">
        <v>1400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265</v>
      </c>
      <c r="C97" s="266">
        <v>46183</v>
      </c>
      <c r="D97" s="192">
        <v>16.7</v>
      </c>
      <c r="E97" s="192">
        <v>8.0299999999999994</v>
      </c>
      <c r="F97" s="214">
        <v>83</v>
      </c>
      <c r="G97" s="192">
        <v>7.7</v>
      </c>
      <c r="H97" s="192">
        <v>2.1</v>
      </c>
      <c r="I97" s="192">
        <v>46.9</v>
      </c>
      <c r="J97" s="194">
        <v>2</v>
      </c>
      <c r="K97" s="195">
        <v>17</v>
      </c>
      <c r="L97" s="195">
        <v>53</v>
      </c>
      <c r="M97" s="195">
        <v>650</v>
      </c>
      <c r="N97" s="195">
        <v>200</v>
      </c>
      <c r="O97" s="195">
        <v>1400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254</v>
      </c>
      <c r="C98" s="266">
        <v>46183</v>
      </c>
      <c r="D98" s="192">
        <v>16.600000000000001</v>
      </c>
      <c r="E98" s="192">
        <v>10.68</v>
      </c>
      <c r="F98" s="214">
        <v>110</v>
      </c>
      <c r="G98" s="192">
        <v>8.4</v>
      </c>
      <c r="H98" s="192">
        <v>2</v>
      </c>
      <c r="I98" s="192">
        <v>40.1</v>
      </c>
      <c r="J98" s="194">
        <v>1.6</v>
      </c>
      <c r="K98" s="195" t="s">
        <v>149</v>
      </c>
      <c r="L98" s="195">
        <v>22</v>
      </c>
      <c r="M98" s="195">
        <v>820</v>
      </c>
      <c r="N98" s="195">
        <v>32</v>
      </c>
      <c r="O98" s="195">
        <v>1300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256</v>
      </c>
      <c r="C99" s="266">
        <v>46183</v>
      </c>
      <c r="D99" s="192">
        <v>14.9</v>
      </c>
      <c r="E99" s="192">
        <v>8.81</v>
      </c>
      <c r="F99" s="214">
        <v>87</v>
      </c>
      <c r="G99" s="192">
        <v>7.9</v>
      </c>
      <c r="H99" s="192">
        <v>3</v>
      </c>
      <c r="I99" s="192">
        <v>54.5</v>
      </c>
      <c r="J99" s="194">
        <v>2.4</v>
      </c>
      <c r="K99" s="195">
        <v>38</v>
      </c>
      <c r="L99" s="195">
        <v>74</v>
      </c>
      <c r="M99" s="195">
        <v>1400</v>
      </c>
      <c r="N99" s="195">
        <v>43</v>
      </c>
      <c r="O99" s="195">
        <v>2100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260</v>
      </c>
      <c r="C100" s="266">
        <v>46183</v>
      </c>
      <c r="D100" s="192">
        <v>15.5</v>
      </c>
      <c r="E100" s="192">
        <v>7.08</v>
      </c>
      <c r="F100" s="214">
        <v>71</v>
      </c>
      <c r="G100" s="192">
        <v>7.8</v>
      </c>
      <c r="H100" s="192">
        <v>1.6</v>
      </c>
      <c r="I100" s="192">
        <v>65.900000000000006</v>
      </c>
      <c r="J100" s="194">
        <v>1.6</v>
      </c>
      <c r="K100" s="195">
        <v>120</v>
      </c>
      <c r="L100" s="195">
        <v>170</v>
      </c>
      <c r="M100" s="195">
        <v>1200</v>
      </c>
      <c r="N100" s="195">
        <v>55</v>
      </c>
      <c r="O100" s="195">
        <v>2000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267</v>
      </c>
      <c r="C101" s="266">
        <v>46183</v>
      </c>
      <c r="D101" s="192">
        <v>15.5</v>
      </c>
      <c r="E101" s="192">
        <v>8.84</v>
      </c>
      <c r="F101" s="214">
        <v>89</v>
      </c>
      <c r="G101" s="192">
        <v>7.9</v>
      </c>
      <c r="H101" s="192">
        <v>1.8</v>
      </c>
      <c r="I101" s="192">
        <v>62.6</v>
      </c>
      <c r="J101" s="194">
        <v>2</v>
      </c>
      <c r="K101" s="195">
        <v>91</v>
      </c>
      <c r="L101" s="195">
        <v>150</v>
      </c>
      <c r="M101" s="195">
        <v>1200</v>
      </c>
      <c r="N101" s="195">
        <v>460</v>
      </c>
      <c r="O101" s="195">
        <v>2200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261</v>
      </c>
      <c r="C102" s="266">
        <v>46183</v>
      </c>
      <c r="D102" s="192">
        <v>14.6</v>
      </c>
      <c r="E102" s="192">
        <v>9.49</v>
      </c>
      <c r="F102" s="214">
        <v>94</v>
      </c>
      <c r="G102" s="192">
        <v>8</v>
      </c>
      <c r="H102" s="192">
        <v>1.4</v>
      </c>
      <c r="I102" s="192">
        <v>55</v>
      </c>
      <c r="J102" s="194">
        <v>1.4</v>
      </c>
      <c r="K102" s="195">
        <v>130</v>
      </c>
      <c r="L102" s="195">
        <v>160</v>
      </c>
      <c r="M102" s="195">
        <v>520</v>
      </c>
      <c r="N102" s="195">
        <v>37</v>
      </c>
      <c r="O102" s="195">
        <v>1000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263</v>
      </c>
      <c r="C103" s="266">
        <v>46183</v>
      </c>
      <c r="D103" s="192">
        <v>14.6</v>
      </c>
      <c r="E103" s="192">
        <v>8.26</v>
      </c>
      <c r="F103" s="214">
        <v>81</v>
      </c>
      <c r="G103" s="192">
        <v>7.9</v>
      </c>
      <c r="H103" s="192">
        <v>11</v>
      </c>
      <c r="I103" s="192">
        <v>42.7</v>
      </c>
      <c r="J103" s="194">
        <v>1.8</v>
      </c>
      <c r="K103" s="195">
        <v>34</v>
      </c>
      <c r="L103" s="195">
        <v>96</v>
      </c>
      <c r="M103" s="195">
        <v>83</v>
      </c>
      <c r="N103" s="195">
        <v>45</v>
      </c>
      <c r="O103" s="195">
        <v>940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295</v>
      </c>
      <c r="C104" s="266">
        <v>46183</v>
      </c>
      <c r="D104" s="192">
        <v>17.600000000000001</v>
      </c>
      <c r="E104" s="192">
        <v>10.199999999999999</v>
      </c>
      <c r="F104" s="214">
        <v>107</v>
      </c>
      <c r="G104" s="192">
        <v>8.4</v>
      </c>
      <c r="H104" s="192">
        <v>1.6</v>
      </c>
      <c r="I104" s="192">
        <v>41.8</v>
      </c>
      <c r="J104" s="194" t="s">
        <v>18</v>
      </c>
      <c r="K104" s="195" t="s">
        <v>149</v>
      </c>
      <c r="L104" s="195">
        <v>23</v>
      </c>
      <c r="M104" s="195">
        <v>1000</v>
      </c>
      <c r="N104" s="195">
        <v>51</v>
      </c>
      <c r="O104" s="195">
        <v>1500</v>
      </c>
      <c r="P104" s="195">
        <v>9.6999999999999993</v>
      </c>
      <c r="Q104" s="192">
        <f>IF(Indata!Q108="","",Indata!Q108)</f>
        <v>3.2</v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296</v>
      </c>
      <c r="C105" s="266">
        <v>46183</v>
      </c>
      <c r="D105" s="192">
        <v>16.5</v>
      </c>
      <c r="E105" s="192">
        <v>4.7</v>
      </c>
      <c r="F105" s="214">
        <v>48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>
        <v>24</v>
      </c>
      <c r="L105" s="195">
        <v>84</v>
      </c>
      <c r="M105" s="195">
        <v>700</v>
      </c>
      <c r="N105" s="195">
        <v>360</v>
      </c>
      <c r="O105" s="195">
        <v>1800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252</v>
      </c>
      <c r="C108" s="266" t="s">
        <v>18</v>
      </c>
      <c r="D108" s="192" t="s">
        <v>18</v>
      </c>
      <c r="E108" s="192" t="s">
        <v>18</v>
      </c>
      <c r="F108" s="214" t="s">
        <v>18</v>
      </c>
      <c r="G108" s="192" t="s">
        <v>18</v>
      </c>
      <c r="H108" s="192" t="s">
        <v>18</v>
      </c>
      <c r="I108" s="192" t="s">
        <v>18</v>
      </c>
      <c r="J108" s="194" t="s">
        <v>18</v>
      </c>
      <c r="K108" s="195" t="s">
        <v>18</v>
      </c>
      <c r="L108" s="195" t="s">
        <v>18</v>
      </c>
      <c r="M108" s="195" t="s">
        <v>18</v>
      </c>
      <c r="N108" s="195" t="s">
        <v>18</v>
      </c>
      <c r="O108" s="195" t="s">
        <v>18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253</v>
      </c>
      <c r="C109" s="266" t="s">
        <v>18</v>
      </c>
      <c r="D109" s="192" t="s">
        <v>18</v>
      </c>
      <c r="E109" s="192" t="s">
        <v>18</v>
      </c>
      <c r="F109" s="214" t="s">
        <v>18</v>
      </c>
      <c r="G109" s="192" t="s">
        <v>18</v>
      </c>
      <c r="H109" s="192" t="s">
        <v>18</v>
      </c>
      <c r="I109" s="192" t="s">
        <v>18</v>
      </c>
      <c r="J109" s="194" t="s">
        <v>18</v>
      </c>
      <c r="K109" s="195" t="s">
        <v>18</v>
      </c>
      <c r="L109" s="195" t="s">
        <v>18</v>
      </c>
      <c r="M109" s="195" t="s">
        <v>18</v>
      </c>
      <c r="N109" s="195" t="s">
        <v>18</v>
      </c>
      <c r="O109" s="195" t="s">
        <v>18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265</v>
      </c>
      <c r="C110" s="266" t="s">
        <v>18</v>
      </c>
      <c r="D110" s="192" t="s">
        <v>18</v>
      </c>
      <c r="E110" s="192" t="s">
        <v>18</v>
      </c>
      <c r="F110" s="214" t="s">
        <v>18</v>
      </c>
      <c r="G110" s="192" t="s">
        <v>18</v>
      </c>
      <c r="H110" s="192" t="s">
        <v>18</v>
      </c>
      <c r="I110" s="192" t="s">
        <v>18</v>
      </c>
      <c r="J110" s="194" t="s">
        <v>18</v>
      </c>
      <c r="K110" s="195" t="s">
        <v>18</v>
      </c>
      <c r="L110" s="195" t="s">
        <v>18</v>
      </c>
      <c r="M110" s="195" t="s">
        <v>18</v>
      </c>
      <c r="N110" s="195" t="s">
        <v>18</v>
      </c>
      <c r="O110" s="195" t="s">
        <v>18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254</v>
      </c>
      <c r="C111" s="266" t="s">
        <v>18</v>
      </c>
      <c r="D111" s="192" t="s">
        <v>18</v>
      </c>
      <c r="E111" s="192" t="s">
        <v>18</v>
      </c>
      <c r="F111" s="214" t="s">
        <v>18</v>
      </c>
      <c r="G111" s="192" t="s">
        <v>18</v>
      </c>
      <c r="H111" s="192" t="s">
        <v>18</v>
      </c>
      <c r="I111" s="192" t="s">
        <v>18</v>
      </c>
      <c r="J111" s="194" t="s">
        <v>18</v>
      </c>
      <c r="K111" s="195" t="s">
        <v>18</v>
      </c>
      <c r="L111" s="195" t="s">
        <v>18</v>
      </c>
      <c r="M111" s="195" t="s">
        <v>18</v>
      </c>
      <c r="N111" s="195" t="s">
        <v>18</v>
      </c>
      <c r="O111" s="195" t="s">
        <v>18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255</v>
      </c>
      <c r="C112" s="266" t="s">
        <v>18</v>
      </c>
      <c r="D112" s="192" t="s">
        <v>18</v>
      </c>
      <c r="E112" s="192" t="s">
        <v>18</v>
      </c>
      <c r="F112" s="214" t="s">
        <v>18</v>
      </c>
      <c r="G112" s="192" t="s">
        <v>18</v>
      </c>
      <c r="H112" s="192" t="s">
        <v>18</v>
      </c>
      <c r="I112" s="192" t="s">
        <v>18</v>
      </c>
      <c r="J112" s="194" t="s">
        <v>18</v>
      </c>
      <c r="K112" s="195" t="s">
        <v>18</v>
      </c>
      <c r="L112" s="195" t="s">
        <v>18</v>
      </c>
      <c r="M112" s="195" t="s">
        <v>18</v>
      </c>
      <c r="N112" s="195" t="s">
        <v>18</v>
      </c>
      <c r="O112" s="195" t="s">
        <v>18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256</v>
      </c>
      <c r="C113" s="266" t="s">
        <v>18</v>
      </c>
      <c r="D113" s="192" t="s">
        <v>18</v>
      </c>
      <c r="E113" s="192" t="s">
        <v>18</v>
      </c>
      <c r="F113" s="214" t="s">
        <v>18</v>
      </c>
      <c r="G113" s="192" t="s">
        <v>18</v>
      </c>
      <c r="H113" s="192" t="s">
        <v>18</v>
      </c>
      <c r="I113" s="192" t="s">
        <v>18</v>
      </c>
      <c r="J113" s="194" t="s">
        <v>18</v>
      </c>
      <c r="K113" s="195" t="s">
        <v>18</v>
      </c>
      <c r="L113" s="195" t="s">
        <v>18</v>
      </c>
      <c r="M113" s="195" t="s">
        <v>18</v>
      </c>
      <c r="N113" s="195" t="s">
        <v>18</v>
      </c>
      <c r="O113" s="195" t="s">
        <v>18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257</v>
      </c>
      <c r="C114" s="266" t="s">
        <v>18</v>
      </c>
      <c r="D114" s="192" t="s">
        <v>18</v>
      </c>
      <c r="E114" s="192" t="s">
        <v>18</v>
      </c>
      <c r="F114" s="214" t="s">
        <v>18</v>
      </c>
      <c r="G114" s="192" t="s">
        <v>18</v>
      </c>
      <c r="H114" s="192" t="s">
        <v>18</v>
      </c>
      <c r="I114" s="192" t="s">
        <v>18</v>
      </c>
      <c r="J114" s="194" t="s">
        <v>18</v>
      </c>
      <c r="K114" s="195" t="s">
        <v>18</v>
      </c>
      <c r="L114" s="195" t="s">
        <v>18</v>
      </c>
      <c r="M114" s="195" t="s">
        <v>18</v>
      </c>
      <c r="N114" s="195" t="s">
        <v>18</v>
      </c>
      <c r="O114" s="195" t="s">
        <v>18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258</v>
      </c>
      <c r="C115" s="266" t="s">
        <v>18</v>
      </c>
      <c r="D115" s="192" t="s">
        <v>18</v>
      </c>
      <c r="E115" s="192" t="s">
        <v>18</v>
      </c>
      <c r="F115" s="214" t="s">
        <v>18</v>
      </c>
      <c r="G115" s="192" t="s">
        <v>18</v>
      </c>
      <c r="H115" s="192" t="s">
        <v>18</v>
      </c>
      <c r="I115" s="192" t="s">
        <v>18</v>
      </c>
      <c r="J115" s="194" t="s">
        <v>18</v>
      </c>
      <c r="K115" s="195" t="s">
        <v>18</v>
      </c>
      <c r="L115" s="195" t="s">
        <v>18</v>
      </c>
      <c r="M115" s="195" t="s">
        <v>18</v>
      </c>
      <c r="N115" s="195" t="s">
        <v>18</v>
      </c>
      <c r="O115" s="195" t="s">
        <v>18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259</v>
      </c>
      <c r="C116" s="266" t="s">
        <v>18</v>
      </c>
      <c r="D116" s="192" t="s">
        <v>18</v>
      </c>
      <c r="E116" s="192" t="s">
        <v>18</v>
      </c>
      <c r="F116" s="214" t="s">
        <v>18</v>
      </c>
      <c r="G116" s="192" t="s">
        <v>18</v>
      </c>
      <c r="H116" s="192" t="s">
        <v>18</v>
      </c>
      <c r="I116" s="192" t="s">
        <v>18</v>
      </c>
      <c r="J116" s="194" t="s">
        <v>18</v>
      </c>
      <c r="K116" s="195" t="s">
        <v>18</v>
      </c>
      <c r="L116" s="195" t="s">
        <v>18</v>
      </c>
      <c r="M116" s="195" t="s">
        <v>18</v>
      </c>
      <c r="N116" s="195" t="s">
        <v>18</v>
      </c>
      <c r="O116" s="195" t="s">
        <v>18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266</v>
      </c>
      <c r="C117" s="266" t="s">
        <v>18</v>
      </c>
      <c r="D117" s="192" t="s">
        <v>18</v>
      </c>
      <c r="E117" s="192" t="s">
        <v>18</v>
      </c>
      <c r="F117" s="214" t="s">
        <v>18</v>
      </c>
      <c r="G117" s="192" t="s">
        <v>18</v>
      </c>
      <c r="H117" s="192" t="s">
        <v>18</v>
      </c>
      <c r="I117" s="192" t="s">
        <v>18</v>
      </c>
      <c r="J117" s="194" t="s">
        <v>18</v>
      </c>
      <c r="K117" s="195" t="s">
        <v>18</v>
      </c>
      <c r="L117" s="195" t="s">
        <v>18</v>
      </c>
      <c r="M117" s="195" t="s">
        <v>18</v>
      </c>
      <c r="N117" s="195" t="s">
        <v>18</v>
      </c>
      <c r="O117" s="195" t="s">
        <v>18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260</v>
      </c>
      <c r="C118" s="266" t="s">
        <v>18</v>
      </c>
      <c r="D118" s="192" t="s">
        <v>18</v>
      </c>
      <c r="E118" s="192" t="s">
        <v>18</v>
      </c>
      <c r="F118" s="214" t="s">
        <v>18</v>
      </c>
      <c r="G118" s="192" t="s">
        <v>18</v>
      </c>
      <c r="H118" s="192" t="s">
        <v>18</v>
      </c>
      <c r="I118" s="192" t="s">
        <v>18</v>
      </c>
      <c r="J118" s="194" t="s">
        <v>18</v>
      </c>
      <c r="K118" s="195" t="s">
        <v>18</v>
      </c>
      <c r="L118" s="195" t="s">
        <v>18</v>
      </c>
      <c r="M118" s="195" t="s">
        <v>18</v>
      </c>
      <c r="N118" s="195" t="s">
        <v>18</v>
      </c>
      <c r="O118" s="195" t="s">
        <v>18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267</v>
      </c>
      <c r="C119" s="266" t="s">
        <v>18</v>
      </c>
      <c r="D119" s="192" t="s">
        <v>18</v>
      </c>
      <c r="E119" s="192" t="s">
        <v>18</v>
      </c>
      <c r="F119" s="214" t="s">
        <v>18</v>
      </c>
      <c r="G119" s="192" t="s">
        <v>18</v>
      </c>
      <c r="H119" s="192" t="s">
        <v>18</v>
      </c>
      <c r="I119" s="192" t="s">
        <v>18</v>
      </c>
      <c r="J119" s="194" t="s">
        <v>18</v>
      </c>
      <c r="K119" s="195" t="s">
        <v>18</v>
      </c>
      <c r="L119" s="195" t="s">
        <v>18</v>
      </c>
      <c r="M119" s="195" t="s">
        <v>18</v>
      </c>
      <c r="N119" s="195" t="s">
        <v>18</v>
      </c>
      <c r="O119" s="195" t="s">
        <v>18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261</v>
      </c>
      <c r="C120" s="266" t="s">
        <v>18</v>
      </c>
      <c r="D120" s="192" t="s">
        <v>18</v>
      </c>
      <c r="E120" s="192" t="s">
        <v>18</v>
      </c>
      <c r="F120" s="214" t="s">
        <v>18</v>
      </c>
      <c r="G120" s="192" t="s">
        <v>18</v>
      </c>
      <c r="H120" s="192" t="s">
        <v>18</v>
      </c>
      <c r="I120" s="192" t="s">
        <v>18</v>
      </c>
      <c r="J120" s="194" t="s">
        <v>18</v>
      </c>
      <c r="K120" s="195" t="s">
        <v>18</v>
      </c>
      <c r="L120" s="195" t="s">
        <v>18</v>
      </c>
      <c r="M120" s="195" t="s">
        <v>18</v>
      </c>
      <c r="N120" s="195" t="s">
        <v>18</v>
      </c>
      <c r="O120" s="195" t="s">
        <v>18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268</v>
      </c>
      <c r="C121" s="266" t="s">
        <v>18</v>
      </c>
      <c r="D121" s="192" t="s">
        <v>18</v>
      </c>
      <c r="E121" s="192" t="s">
        <v>18</v>
      </c>
      <c r="F121" s="214" t="s">
        <v>18</v>
      </c>
      <c r="G121" s="192" t="s">
        <v>18</v>
      </c>
      <c r="H121" s="192" t="s">
        <v>18</v>
      </c>
      <c r="I121" s="192" t="s">
        <v>18</v>
      </c>
      <c r="J121" s="194" t="s">
        <v>18</v>
      </c>
      <c r="K121" s="195" t="s">
        <v>18</v>
      </c>
      <c r="L121" s="195" t="s">
        <v>18</v>
      </c>
      <c r="M121" s="195" t="s">
        <v>18</v>
      </c>
      <c r="N121" s="195" t="s">
        <v>18</v>
      </c>
      <c r="O121" s="195" t="s">
        <v>18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297</v>
      </c>
      <c r="C122" s="266" t="s">
        <v>18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/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269</v>
      </c>
      <c r="C123" s="266" t="s">
        <v>18</v>
      </c>
      <c r="D123" s="192" t="s">
        <v>18</v>
      </c>
      <c r="E123" s="192" t="s">
        <v>18</v>
      </c>
      <c r="F123" s="214" t="s">
        <v>18</v>
      </c>
      <c r="G123" s="192" t="s">
        <v>18</v>
      </c>
      <c r="H123" s="192" t="s">
        <v>18</v>
      </c>
      <c r="I123" s="192" t="s">
        <v>18</v>
      </c>
      <c r="J123" s="194" t="s">
        <v>18</v>
      </c>
      <c r="K123" s="195" t="s">
        <v>18</v>
      </c>
      <c r="L123" s="195" t="s">
        <v>18</v>
      </c>
      <c r="M123" s="195" t="s">
        <v>18</v>
      </c>
      <c r="N123" s="195" t="s">
        <v>18</v>
      </c>
      <c r="O123" s="195" t="s">
        <v>18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263</v>
      </c>
      <c r="C124" s="266" t="s">
        <v>18</v>
      </c>
      <c r="D124" s="192" t="s">
        <v>18</v>
      </c>
      <c r="E124" s="192" t="s">
        <v>18</v>
      </c>
      <c r="F124" s="214" t="s">
        <v>18</v>
      </c>
      <c r="G124" s="192" t="s">
        <v>18</v>
      </c>
      <c r="H124" s="192" t="s">
        <v>18</v>
      </c>
      <c r="I124" s="192" t="s">
        <v>18</v>
      </c>
      <c r="J124" s="194" t="s">
        <v>18</v>
      </c>
      <c r="K124" s="195" t="s">
        <v>18</v>
      </c>
      <c r="L124" s="195" t="s">
        <v>18</v>
      </c>
      <c r="M124" s="195" t="s">
        <v>18</v>
      </c>
      <c r="N124" s="195" t="s">
        <v>18</v>
      </c>
      <c r="O124" s="195" t="s">
        <v>18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264</v>
      </c>
      <c r="C125" s="266" t="s">
        <v>18</v>
      </c>
      <c r="D125" s="192" t="s">
        <v>18</v>
      </c>
      <c r="E125" s="192" t="s">
        <v>18</v>
      </c>
      <c r="F125" s="214" t="s">
        <v>18</v>
      </c>
      <c r="G125" s="192" t="s">
        <v>18</v>
      </c>
      <c r="H125" s="192" t="s">
        <v>18</v>
      </c>
      <c r="I125" s="192" t="s">
        <v>18</v>
      </c>
      <c r="J125" s="194" t="s">
        <v>18</v>
      </c>
      <c r="K125" s="195" t="s">
        <v>18</v>
      </c>
      <c r="L125" s="195" t="s">
        <v>18</v>
      </c>
      <c r="M125" s="195" t="s">
        <v>18</v>
      </c>
      <c r="N125" s="195" t="s">
        <v>18</v>
      </c>
      <c r="O125" s="195" t="s">
        <v>18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295</v>
      </c>
      <c r="C126" s="266" t="s">
        <v>18</v>
      </c>
      <c r="D126" s="192" t="s">
        <v>18</v>
      </c>
      <c r="E126" s="192" t="s">
        <v>18</v>
      </c>
      <c r="F126" s="214" t="s">
        <v>18</v>
      </c>
      <c r="G126" s="192" t="s">
        <v>18</v>
      </c>
      <c r="H126" s="192" t="s">
        <v>18</v>
      </c>
      <c r="I126" s="192" t="s">
        <v>18</v>
      </c>
      <c r="J126" s="194" t="s">
        <v>18</v>
      </c>
      <c r="K126" s="195" t="s">
        <v>18</v>
      </c>
      <c r="L126" s="195" t="s">
        <v>18</v>
      </c>
      <c r="M126" s="195" t="s">
        <v>18</v>
      </c>
      <c r="N126" s="195" t="s">
        <v>18</v>
      </c>
      <c r="O126" s="195" t="s">
        <v>18</v>
      </c>
      <c r="P126" s="195" t="s">
        <v>18</v>
      </c>
      <c r="Q126" s="192" t="str">
        <f>IF(Indata!Q130="","",Indata!Q130)</f>
        <v/>
      </c>
      <c r="R126" s="309" t="str">
        <f>IF(Indata!R130="","",Indata!R130)</f>
        <v/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296</v>
      </c>
      <c r="C127" s="266" t="s">
        <v>18</v>
      </c>
      <c r="D127" s="192" t="s">
        <v>18</v>
      </c>
      <c r="E127" s="192" t="s">
        <v>18</v>
      </c>
      <c r="F127" s="214" t="s">
        <v>18</v>
      </c>
      <c r="G127" s="192" t="s">
        <v>18</v>
      </c>
      <c r="H127" s="192" t="s">
        <v>18</v>
      </c>
      <c r="I127" s="192" t="s">
        <v>18</v>
      </c>
      <c r="J127" s="194" t="s">
        <v>18</v>
      </c>
      <c r="K127" s="195" t="s">
        <v>18</v>
      </c>
      <c r="L127" s="195" t="s">
        <v>18</v>
      </c>
      <c r="M127" s="195" t="s">
        <v>18</v>
      </c>
      <c r="N127" s="195" t="s">
        <v>18</v>
      </c>
      <c r="O127" s="195" t="s">
        <v>18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252</v>
      </c>
      <c r="C130" s="266" t="s">
        <v>18</v>
      </c>
      <c r="D130" s="192" t="s">
        <v>18</v>
      </c>
      <c r="E130" s="192" t="s">
        <v>18</v>
      </c>
      <c r="F130" s="214" t="s">
        <v>18</v>
      </c>
      <c r="G130" s="192" t="s">
        <v>18</v>
      </c>
      <c r="H130" s="192" t="s">
        <v>18</v>
      </c>
      <c r="I130" s="192" t="s">
        <v>18</v>
      </c>
      <c r="J130" s="194" t="s">
        <v>18</v>
      </c>
      <c r="K130" s="195" t="s">
        <v>18</v>
      </c>
      <c r="L130" s="195" t="s">
        <v>18</v>
      </c>
      <c r="M130" s="195" t="s">
        <v>18</v>
      </c>
      <c r="N130" s="195" t="s">
        <v>18</v>
      </c>
      <c r="O130" s="195" t="s">
        <v>18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265</v>
      </c>
      <c r="C131" s="266" t="s">
        <v>18</v>
      </c>
      <c r="D131" s="192" t="s">
        <v>18</v>
      </c>
      <c r="E131" s="192" t="s">
        <v>18</v>
      </c>
      <c r="F131" s="214" t="s">
        <v>18</v>
      </c>
      <c r="G131" s="192" t="s">
        <v>18</v>
      </c>
      <c r="H131" s="192" t="s">
        <v>18</v>
      </c>
      <c r="I131" s="192" t="s">
        <v>18</v>
      </c>
      <c r="J131" s="194" t="s">
        <v>18</v>
      </c>
      <c r="K131" s="195" t="s">
        <v>18</v>
      </c>
      <c r="L131" s="195" t="s">
        <v>18</v>
      </c>
      <c r="M131" s="195" t="s">
        <v>18</v>
      </c>
      <c r="N131" s="195" t="s">
        <v>18</v>
      </c>
      <c r="O131" s="195" t="s">
        <v>18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254</v>
      </c>
      <c r="C132" s="266" t="s">
        <v>18</v>
      </c>
      <c r="D132" s="192" t="s">
        <v>18</v>
      </c>
      <c r="E132" s="192" t="s">
        <v>18</v>
      </c>
      <c r="F132" s="214" t="s">
        <v>18</v>
      </c>
      <c r="G132" s="192" t="s">
        <v>18</v>
      </c>
      <c r="H132" s="192" t="s">
        <v>18</v>
      </c>
      <c r="I132" s="192" t="s">
        <v>18</v>
      </c>
      <c r="J132" s="194" t="s">
        <v>18</v>
      </c>
      <c r="K132" s="195" t="s">
        <v>18</v>
      </c>
      <c r="L132" s="195" t="s">
        <v>18</v>
      </c>
      <c r="M132" s="195" t="s">
        <v>18</v>
      </c>
      <c r="N132" s="195" t="s">
        <v>18</v>
      </c>
      <c r="O132" s="195" t="s">
        <v>18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256</v>
      </c>
      <c r="C133" s="266" t="s">
        <v>18</v>
      </c>
      <c r="D133" s="192" t="s">
        <v>18</v>
      </c>
      <c r="E133" s="192" t="s">
        <v>18</v>
      </c>
      <c r="F133" s="214" t="s">
        <v>18</v>
      </c>
      <c r="G133" s="192" t="s">
        <v>18</v>
      </c>
      <c r="H133" s="192" t="s">
        <v>18</v>
      </c>
      <c r="I133" s="192" t="s">
        <v>18</v>
      </c>
      <c r="J133" s="194" t="s">
        <v>18</v>
      </c>
      <c r="K133" s="195" t="s">
        <v>18</v>
      </c>
      <c r="L133" s="195" t="s">
        <v>18</v>
      </c>
      <c r="M133" s="195" t="s">
        <v>18</v>
      </c>
      <c r="N133" s="195" t="s">
        <v>18</v>
      </c>
      <c r="O133" s="195" t="s">
        <v>18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260</v>
      </c>
      <c r="C134" s="266" t="s">
        <v>18</v>
      </c>
      <c r="D134" s="192" t="s">
        <v>18</v>
      </c>
      <c r="E134" s="192" t="s">
        <v>18</v>
      </c>
      <c r="F134" s="214" t="s">
        <v>18</v>
      </c>
      <c r="G134" s="192" t="s">
        <v>18</v>
      </c>
      <c r="H134" s="192" t="s">
        <v>18</v>
      </c>
      <c r="I134" s="192" t="s">
        <v>18</v>
      </c>
      <c r="J134" s="194" t="s">
        <v>18</v>
      </c>
      <c r="K134" s="195" t="s">
        <v>18</v>
      </c>
      <c r="L134" s="195" t="s">
        <v>18</v>
      </c>
      <c r="M134" s="195" t="s">
        <v>18</v>
      </c>
      <c r="N134" s="195" t="s">
        <v>18</v>
      </c>
      <c r="O134" s="195" t="s">
        <v>18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267</v>
      </c>
      <c r="C135" s="266" t="s">
        <v>18</v>
      </c>
      <c r="D135" s="192" t="s">
        <v>18</v>
      </c>
      <c r="E135" s="192" t="s">
        <v>18</v>
      </c>
      <c r="F135" s="214" t="s">
        <v>18</v>
      </c>
      <c r="G135" s="192" t="s">
        <v>18</v>
      </c>
      <c r="H135" s="192" t="s">
        <v>18</v>
      </c>
      <c r="I135" s="192" t="s">
        <v>18</v>
      </c>
      <c r="J135" s="194" t="s">
        <v>18</v>
      </c>
      <c r="K135" s="195" t="s">
        <v>18</v>
      </c>
      <c r="L135" s="195" t="s">
        <v>18</v>
      </c>
      <c r="M135" s="195" t="s">
        <v>18</v>
      </c>
      <c r="N135" s="195" t="s">
        <v>18</v>
      </c>
      <c r="O135" s="195" t="s">
        <v>18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261</v>
      </c>
      <c r="C136" s="266" t="s">
        <v>18</v>
      </c>
      <c r="D136" s="192" t="s">
        <v>18</v>
      </c>
      <c r="E136" s="192" t="s">
        <v>18</v>
      </c>
      <c r="F136" s="214" t="s">
        <v>18</v>
      </c>
      <c r="G136" s="192" t="s">
        <v>18</v>
      </c>
      <c r="H136" s="192" t="s">
        <v>18</v>
      </c>
      <c r="I136" s="192" t="s">
        <v>18</v>
      </c>
      <c r="J136" s="194" t="s">
        <v>18</v>
      </c>
      <c r="K136" s="195" t="s">
        <v>18</v>
      </c>
      <c r="L136" s="195" t="s">
        <v>18</v>
      </c>
      <c r="M136" s="195" t="s">
        <v>18</v>
      </c>
      <c r="N136" s="195" t="s">
        <v>18</v>
      </c>
      <c r="O136" s="195" t="s">
        <v>18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263</v>
      </c>
      <c r="C137" s="266" t="s">
        <v>18</v>
      </c>
      <c r="D137" s="192" t="s">
        <v>18</v>
      </c>
      <c r="E137" s="192" t="s">
        <v>18</v>
      </c>
      <c r="F137" s="214" t="s">
        <v>18</v>
      </c>
      <c r="G137" s="192" t="s">
        <v>18</v>
      </c>
      <c r="H137" s="192" t="s">
        <v>18</v>
      </c>
      <c r="I137" s="192" t="s">
        <v>18</v>
      </c>
      <c r="J137" s="194" t="s">
        <v>18</v>
      </c>
      <c r="K137" s="195" t="s">
        <v>18</v>
      </c>
      <c r="L137" s="195" t="s">
        <v>18</v>
      </c>
      <c r="M137" s="195" t="s">
        <v>18</v>
      </c>
      <c r="N137" s="195" t="s">
        <v>18</v>
      </c>
      <c r="O137" s="195" t="s">
        <v>18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295</v>
      </c>
      <c r="C138" s="266" t="s">
        <v>18</v>
      </c>
      <c r="D138" s="192" t="s">
        <v>18</v>
      </c>
      <c r="E138" s="192" t="s">
        <v>18</v>
      </c>
      <c r="F138" s="214" t="s">
        <v>18</v>
      </c>
      <c r="G138" s="192" t="s">
        <v>18</v>
      </c>
      <c r="H138" s="192" t="s">
        <v>18</v>
      </c>
      <c r="I138" s="192" t="s">
        <v>18</v>
      </c>
      <c r="J138" s="194" t="s">
        <v>18</v>
      </c>
      <c r="K138" s="195" t="s">
        <v>18</v>
      </c>
      <c r="L138" s="195" t="s">
        <v>18</v>
      </c>
      <c r="M138" s="195" t="s">
        <v>18</v>
      </c>
      <c r="N138" s="195" t="s">
        <v>18</v>
      </c>
      <c r="O138" s="195" t="s">
        <v>18</v>
      </c>
      <c r="P138" s="195" t="s">
        <v>18</v>
      </c>
      <c r="Q138" s="192" t="str">
        <f>IF(Indata!Q142="","",Indata!Q142)</f>
        <v/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296</v>
      </c>
      <c r="C139" s="266" t="s">
        <v>18</v>
      </c>
      <c r="D139" s="192" t="s">
        <v>18</v>
      </c>
      <c r="E139" s="192" t="s">
        <v>18</v>
      </c>
      <c r="F139" s="214" t="s">
        <v>18</v>
      </c>
      <c r="G139" s="192" t="s">
        <v>18</v>
      </c>
      <c r="H139" s="192" t="s">
        <v>18</v>
      </c>
      <c r="I139" s="192" t="s">
        <v>18</v>
      </c>
      <c r="J139" s="194" t="s">
        <v>18</v>
      </c>
      <c r="K139" s="195" t="s">
        <v>18</v>
      </c>
      <c r="L139" s="195" t="s">
        <v>18</v>
      </c>
      <c r="M139" s="195" t="s">
        <v>18</v>
      </c>
      <c r="N139" s="195" t="s">
        <v>18</v>
      </c>
      <c r="O139" s="195" t="s">
        <v>18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252</v>
      </c>
      <c r="C142" s="266" t="str">
        <f>IF(Indata!C146="","",Indata!C146)</f>
        <v/>
      </c>
      <c r="D142" s="192" t="str">
        <f>IF(Indata!D146="","",Indata!D146)</f>
        <v/>
      </c>
      <c r="E142" s="192" t="str">
        <f>IF(Indata!E146="","",Indata!E146)</f>
        <v/>
      </c>
      <c r="F142" s="214" t="str">
        <f>IF(Indata!F146="","",Indata!F146)</f>
        <v/>
      </c>
      <c r="G142" s="192" t="str">
        <f>IF(Indata!G146="","",Indata!G146)</f>
        <v/>
      </c>
      <c r="H142" s="192" t="str">
        <f>IF(Indata!H146="","",Indata!H146)</f>
        <v/>
      </c>
      <c r="I142" s="192" t="str">
        <f>IF(Indata!I146="","",Indata!I146)</f>
        <v/>
      </c>
      <c r="J142" s="194" t="str">
        <f>IF(Indata!J146="","",Indata!J146)</f>
        <v/>
      </c>
      <c r="K142" s="195" t="str">
        <f>IF(Indata!K146="","",Indata!K146)</f>
        <v/>
      </c>
      <c r="L142" s="195" t="str">
        <f>IF(Indata!L146="","",Indata!L146)</f>
        <v/>
      </c>
      <c r="M142" s="195" t="str">
        <f>IF(Indata!M146="","",Indata!M146)</f>
        <v/>
      </c>
      <c r="N142" s="195" t="str">
        <f>IF(Indata!N146="","",Indata!N146)</f>
        <v/>
      </c>
      <c r="O142" s="195" t="str">
        <f>IF(Indata!O146="","",Indata!O146)</f>
        <v/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253</v>
      </c>
      <c r="C143" s="266" t="str">
        <f>IF(Indata!C147="","",Indata!C147)</f>
        <v/>
      </c>
      <c r="D143" s="192" t="str">
        <f>IF(Indata!D147="","",Indata!D147)</f>
        <v/>
      </c>
      <c r="E143" s="192" t="str">
        <f>IF(Indata!E147="","",Indata!E147)</f>
        <v/>
      </c>
      <c r="F143" s="214" t="str">
        <f>IF(Indata!F147="","",Indata!F147)</f>
        <v/>
      </c>
      <c r="G143" s="192" t="str">
        <f>IF(Indata!G147="","",Indata!G147)</f>
        <v/>
      </c>
      <c r="H143" s="192" t="str">
        <f>IF(Indata!H147="","",Indata!H147)</f>
        <v/>
      </c>
      <c r="I143" s="192" t="str">
        <f>IF(Indata!I147="","",Indata!I147)</f>
        <v/>
      </c>
      <c r="J143" s="194" t="str">
        <f>IF(Indata!J147="","",Indata!J147)</f>
        <v/>
      </c>
      <c r="K143" s="195" t="str">
        <f>IF(Indata!K147="","",Indata!K147)</f>
        <v/>
      </c>
      <c r="L143" s="195" t="str">
        <f>IF(Indata!L147="","",Indata!L147)</f>
        <v/>
      </c>
      <c r="M143" s="195" t="str">
        <f>IF(Indata!M147="","",Indata!M147)</f>
        <v/>
      </c>
      <c r="N143" s="195" t="str">
        <f>IF(Indata!N147="","",Indata!N147)</f>
        <v/>
      </c>
      <c r="O143" s="195" t="str">
        <f>IF(Indata!O147="","",Indata!O147)</f>
        <v/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265</v>
      </c>
      <c r="C144" s="266" t="str">
        <f>IF(Indata!C148="","",Indata!C148)</f>
        <v/>
      </c>
      <c r="D144" s="192" t="str">
        <f>IF(Indata!D148="","",Indata!D148)</f>
        <v/>
      </c>
      <c r="E144" s="192" t="str">
        <f>IF(Indata!E148="","",Indata!E148)</f>
        <v/>
      </c>
      <c r="F144" s="214" t="str">
        <f>IF(Indata!F148="","",Indata!F148)</f>
        <v/>
      </c>
      <c r="G144" s="192" t="str">
        <f>IF(Indata!G148="","",Indata!G148)</f>
        <v/>
      </c>
      <c r="H144" s="192" t="str">
        <f>IF(Indata!H148="","",Indata!H148)</f>
        <v/>
      </c>
      <c r="I144" s="192" t="str">
        <f>IF(Indata!I148="","",Indata!I148)</f>
        <v/>
      </c>
      <c r="J144" s="194" t="str">
        <f>IF(Indata!J148="","",Indata!J148)</f>
        <v/>
      </c>
      <c r="K144" s="195" t="str">
        <f>IF(Indata!K148="","",Indata!K148)</f>
        <v/>
      </c>
      <c r="L144" s="195" t="str">
        <f>IF(Indata!L148="","",Indata!L148)</f>
        <v/>
      </c>
      <c r="M144" s="195" t="str">
        <f>IF(Indata!M148="","",Indata!M148)</f>
        <v/>
      </c>
      <c r="N144" s="195" t="str">
        <f>IF(Indata!N148="","",Indata!N148)</f>
        <v/>
      </c>
      <c r="O144" s="195" t="str">
        <f>IF(Indata!O148="","",Indata!O148)</f>
        <v/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254</v>
      </c>
      <c r="C145" s="266" t="str">
        <f>IF(Indata!C149="","",Indata!C149)</f>
        <v/>
      </c>
      <c r="D145" s="192" t="str">
        <f>IF(Indata!D149="","",Indata!D149)</f>
        <v/>
      </c>
      <c r="E145" s="192" t="str">
        <f>IF(Indata!E149="","",Indata!E149)</f>
        <v/>
      </c>
      <c r="F145" s="214" t="str">
        <f>IF(Indata!F149="","",Indata!F149)</f>
        <v/>
      </c>
      <c r="G145" s="192" t="str">
        <f>IF(Indata!G149="","",Indata!G149)</f>
        <v/>
      </c>
      <c r="H145" s="192" t="str">
        <f>IF(Indata!H149="","",Indata!H149)</f>
        <v/>
      </c>
      <c r="I145" s="192" t="str">
        <f>IF(Indata!I149="","",Indata!I149)</f>
        <v/>
      </c>
      <c r="J145" s="194" t="str">
        <f>IF(Indata!J149="","",Indata!J149)</f>
        <v/>
      </c>
      <c r="K145" s="195" t="str">
        <f>IF(Indata!K149="","",Indata!K149)</f>
        <v/>
      </c>
      <c r="L145" s="195" t="str">
        <f>IF(Indata!L149="","",Indata!L149)</f>
        <v/>
      </c>
      <c r="M145" s="195" t="str">
        <f>IF(Indata!M149="","",Indata!M149)</f>
        <v/>
      </c>
      <c r="N145" s="195" t="str">
        <f>IF(Indata!N149="","",Indata!N149)</f>
        <v/>
      </c>
      <c r="O145" s="195" t="str">
        <f>IF(Indata!O149="","",Indata!O149)</f>
        <v/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255</v>
      </c>
      <c r="C146" s="266" t="str">
        <f>IF(Indata!C150="","",Indata!C150)</f>
        <v/>
      </c>
      <c r="D146" s="192" t="str">
        <f>IF(Indata!D150="","",Indata!D150)</f>
        <v/>
      </c>
      <c r="E146" s="192" t="str">
        <f>IF(Indata!E150="","",Indata!E150)</f>
        <v/>
      </c>
      <c r="F146" s="214" t="str">
        <f>IF(Indata!F150="","",Indata!F150)</f>
        <v/>
      </c>
      <c r="G146" s="192" t="str">
        <f>IF(Indata!G150="","",Indata!G150)</f>
        <v/>
      </c>
      <c r="H146" s="192" t="str">
        <f>IF(Indata!H150="","",Indata!H150)</f>
        <v/>
      </c>
      <c r="I146" s="192" t="str">
        <f>IF(Indata!I150="","",Indata!I150)</f>
        <v/>
      </c>
      <c r="J146" s="194" t="str">
        <f>IF(Indata!J150="","",Indata!J150)</f>
        <v/>
      </c>
      <c r="K146" s="195" t="str">
        <f>IF(Indata!K150="","",Indata!K150)</f>
        <v/>
      </c>
      <c r="L146" s="195" t="str">
        <f>IF(Indata!L150="","",Indata!L150)</f>
        <v/>
      </c>
      <c r="M146" s="195" t="str">
        <f>IF(Indata!M150="","",Indata!M150)</f>
        <v/>
      </c>
      <c r="N146" s="195" t="str">
        <f>IF(Indata!N150="","",Indata!N150)</f>
        <v/>
      </c>
      <c r="O146" s="195" t="str">
        <f>IF(Indata!O150="","",Indata!O150)</f>
        <v/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256</v>
      </c>
      <c r="C147" s="266" t="str">
        <f>IF(Indata!C151="","",Indata!C151)</f>
        <v/>
      </c>
      <c r="D147" s="192" t="str">
        <f>IF(Indata!D151="","",Indata!D151)</f>
        <v/>
      </c>
      <c r="E147" s="192" t="str">
        <f>IF(Indata!E151="","",Indata!E151)</f>
        <v/>
      </c>
      <c r="F147" s="214" t="str">
        <f>IF(Indata!F151="","",Indata!F151)</f>
        <v/>
      </c>
      <c r="G147" s="192" t="str">
        <f>IF(Indata!G151="","",Indata!G151)</f>
        <v/>
      </c>
      <c r="H147" s="192" t="str">
        <f>IF(Indata!H151="","",Indata!H151)</f>
        <v/>
      </c>
      <c r="I147" s="192" t="str">
        <f>IF(Indata!I151="","",Indata!I151)</f>
        <v/>
      </c>
      <c r="J147" s="194" t="str">
        <f>IF(Indata!J151="","",Indata!J151)</f>
        <v/>
      </c>
      <c r="K147" s="195" t="str">
        <f>IF(Indata!K151="","",Indata!K151)</f>
        <v/>
      </c>
      <c r="L147" s="195" t="str">
        <f>IF(Indata!L151="","",Indata!L151)</f>
        <v/>
      </c>
      <c r="M147" s="195" t="str">
        <f>IF(Indata!M151="","",Indata!M151)</f>
        <v/>
      </c>
      <c r="N147" s="195" t="str">
        <f>IF(Indata!N151="","",Indata!N151)</f>
        <v/>
      </c>
      <c r="O147" s="195" t="str">
        <f>IF(Indata!O151="","",Indata!O151)</f>
        <v/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257</v>
      </c>
      <c r="C148" s="266" t="str">
        <f>IF(Indata!C152="","",Indata!C152)</f>
        <v/>
      </c>
      <c r="D148" s="192" t="str">
        <f>IF(Indata!D152="","",Indata!D152)</f>
        <v/>
      </c>
      <c r="E148" s="192" t="str">
        <f>IF(Indata!E152="","",Indata!E152)</f>
        <v/>
      </c>
      <c r="F148" s="214" t="str">
        <f>IF(Indata!F152="","",Indata!F152)</f>
        <v/>
      </c>
      <c r="G148" s="192" t="str">
        <f>IF(Indata!G152="","",Indata!G152)</f>
        <v/>
      </c>
      <c r="H148" s="192" t="str">
        <f>IF(Indata!H152="","",Indata!H152)</f>
        <v/>
      </c>
      <c r="I148" s="192" t="str">
        <f>IF(Indata!I152="","",Indata!I152)</f>
        <v/>
      </c>
      <c r="J148" s="194" t="str">
        <f>IF(Indata!J152="","",Indata!J152)</f>
        <v/>
      </c>
      <c r="K148" s="195" t="str">
        <f>IF(Indata!K152="","",Indata!K152)</f>
        <v/>
      </c>
      <c r="L148" s="195" t="str">
        <f>IF(Indata!L152="","",Indata!L152)</f>
        <v/>
      </c>
      <c r="M148" s="195" t="str">
        <f>IF(Indata!M152="","",Indata!M152)</f>
        <v/>
      </c>
      <c r="N148" s="195" t="str">
        <f>IF(Indata!N152="","",Indata!N152)</f>
        <v/>
      </c>
      <c r="O148" s="195" t="str">
        <f>IF(Indata!O152="","",Indata!O152)</f>
        <v/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258</v>
      </c>
      <c r="C149" s="266" t="str">
        <f>IF(Indata!C153="","",Indata!C153)</f>
        <v/>
      </c>
      <c r="D149" s="192" t="str">
        <f>IF(Indata!D153="","",Indata!D153)</f>
        <v/>
      </c>
      <c r="E149" s="192" t="str">
        <f>IF(Indata!E153="","",Indata!E153)</f>
        <v/>
      </c>
      <c r="F149" s="214" t="str">
        <f>IF(Indata!F153="","",Indata!F153)</f>
        <v/>
      </c>
      <c r="G149" s="192" t="str">
        <f>IF(Indata!G153="","",Indata!G153)</f>
        <v/>
      </c>
      <c r="H149" s="192" t="str">
        <f>IF(Indata!H153="","",Indata!H153)</f>
        <v/>
      </c>
      <c r="I149" s="192" t="str">
        <f>IF(Indata!I153="","",Indata!I153)</f>
        <v/>
      </c>
      <c r="J149" s="194" t="str">
        <f>IF(Indata!J153="","",Indata!J153)</f>
        <v/>
      </c>
      <c r="K149" s="195" t="str">
        <f>IF(Indata!K153="","",Indata!K153)</f>
        <v/>
      </c>
      <c r="L149" s="195" t="str">
        <f>IF(Indata!L153="","",Indata!L153)</f>
        <v/>
      </c>
      <c r="M149" s="195" t="str">
        <f>IF(Indata!M153="","",Indata!M153)</f>
        <v/>
      </c>
      <c r="N149" s="195" t="str">
        <f>IF(Indata!N153="","",Indata!N153)</f>
        <v/>
      </c>
      <c r="O149" s="195" t="str">
        <f>IF(Indata!O153="","",Indata!O153)</f>
        <v/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259</v>
      </c>
      <c r="C150" s="266" t="str">
        <f>IF(Indata!C154="","",Indata!C154)</f>
        <v/>
      </c>
      <c r="D150" s="192" t="str">
        <f>IF(Indata!D154="","",Indata!D154)</f>
        <v/>
      </c>
      <c r="E150" s="192" t="str">
        <f>IF(Indata!E154="","",Indata!E154)</f>
        <v/>
      </c>
      <c r="F150" s="214" t="str">
        <f>IF(Indata!F154="","",Indata!F154)</f>
        <v/>
      </c>
      <c r="G150" s="192" t="str">
        <f>IF(Indata!G154="","",Indata!G154)</f>
        <v/>
      </c>
      <c r="H150" s="192" t="str">
        <f>IF(Indata!H154="","",Indata!H154)</f>
        <v/>
      </c>
      <c r="I150" s="192" t="str">
        <f>IF(Indata!I154="","",Indata!I154)</f>
        <v/>
      </c>
      <c r="J150" s="194" t="str">
        <f>IF(Indata!J154="","",Indata!J154)</f>
        <v/>
      </c>
      <c r="K150" s="195" t="str">
        <f>IF(Indata!K154="","",Indata!K154)</f>
        <v/>
      </c>
      <c r="L150" s="195" t="str">
        <f>IF(Indata!L154="","",Indata!L154)</f>
        <v/>
      </c>
      <c r="M150" s="195" t="str">
        <f>IF(Indata!M154="","",Indata!M154)</f>
        <v/>
      </c>
      <c r="N150" s="195" t="str">
        <f>IF(Indata!N154="","",Indata!N154)</f>
        <v/>
      </c>
      <c r="O150" s="195" t="str">
        <f>IF(Indata!O154="","",Indata!O154)</f>
        <v/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266</v>
      </c>
      <c r="C151" s="266" t="str">
        <f>IF(Indata!C155="","",Indata!C155)</f>
        <v/>
      </c>
      <c r="D151" s="192" t="str">
        <f>IF(Indata!D155="","",Indata!D155)</f>
        <v/>
      </c>
      <c r="E151" s="192" t="str">
        <f>IF(Indata!E155="","",Indata!E155)</f>
        <v/>
      </c>
      <c r="F151" s="214" t="str">
        <f>IF(Indata!F155="","",Indata!F155)</f>
        <v/>
      </c>
      <c r="G151" s="192" t="str">
        <f>IF(Indata!G155="","",Indata!G155)</f>
        <v/>
      </c>
      <c r="H151" s="192" t="str">
        <f>IF(Indata!H155="","",Indata!H155)</f>
        <v/>
      </c>
      <c r="I151" s="192" t="str">
        <f>IF(Indata!I155="","",Indata!I155)</f>
        <v/>
      </c>
      <c r="J151" s="194" t="str">
        <f>IF(Indata!J155="","",Indata!J155)</f>
        <v/>
      </c>
      <c r="K151" s="195" t="str">
        <f>IF(Indata!K155="","",Indata!K155)</f>
        <v/>
      </c>
      <c r="L151" s="195" t="str">
        <f>IF(Indata!L155="","",Indata!L155)</f>
        <v/>
      </c>
      <c r="M151" s="195" t="str">
        <f>IF(Indata!M155="","",Indata!M155)</f>
        <v/>
      </c>
      <c r="N151" s="195" t="str">
        <f>IF(Indata!N155="","",Indata!N155)</f>
        <v/>
      </c>
      <c r="O151" s="195" t="str">
        <f>IF(Indata!O155="","",Indata!O155)</f>
        <v/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260</v>
      </c>
      <c r="C152" s="266" t="str">
        <f>IF(Indata!C156="","",Indata!C156)</f>
        <v/>
      </c>
      <c r="D152" s="192" t="str">
        <f>IF(Indata!D156="","",Indata!D156)</f>
        <v/>
      </c>
      <c r="E152" s="192" t="str">
        <f>IF(Indata!E156="","",Indata!E156)</f>
        <v/>
      </c>
      <c r="F152" s="214" t="str">
        <f>IF(Indata!F156="","",Indata!F156)</f>
        <v/>
      </c>
      <c r="G152" s="192" t="str">
        <f>IF(Indata!G156="","",Indata!G156)</f>
        <v/>
      </c>
      <c r="H152" s="192" t="str">
        <f>IF(Indata!H156="","",Indata!H156)</f>
        <v/>
      </c>
      <c r="I152" s="192" t="str">
        <f>IF(Indata!I156="","",Indata!I156)</f>
        <v/>
      </c>
      <c r="J152" s="194" t="str">
        <f>IF(Indata!J156="","",Indata!J156)</f>
        <v/>
      </c>
      <c r="K152" s="195" t="str">
        <f>IF(Indata!K156="","",Indata!K156)</f>
        <v/>
      </c>
      <c r="L152" s="195" t="str">
        <f>IF(Indata!L156="","",Indata!L156)</f>
        <v/>
      </c>
      <c r="M152" s="195" t="str">
        <f>IF(Indata!M156="","",Indata!M156)</f>
        <v/>
      </c>
      <c r="N152" s="195" t="str">
        <f>IF(Indata!N156="","",Indata!N156)</f>
        <v/>
      </c>
      <c r="O152" s="195" t="str">
        <f>IF(Indata!O156="","",Indata!O156)</f>
        <v/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267</v>
      </c>
      <c r="C153" s="266" t="str">
        <f>IF(Indata!C157="","",Indata!C157)</f>
        <v/>
      </c>
      <c r="D153" s="192" t="str">
        <f>IF(Indata!D157="","",Indata!D157)</f>
        <v/>
      </c>
      <c r="E153" s="192" t="str">
        <f>IF(Indata!E157="","",Indata!E157)</f>
        <v/>
      </c>
      <c r="F153" s="214" t="str">
        <f>IF(Indata!F157="","",Indata!F157)</f>
        <v/>
      </c>
      <c r="G153" s="192" t="str">
        <f>IF(Indata!G157="","",Indata!G157)</f>
        <v/>
      </c>
      <c r="H153" s="192" t="str">
        <f>IF(Indata!H157="","",Indata!H157)</f>
        <v/>
      </c>
      <c r="I153" s="192" t="str">
        <f>IF(Indata!I157="","",Indata!I157)</f>
        <v/>
      </c>
      <c r="J153" s="194" t="str">
        <f>IF(Indata!J157="","",Indata!J157)</f>
        <v/>
      </c>
      <c r="K153" s="195" t="str">
        <f>IF(Indata!K157="","",Indata!K157)</f>
        <v/>
      </c>
      <c r="L153" s="195" t="str">
        <f>IF(Indata!L157="","",Indata!L157)</f>
        <v/>
      </c>
      <c r="M153" s="195" t="str">
        <f>IF(Indata!M157="","",Indata!M157)</f>
        <v/>
      </c>
      <c r="N153" s="195" t="str">
        <f>IF(Indata!N157="","",Indata!N157)</f>
        <v/>
      </c>
      <c r="O153" s="195" t="str">
        <f>IF(Indata!O157="","",Indata!O157)</f>
        <v/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261</v>
      </c>
      <c r="C154" s="266" t="str">
        <f>IF(Indata!C158="","",Indata!C158)</f>
        <v/>
      </c>
      <c r="D154" s="192" t="str">
        <f>IF(Indata!D158="","",Indata!D158)</f>
        <v/>
      </c>
      <c r="E154" s="192" t="str">
        <f>IF(Indata!E158="","",Indata!E158)</f>
        <v/>
      </c>
      <c r="F154" s="214" t="str">
        <f>IF(Indata!F158="","",Indata!F158)</f>
        <v/>
      </c>
      <c r="G154" s="192" t="str">
        <f>IF(Indata!G158="","",Indata!G158)</f>
        <v/>
      </c>
      <c r="H154" s="192" t="str">
        <f>IF(Indata!H158="","",Indata!H158)</f>
        <v/>
      </c>
      <c r="I154" s="192" t="str">
        <f>IF(Indata!I158="","",Indata!I158)</f>
        <v/>
      </c>
      <c r="J154" s="194" t="str">
        <f>IF(Indata!J158="","",Indata!J158)</f>
        <v/>
      </c>
      <c r="K154" s="195" t="str">
        <f>IF(Indata!K158="","",Indata!K158)</f>
        <v/>
      </c>
      <c r="L154" s="195" t="str">
        <f>IF(Indata!L158="","",Indata!L158)</f>
        <v/>
      </c>
      <c r="M154" s="195" t="str">
        <f>IF(Indata!M158="","",Indata!M158)</f>
        <v/>
      </c>
      <c r="N154" s="195" t="str">
        <f>IF(Indata!N158="","",Indata!N158)</f>
        <v/>
      </c>
      <c r="O154" s="195" t="str">
        <f>IF(Indata!O158="","",Indata!O158)</f>
        <v/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268</v>
      </c>
      <c r="C155" s="266" t="str">
        <f>IF(Indata!C159="","",Indata!C159)</f>
        <v/>
      </c>
      <c r="D155" s="192" t="str">
        <f>IF(Indata!D159="","",Indata!D159)</f>
        <v/>
      </c>
      <c r="E155" s="192" t="str">
        <f>IF(Indata!E159="","",Indata!E159)</f>
        <v/>
      </c>
      <c r="F155" s="214" t="str">
        <f>IF(Indata!F159="","",Indata!F159)</f>
        <v/>
      </c>
      <c r="G155" s="192" t="str">
        <f>IF(Indata!G159="","",Indata!G159)</f>
        <v/>
      </c>
      <c r="H155" s="192" t="str">
        <f>IF(Indata!H159="","",Indata!H159)</f>
        <v/>
      </c>
      <c r="I155" s="192" t="str">
        <f>IF(Indata!I159="","",Indata!I159)</f>
        <v/>
      </c>
      <c r="J155" s="194" t="str">
        <f>IF(Indata!J159="","",Indata!J159)</f>
        <v/>
      </c>
      <c r="K155" s="195" t="str">
        <f>IF(Indata!K159="","",Indata!K159)</f>
        <v/>
      </c>
      <c r="L155" s="195" t="str">
        <f>IF(Indata!L159="","",Indata!L159)</f>
        <v/>
      </c>
      <c r="M155" s="195" t="str">
        <f>IF(Indata!M159="","",Indata!M159)</f>
        <v/>
      </c>
      <c r="N155" s="195" t="str">
        <f>IF(Indata!N159="","",Indata!N159)</f>
        <v/>
      </c>
      <c r="O155" s="195" t="str">
        <f>IF(Indata!O159="","",Indata!O159)</f>
        <v/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297</v>
      </c>
      <c r="C156" s="266" t="str">
        <f>IF(Indata!C160="","",Indata!C160)</f>
        <v/>
      </c>
      <c r="D156" s="192" t="str">
        <f>IF(Indata!D160="","",Indata!D160)</f>
        <v/>
      </c>
      <c r="E156" s="192" t="str">
        <f>IF(Indata!E160="","",Indata!E160)</f>
        <v/>
      </c>
      <c r="F156" s="214" t="str">
        <f>IF(Indata!F160="","",Indata!F160)</f>
        <v/>
      </c>
      <c r="G156" s="192" t="str">
        <f>IF(Indata!G160="","",Indata!G160)</f>
        <v/>
      </c>
      <c r="H156" s="192" t="str">
        <f>IF(Indata!H160="","",Indata!H160)</f>
        <v/>
      </c>
      <c r="I156" s="192" t="str">
        <f>IF(Indata!I160="","",Indata!I160)</f>
        <v/>
      </c>
      <c r="J156" s="194" t="str">
        <f>IF(Indata!J160="","",Indata!J160)</f>
        <v/>
      </c>
      <c r="K156" s="195" t="str">
        <f>IF(Indata!K160="","",Indata!K160)</f>
        <v/>
      </c>
      <c r="L156" s="195" t="str">
        <f>IF(Indata!L160="","",Indata!L160)</f>
        <v/>
      </c>
      <c r="M156" s="195" t="str">
        <f>IF(Indata!M160="","",Indata!M160)</f>
        <v/>
      </c>
      <c r="N156" s="195" t="str">
        <f>IF(Indata!N160="","",Indata!N160)</f>
        <v/>
      </c>
      <c r="O156" s="195" t="str">
        <f>IF(Indata!O160="","",Indata!O160)</f>
        <v/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269</v>
      </c>
      <c r="C157" s="266" t="str">
        <f>IF(Indata!C161="","",Indata!C161)</f>
        <v/>
      </c>
      <c r="D157" s="192" t="str">
        <f>IF(Indata!D161="","",Indata!D161)</f>
        <v/>
      </c>
      <c r="E157" s="192" t="str">
        <f>IF(Indata!E161="","",Indata!E161)</f>
        <v/>
      </c>
      <c r="F157" s="214" t="str">
        <f>IF(Indata!F161="","",Indata!F161)</f>
        <v/>
      </c>
      <c r="G157" s="192" t="str">
        <f>IF(Indata!G161="","",Indata!G161)</f>
        <v/>
      </c>
      <c r="H157" s="192" t="str">
        <f>IF(Indata!H161="","",Indata!H161)</f>
        <v/>
      </c>
      <c r="I157" s="192" t="str">
        <f>IF(Indata!I161="","",Indata!I161)</f>
        <v/>
      </c>
      <c r="J157" s="194" t="str">
        <f>IF(Indata!J161="","",Indata!J161)</f>
        <v/>
      </c>
      <c r="K157" s="195" t="str">
        <f>IF(Indata!K161="","",Indata!K161)</f>
        <v/>
      </c>
      <c r="L157" s="195" t="str">
        <f>IF(Indata!L161="","",Indata!L161)</f>
        <v/>
      </c>
      <c r="M157" s="195" t="str">
        <f>IF(Indata!M161="","",Indata!M161)</f>
        <v/>
      </c>
      <c r="N157" s="195" t="str">
        <f>IF(Indata!N161="","",Indata!N161)</f>
        <v/>
      </c>
      <c r="O157" s="195" t="str">
        <f>IF(Indata!O161="","",Indata!O161)</f>
        <v/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263</v>
      </c>
      <c r="C158" s="266" t="str">
        <f>IF(Indata!C162="","",Indata!C162)</f>
        <v/>
      </c>
      <c r="D158" s="192" t="str">
        <f>IF(Indata!D162="","",Indata!D162)</f>
        <v/>
      </c>
      <c r="E158" s="192" t="str">
        <f>IF(Indata!E162="","",Indata!E162)</f>
        <v/>
      </c>
      <c r="F158" s="214" t="str">
        <f>IF(Indata!F162="","",Indata!F162)</f>
        <v/>
      </c>
      <c r="G158" s="192" t="str">
        <f>IF(Indata!G162="","",Indata!G162)</f>
        <v/>
      </c>
      <c r="H158" s="192" t="str">
        <f>IF(Indata!H162="","",Indata!H162)</f>
        <v/>
      </c>
      <c r="I158" s="192" t="str">
        <f>IF(Indata!I162="","",Indata!I162)</f>
        <v/>
      </c>
      <c r="J158" s="194" t="str">
        <f>IF(Indata!J162="","",Indata!J162)</f>
        <v/>
      </c>
      <c r="K158" s="195" t="str">
        <f>IF(Indata!K162="","",Indata!K162)</f>
        <v/>
      </c>
      <c r="L158" s="195" t="str">
        <f>IF(Indata!L162="","",Indata!L162)</f>
        <v/>
      </c>
      <c r="M158" s="195" t="str">
        <f>IF(Indata!M162="","",Indata!M162)</f>
        <v/>
      </c>
      <c r="N158" s="195" t="str">
        <f>IF(Indata!N162="","",Indata!N162)</f>
        <v/>
      </c>
      <c r="O158" s="195" t="str">
        <f>IF(Indata!O162="","",Indata!O162)</f>
        <v/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264</v>
      </c>
      <c r="C159" s="266" t="str">
        <f>IF(Indata!C163="","",Indata!C163)</f>
        <v/>
      </c>
      <c r="D159" s="192" t="str">
        <f>IF(Indata!D163="","",Indata!D163)</f>
        <v/>
      </c>
      <c r="E159" s="192" t="str">
        <f>IF(Indata!E163="","",Indata!E163)</f>
        <v/>
      </c>
      <c r="F159" s="214" t="str">
        <f>IF(Indata!F163="","",Indata!F163)</f>
        <v/>
      </c>
      <c r="G159" s="192" t="str">
        <f>IF(Indata!G163="","",Indata!G163)</f>
        <v/>
      </c>
      <c r="H159" s="192" t="str">
        <f>IF(Indata!H163="","",Indata!H163)</f>
        <v/>
      </c>
      <c r="I159" s="192" t="str">
        <f>IF(Indata!I163="","",Indata!I163)</f>
        <v/>
      </c>
      <c r="J159" s="194" t="str">
        <f>IF(Indata!J163="","",Indata!J163)</f>
        <v/>
      </c>
      <c r="K159" s="195" t="str">
        <f>IF(Indata!K163="","",Indata!K163)</f>
        <v/>
      </c>
      <c r="L159" s="195" t="str">
        <f>IF(Indata!L163="","",Indata!L163)</f>
        <v/>
      </c>
      <c r="M159" s="195" t="str">
        <f>IF(Indata!M163="","",Indata!M163)</f>
        <v/>
      </c>
      <c r="N159" s="195" t="str">
        <f>IF(Indata!N163="","",Indata!N163)</f>
        <v/>
      </c>
      <c r="O159" s="195" t="str">
        <f>IF(Indata!O163="","",Indata!O163)</f>
        <v/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295</v>
      </c>
      <c r="C160" s="266" t="str">
        <f>IF(Indata!C164="","",Indata!C164)</f>
        <v/>
      </c>
      <c r="D160" s="192" t="str">
        <f>IF(Indata!D164="","",Indata!D164)</f>
        <v/>
      </c>
      <c r="E160" s="192" t="str">
        <f>IF(Indata!E164="","",Indata!E164)</f>
        <v/>
      </c>
      <c r="F160" s="214" t="str">
        <f>IF(Indata!F164="","",Indata!F164)</f>
        <v/>
      </c>
      <c r="G160" s="192" t="str">
        <f>IF(Indata!G164="","",Indata!G164)</f>
        <v/>
      </c>
      <c r="H160" s="192" t="str">
        <f>IF(Indata!H164="","",Indata!H164)</f>
        <v/>
      </c>
      <c r="I160" s="192" t="str">
        <f>IF(Indata!I164="","",Indata!I164)</f>
        <v/>
      </c>
      <c r="J160" s="194" t="str">
        <f>IF(Indata!J164="","",Indata!J164)</f>
        <v/>
      </c>
      <c r="K160" s="195" t="str">
        <f>IF(Indata!K164="","",Indata!K164)</f>
        <v/>
      </c>
      <c r="L160" s="195" t="str">
        <f>IF(Indata!L164="","",Indata!L164)</f>
        <v/>
      </c>
      <c r="M160" s="195" t="str">
        <f>IF(Indata!M164="","",Indata!M164)</f>
        <v/>
      </c>
      <c r="N160" s="195" t="str">
        <f>IF(Indata!N164="","",Indata!N164)</f>
        <v/>
      </c>
      <c r="O160" s="195" t="str">
        <f>IF(Indata!O164="","",Indata!O164)</f>
        <v/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/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296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/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252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265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254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256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260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267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261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263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295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296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252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253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265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254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255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256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257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258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259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266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260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267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261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268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297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269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263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264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295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296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252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265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254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256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260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267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261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263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295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296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2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X4jTg/lEZio5NUy29LnseAms2owP5xOcVQwuq98cnxt8AQdaYrBB2yN9Fh6cZVoyWw2Q5PT9wFnMzc1in4JySg==" saltValue="mNMHyR1WifM2smlPvQ4KgQ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160" priority="61" stopIfTrue="1" operator="between">
      <formula>6.81</formula>
      <formula>14</formula>
    </cfRule>
    <cfRule type="cellIs" dxfId="159" priority="62" stopIfTrue="1" operator="between">
      <formula>6.5</formula>
      <formula>6.8</formula>
    </cfRule>
    <cfRule type="cellIs" dxfId="158" priority="63" stopIfTrue="1" operator="between">
      <formula>6.2</formula>
      <formula>6.49</formula>
    </cfRule>
    <cfRule type="cellIs" dxfId="157" priority="64" stopIfTrue="1" operator="between">
      <formula>5.6</formula>
      <formula>6.19</formula>
    </cfRule>
    <cfRule type="cellIs" dxfId="156" priority="65" stopIfTrue="1" operator="between">
      <formula>3</formula>
      <formula>5.59</formula>
    </cfRule>
  </conditionalFormatting>
  <conditionalFormatting sqref="E1:E1048576">
    <cfRule type="cellIs" dxfId="155" priority="66" stopIfTrue="1" operator="between">
      <formula>7</formula>
      <formula>30</formula>
    </cfRule>
    <cfRule type="cellIs" dxfId="154" priority="67" stopIfTrue="1" operator="between">
      <formula>5</formula>
      <formula>6.99</formula>
    </cfRule>
    <cfRule type="cellIs" dxfId="153" priority="68" stopIfTrue="1" operator="between">
      <formula>3</formula>
      <formula>4.99</formula>
    </cfRule>
    <cfRule type="cellIs" dxfId="152" priority="69" stopIfTrue="1" operator="between">
      <formula>1</formula>
      <formula>2.99</formula>
    </cfRule>
    <cfRule type="cellIs" dxfId="151" priority="70" stopIfTrue="1" operator="between">
      <formula>0.001</formula>
      <formula>0.99</formula>
    </cfRule>
  </conditionalFormatting>
  <conditionalFormatting sqref="L1:L1048576">
    <cfRule type="cellIs" dxfId="150" priority="71" stopIfTrue="1" operator="between">
      <formula>0.01</formula>
      <formula>12.5</formula>
    </cfRule>
    <cfRule type="cellIs" dxfId="149" priority="72" stopIfTrue="1" operator="between">
      <formula>12.6</formula>
      <formula>25</formula>
    </cfRule>
    <cfRule type="cellIs" dxfId="148" priority="73" stopIfTrue="1" operator="between">
      <formula>26</formula>
      <formula>50</formula>
    </cfRule>
    <cfRule type="cellIs" dxfId="147" priority="74" stopIfTrue="1" operator="between">
      <formula>51</formula>
      <formula>100</formula>
    </cfRule>
    <cfRule type="cellIs" dxfId="146" priority="75" stopIfTrue="1" operator="between">
      <formula>101</formula>
      <formula>2000</formula>
    </cfRule>
  </conditionalFormatting>
  <conditionalFormatting sqref="O1:O1048576">
    <cfRule type="cellIs" dxfId="145" priority="76" stopIfTrue="1" operator="between">
      <formula>0.01</formula>
      <formula>300</formula>
    </cfRule>
    <cfRule type="cellIs" dxfId="144" priority="77" stopIfTrue="1" operator="between">
      <formula>301</formula>
      <formula>625</formula>
    </cfRule>
    <cfRule type="cellIs" dxfId="143" priority="78" stopIfTrue="1" operator="between">
      <formula>626</formula>
      <formula>1250</formula>
    </cfRule>
    <cfRule type="cellIs" dxfId="142" priority="79" stopIfTrue="1" operator="between">
      <formula>1251</formula>
      <formula>5000</formula>
    </cfRule>
    <cfRule type="cellIs" dxfId="141" priority="80" stopIfTrue="1" operator="between">
      <formula>5001</formula>
      <formula>100000</formula>
    </cfRule>
  </conditionalFormatting>
  <conditionalFormatting sqref="H1:H1048576">
    <cfRule type="cellIs" dxfId="140" priority="81" stopIfTrue="1" operator="between">
      <formula>0.01</formula>
      <formula>0.5</formula>
    </cfRule>
    <cfRule type="cellIs" dxfId="139" priority="82" stopIfTrue="1" operator="between">
      <formula>0.51</formula>
      <formula>1</formula>
    </cfRule>
    <cfRule type="cellIs" dxfId="138" priority="83" stopIfTrue="1" operator="between">
      <formula>1.01</formula>
      <formula>2.5</formula>
    </cfRule>
    <cfRule type="cellIs" dxfId="137" priority="84" stopIfTrue="1" operator="between">
      <formula>2.51</formula>
      <formula>7</formula>
    </cfRule>
    <cfRule type="cellIs" dxfId="136" priority="85" stopIfTrue="1" operator="between">
      <formula>7.01</formula>
      <formula>300</formula>
    </cfRule>
  </conditionalFormatting>
  <conditionalFormatting sqref="P1:P1048576">
    <cfRule type="cellIs" dxfId="135" priority="86" stopIfTrue="1" operator="between">
      <formula>0.01</formula>
      <formula>2</formula>
    </cfRule>
    <cfRule type="cellIs" dxfId="134" priority="87" stopIfTrue="1" operator="between">
      <formula>2.01</formula>
      <formula>5</formula>
    </cfRule>
    <cfRule type="cellIs" dxfId="133" priority="88" stopIfTrue="1" operator="between">
      <formula>5.01</formula>
      <formula>12</formula>
    </cfRule>
    <cfRule type="cellIs" dxfId="132" priority="89" stopIfTrue="1" operator="between">
      <formula>12.01</formula>
      <formula>25</formula>
    </cfRule>
    <cfRule type="cellIs" dxfId="131" priority="90" stopIfTrue="1" operator="between">
      <formula>25.01</formula>
      <formula>300</formula>
    </cfRule>
  </conditionalFormatting>
  <conditionalFormatting sqref="Q1:Q1048576">
    <cfRule type="cellIs" dxfId="130" priority="91" stopIfTrue="1" operator="between">
      <formula>8</formula>
      <formula>100</formula>
    </cfRule>
    <cfRule type="cellIs" dxfId="129" priority="92" stopIfTrue="1" operator="between">
      <formula>5</formula>
      <formula>7.99</formula>
    </cfRule>
    <cfRule type="cellIs" dxfId="128" priority="93" stopIfTrue="1" operator="between">
      <formula>2.5</formula>
      <formula>4.99</formula>
    </cfRule>
    <cfRule type="cellIs" dxfId="127" priority="94" stopIfTrue="1" operator="between">
      <formula>1</formula>
      <formula>2.49</formula>
    </cfRule>
    <cfRule type="cellIs" dxfId="126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128</v>
      </c>
      <c r="M1" s="183" t="s">
        <v>102</v>
      </c>
      <c r="N1" s="183" t="s">
        <v>10</v>
      </c>
      <c r="O1" s="183" t="s">
        <v>129</v>
      </c>
      <c r="P1" s="183" t="s">
        <v>103</v>
      </c>
      <c r="Q1" s="183" t="s">
        <v>11</v>
      </c>
      <c r="R1" s="183" t="s">
        <v>372</v>
      </c>
      <c r="S1" s="183" t="s">
        <v>270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271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252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252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252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148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252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Högsmölla46154</v>
      </c>
      <c r="B7" t="str">
        <f t="shared" si="1"/>
        <v>3   Kävlingeån, vid Högsmölla5</v>
      </c>
      <c r="C7">
        <v>3</v>
      </c>
      <c r="D7" t="s">
        <v>252</v>
      </c>
      <c r="E7" s="216">
        <v>46154</v>
      </c>
      <c r="F7">
        <v>11.6</v>
      </c>
      <c r="G7">
        <v>8.4</v>
      </c>
      <c r="H7">
        <v>78</v>
      </c>
      <c r="I7">
        <v>7.7</v>
      </c>
      <c r="J7">
        <v>4.0999999999999996</v>
      </c>
      <c r="K7">
        <v>48.8</v>
      </c>
      <c r="L7">
        <v>2.5</v>
      </c>
      <c r="M7">
        <v>21</v>
      </c>
      <c r="N7">
        <v>65</v>
      </c>
      <c r="O7">
        <v>770</v>
      </c>
      <c r="P7">
        <v>110</v>
      </c>
      <c r="Q7">
        <v>1300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Högsmölla46183</v>
      </c>
      <c r="B8" t="str">
        <f t="shared" si="1"/>
        <v>3   Kävlingeån, vid Högsmölla6</v>
      </c>
      <c r="C8">
        <v>3</v>
      </c>
      <c r="D8" t="s">
        <v>252</v>
      </c>
      <c r="E8" s="216">
        <v>46183</v>
      </c>
      <c r="F8">
        <v>18.5</v>
      </c>
      <c r="G8">
        <v>7.38</v>
      </c>
      <c r="H8">
        <v>79</v>
      </c>
      <c r="I8">
        <v>7.8</v>
      </c>
      <c r="J8">
        <v>1.4</v>
      </c>
      <c r="K8">
        <v>55</v>
      </c>
      <c r="L8">
        <v>1</v>
      </c>
      <c r="M8">
        <v>48</v>
      </c>
      <c r="N8">
        <v>84</v>
      </c>
      <c r="O8">
        <v>810</v>
      </c>
      <c r="P8">
        <v>64</v>
      </c>
      <c r="Q8">
        <v>1400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</v>
      </c>
      <c r="B9" t="e">
        <f t="shared" si="1"/>
        <v>#VALUE!</v>
      </c>
      <c r="C9">
        <v>3</v>
      </c>
      <c r="D9" t="s">
        <v>252</v>
      </c>
      <c r="E9" s="216" t="s">
        <v>18</v>
      </c>
      <c r="F9" t="s">
        <v>18</v>
      </c>
      <c r="G9" t="s">
        <v>18</v>
      </c>
      <c r="H9" t="s">
        <v>18</v>
      </c>
      <c r="I9" t="s">
        <v>18</v>
      </c>
      <c r="J9" t="s">
        <v>18</v>
      </c>
      <c r="K9" t="s">
        <v>18</v>
      </c>
      <c r="L9" t="s">
        <v>18</v>
      </c>
      <c r="M9" t="s">
        <v>18</v>
      </c>
      <c r="N9" t="s">
        <v>18</v>
      </c>
      <c r="O9" t="s">
        <v>18</v>
      </c>
      <c r="P9" t="s">
        <v>18</v>
      </c>
      <c r="Q9" t="s">
        <v>18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</v>
      </c>
      <c r="B10" t="e">
        <f t="shared" si="1"/>
        <v>#VALUE!</v>
      </c>
      <c r="C10">
        <v>3</v>
      </c>
      <c r="D10" t="s">
        <v>252</v>
      </c>
      <c r="E10" s="216" t="s">
        <v>18</v>
      </c>
      <c r="F10" t="s">
        <v>18</v>
      </c>
      <c r="G10" t="s">
        <v>18</v>
      </c>
      <c r="H10" t="s">
        <v>18</v>
      </c>
      <c r="I10" t="s">
        <v>18</v>
      </c>
      <c r="J10" t="s">
        <v>18</v>
      </c>
      <c r="K10" t="s">
        <v>18</v>
      </c>
      <c r="L10" t="s">
        <v>18</v>
      </c>
      <c r="M10" t="s">
        <v>18</v>
      </c>
      <c r="N10" t="s">
        <v>18</v>
      </c>
      <c r="O10" t="s">
        <v>18</v>
      </c>
      <c r="P10" t="s">
        <v>18</v>
      </c>
      <c r="Q10" t="s">
        <v>18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</v>
      </c>
      <c r="B11" t="e">
        <f t="shared" si="1"/>
        <v>#VALUE!</v>
      </c>
      <c r="C11">
        <v>3</v>
      </c>
      <c r="D11" t="s">
        <v>252</v>
      </c>
      <c r="E11" s="216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252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252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252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253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253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Bråån46154</v>
      </c>
      <c r="B17" t="str">
        <f t="shared" si="2"/>
        <v>10  Kävlingeån, vid Örtofta, uppströms Bråån5</v>
      </c>
      <c r="C17">
        <v>5</v>
      </c>
      <c r="D17" t="s">
        <v>253</v>
      </c>
      <c r="E17" s="216">
        <v>46154</v>
      </c>
      <c r="F17">
        <v>12.1</v>
      </c>
      <c r="G17">
        <v>9.9</v>
      </c>
      <c r="H17">
        <v>92</v>
      </c>
      <c r="I17">
        <v>7.8</v>
      </c>
      <c r="J17">
        <v>4</v>
      </c>
      <c r="K17">
        <v>52.5</v>
      </c>
      <c r="L17">
        <v>2.4</v>
      </c>
      <c r="M17">
        <v>8.6999999999999993</v>
      </c>
      <c r="N17">
        <v>54</v>
      </c>
      <c r="O17">
        <v>550</v>
      </c>
      <c r="P17">
        <v>71</v>
      </c>
      <c r="Q17">
        <v>1200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</v>
      </c>
      <c r="B18" t="e">
        <f t="shared" si="2"/>
        <v>#VALUE!</v>
      </c>
      <c r="C18">
        <v>5</v>
      </c>
      <c r="D18" t="s">
        <v>253</v>
      </c>
      <c r="E18" s="216" t="s">
        <v>18</v>
      </c>
      <c r="F18" t="s">
        <v>18</v>
      </c>
      <c r="G18" t="s">
        <v>18</v>
      </c>
      <c r="H18" t="s">
        <v>18</v>
      </c>
      <c r="I18" t="s">
        <v>18</v>
      </c>
      <c r="J18" t="s">
        <v>18</v>
      </c>
      <c r="K18" t="s">
        <v>18</v>
      </c>
      <c r="L18" t="s">
        <v>18</v>
      </c>
      <c r="M18" t="s">
        <v>18</v>
      </c>
      <c r="N18" t="s">
        <v>18</v>
      </c>
      <c r="O18" t="s">
        <v>18</v>
      </c>
      <c r="P18" t="s">
        <v>18</v>
      </c>
      <c r="Q18" t="s">
        <v>18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</v>
      </c>
      <c r="B19" t="e">
        <f t="shared" si="2"/>
        <v>#VALUE!</v>
      </c>
      <c r="C19">
        <v>5</v>
      </c>
      <c r="D19" t="s">
        <v>253</v>
      </c>
      <c r="E19" s="216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253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265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443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265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265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265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kyrka46154</v>
      </c>
      <c r="B25" t="str">
        <f t="shared" si="2"/>
        <v>12A Kävlingeån, vid Gårdstånga kyrka5</v>
      </c>
      <c r="C25">
        <v>6</v>
      </c>
      <c r="D25" t="s">
        <v>265</v>
      </c>
      <c r="E25" s="216">
        <v>46154</v>
      </c>
      <c r="F25">
        <v>10.7</v>
      </c>
      <c r="G25">
        <v>8.4</v>
      </c>
      <c r="H25">
        <v>76</v>
      </c>
      <c r="I25">
        <v>7.7</v>
      </c>
      <c r="J25">
        <v>4.4000000000000004</v>
      </c>
      <c r="K25">
        <v>47.4</v>
      </c>
      <c r="L25">
        <v>3</v>
      </c>
      <c r="M25">
        <v>23</v>
      </c>
      <c r="N25">
        <v>62</v>
      </c>
      <c r="O25">
        <v>920</v>
      </c>
      <c r="P25">
        <v>320</v>
      </c>
      <c r="Q25">
        <v>1700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kyrka46183</v>
      </c>
      <c r="B26" t="str">
        <f t="shared" si="2"/>
        <v>12A Kävlingeån, vid Gårdstånga kyrka6</v>
      </c>
      <c r="C26">
        <v>6</v>
      </c>
      <c r="D26" t="s">
        <v>265</v>
      </c>
      <c r="E26" s="216">
        <v>46183</v>
      </c>
      <c r="F26">
        <v>16.7</v>
      </c>
      <c r="G26">
        <v>8.0299999999999994</v>
      </c>
      <c r="H26">
        <v>83</v>
      </c>
      <c r="I26">
        <v>7.7</v>
      </c>
      <c r="J26">
        <v>2.1</v>
      </c>
      <c r="K26">
        <v>46.9</v>
      </c>
      <c r="L26">
        <v>2</v>
      </c>
      <c r="M26">
        <v>17</v>
      </c>
      <c r="N26">
        <v>53</v>
      </c>
      <c r="O26">
        <v>650</v>
      </c>
      <c r="P26">
        <v>200</v>
      </c>
      <c r="Q26">
        <v>1400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</v>
      </c>
      <c r="B27" t="e">
        <f t="shared" si="2"/>
        <v>#VALUE!</v>
      </c>
      <c r="C27">
        <v>6</v>
      </c>
      <c r="D27" t="s">
        <v>265</v>
      </c>
      <c r="E27" s="216" t="s">
        <v>18</v>
      </c>
      <c r="F27" t="s">
        <v>18</v>
      </c>
      <c r="G27" t="s">
        <v>18</v>
      </c>
      <c r="H27" t="s">
        <v>18</v>
      </c>
      <c r="I27" t="s">
        <v>18</v>
      </c>
      <c r="J27" t="s">
        <v>18</v>
      </c>
      <c r="K27" t="s">
        <v>18</v>
      </c>
      <c r="L27" t="s">
        <v>18</v>
      </c>
      <c r="M27" t="s">
        <v>18</v>
      </c>
      <c r="N27" t="s">
        <v>18</v>
      </c>
      <c r="O27" t="s">
        <v>18</v>
      </c>
      <c r="P27" t="s">
        <v>18</v>
      </c>
      <c r="Q27" t="s">
        <v>18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</v>
      </c>
      <c r="B28" t="e">
        <f t="shared" si="2"/>
        <v>#VALUE!</v>
      </c>
      <c r="C28">
        <v>6</v>
      </c>
      <c r="D28" t="s">
        <v>265</v>
      </c>
      <c r="E28" s="216" t="s">
        <v>18</v>
      </c>
      <c r="F28" t="s">
        <v>18</v>
      </c>
      <c r="G28" t="s">
        <v>18</v>
      </c>
      <c r="H28" t="s">
        <v>18</v>
      </c>
      <c r="I28" t="s">
        <v>18</v>
      </c>
      <c r="J28" t="s">
        <v>18</v>
      </c>
      <c r="K28" t="s">
        <v>18</v>
      </c>
      <c r="L28" t="s">
        <v>18</v>
      </c>
      <c r="M28" t="s">
        <v>18</v>
      </c>
      <c r="N28" t="s">
        <v>18</v>
      </c>
      <c r="O28" t="s">
        <v>18</v>
      </c>
      <c r="P28" t="s">
        <v>18</v>
      </c>
      <c r="Q28" t="s">
        <v>18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</v>
      </c>
      <c r="B29" t="e">
        <f t="shared" si="2"/>
        <v>#VALUE!</v>
      </c>
      <c r="C29">
        <v>6</v>
      </c>
      <c r="D29" t="s">
        <v>265</v>
      </c>
      <c r="E29" s="216" t="s">
        <v>18</v>
      </c>
      <c r="F29" t="s">
        <v>18</v>
      </c>
      <c r="G29" t="s">
        <v>18</v>
      </c>
      <c r="H29" t="s">
        <v>18</v>
      </c>
      <c r="I29" t="s">
        <v>18</v>
      </c>
      <c r="J29" t="s">
        <v>18</v>
      </c>
      <c r="K29" t="s">
        <v>18</v>
      </c>
      <c r="L29" t="s">
        <v>18</v>
      </c>
      <c r="M29" t="s">
        <v>18</v>
      </c>
      <c r="N29" t="s">
        <v>18</v>
      </c>
      <c r="O29" t="s">
        <v>18</v>
      </c>
      <c r="P29" t="s">
        <v>18</v>
      </c>
      <c r="Q29" t="s">
        <v>18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265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265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265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254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254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254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149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254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149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utlopp46153</v>
      </c>
      <c r="B37" t="str">
        <f t="shared" si="2"/>
        <v>17  Kävlingeån, vid Vombsjöns utlopp5</v>
      </c>
      <c r="C37">
        <v>7</v>
      </c>
      <c r="D37" t="s">
        <v>254</v>
      </c>
      <c r="E37" s="216">
        <v>46153</v>
      </c>
      <c r="F37">
        <v>12.3</v>
      </c>
      <c r="G37">
        <v>11.21</v>
      </c>
      <c r="H37">
        <v>105</v>
      </c>
      <c r="I37">
        <v>8.1999999999999993</v>
      </c>
      <c r="J37">
        <v>1.9</v>
      </c>
      <c r="K37">
        <v>41.6</v>
      </c>
      <c r="L37">
        <v>2.4</v>
      </c>
      <c r="M37">
        <v>2.2999999999999998</v>
      </c>
      <c r="N37">
        <v>26</v>
      </c>
      <c r="O37">
        <v>1100</v>
      </c>
      <c r="P37">
        <v>37</v>
      </c>
      <c r="Q37">
        <v>1700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utlopp46183</v>
      </c>
      <c r="B38" t="str">
        <f t="shared" si="2"/>
        <v>17  Kävlingeån, vid Vombsjöns utlopp6</v>
      </c>
      <c r="C38">
        <v>7</v>
      </c>
      <c r="D38" t="s">
        <v>254</v>
      </c>
      <c r="E38" s="216">
        <v>46183</v>
      </c>
      <c r="F38">
        <v>16.600000000000001</v>
      </c>
      <c r="G38">
        <v>10.68</v>
      </c>
      <c r="H38">
        <v>110</v>
      </c>
      <c r="I38">
        <v>8.4</v>
      </c>
      <c r="J38">
        <v>2</v>
      </c>
      <c r="K38">
        <v>40.1</v>
      </c>
      <c r="L38">
        <v>1.6</v>
      </c>
      <c r="M38" t="s">
        <v>149</v>
      </c>
      <c r="N38">
        <v>22</v>
      </c>
      <c r="O38">
        <v>820</v>
      </c>
      <c r="P38">
        <v>32</v>
      </c>
      <c r="Q38">
        <v>1300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</v>
      </c>
      <c r="B39" t="e">
        <f t="shared" si="2"/>
        <v>#VALUE!</v>
      </c>
      <c r="C39">
        <v>7</v>
      </c>
      <c r="D39" t="s">
        <v>254</v>
      </c>
      <c r="E39" s="216" t="s">
        <v>18</v>
      </c>
      <c r="F39" t="s">
        <v>18</v>
      </c>
      <c r="G39" t="s">
        <v>18</v>
      </c>
      <c r="H39" t="s">
        <v>18</v>
      </c>
      <c r="I39" t="s">
        <v>18</v>
      </c>
      <c r="J39" t="s">
        <v>18</v>
      </c>
      <c r="K39" t="s">
        <v>18</v>
      </c>
      <c r="L39" t="s">
        <v>18</v>
      </c>
      <c r="M39" t="s">
        <v>18</v>
      </c>
      <c r="N39" t="s">
        <v>18</v>
      </c>
      <c r="O39" t="s">
        <v>18</v>
      </c>
      <c r="P39" t="s">
        <v>18</v>
      </c>
      <c r="Q39" t="s">
        <v>18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</v>
      </c>
      <c r="B40" t="e">
        <f t="shared" si="2"/>
        <v>#VALUE!</v>
      </c>
      <c r="C40">
        <v>7</v>
      </c>
      <c r="D40" t="s">
        <v>254</v>
      </c>
      <c r="E40" s="216" t="s">
        <v>18</v>
      </c>
      <c r="F40" t="s">
        <v>18</v>
      </c>
      <c r="G40" t="s">
        <v>18</v>
      </c>
      <c r="H40" t="s">
        <v>18</v>
      </c>
      <c r="I40" t="s">
        <v>18</v>
      </c>
      <c r="J40" t="s">
        <v>18</v>
      </c>
      <c r="K40" t="s">
        <v>18</v>
      </c>
      <c r="L40" t="s">
        <v>18</v>
      </c>
      <c r="M40" t="s">
        <v>18</v>
      </c>
      <c r="N40" t="s">
        <v>18</v>
      </c>
      <c r="O40" t="s">
        <v>18</v>
      </c>
      <c r="P40" t="s">
        <v>18</v>
      </c>
      <c r="Q40" t="s">
        <v>18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</v>
      </c>
      <c r="B41" t="e">
        <f t="shared" si="2"/>
        <v>#VALUE!</v>
      </c>
      <c r="C41">
        <v>7</v>
      </c>
      <c r="D41" t="s">
        <v>254</v>
      </c>
      <c r="E41" s="216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254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254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254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255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255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Vombsjön46153</v>
      </c>
      <c r="B47" t="str">
        <f t="shared" si="2"/>
        <v>19  Torpsbäcken, vid utlopp till Vombsjön5</v>
      </c>
      <c r="C47">
        <v>9</v>
      </c>
      <c r="D47" t="s">
        <v>255</v>
      </c>
      <c r="E47" s="216">
        <v>46153</v>
      </c>
      <c r="F47">
        <v>9.5</v>
      </c>
      <c r="G47">
        <v>8.9700000000000006</v>
      </c>
      <c r="H47">
        <v>79</v>
      </c>
      <c r="I47">
        <v>7.7</v>
      </c>
      <c r="J47">
        <v>2.1</v>
      </c>
      <c r="K47">
        <v>53.3</v>
      </c>
      <c r="L47">
        <v>3</v>
      </c>
      <c r="M47">
        <v>33</v>
      </c>
      <c r="N47">
        <v>89</v>
      </c>
      <c r="O47">
        <v>1500</v>
      </c>
      <c r="P47">
        <v>56</v>
      </c>
      <c r="Q47">
        <v>2000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</v>
      </c>
      <c r="B48" t="e">
        <f t="shared" si="2"/>
        <v>#VALUE!</v>
      </c>
      <c r="C48">
        <v>9</v>
      </c>
      <c r="D48" t="s">
        <v>255</v>
      </c>
      <c r="E48" s="216" t="s">
        <v>18</v>
      </c>
      <c r="F48" t="s">
        <v>18</v>
      </c>
      <c r="G48" t="s">
        <v>18</v>
      </c>
      <c r="H48" t="s">
        <v>18</v>
      </c>
      <c r="I48" t="s">
        <v>18</v>
      </c>
      <c r="J48" t="s">
        <v>18</v>
      </c>
      <c r="K48" t="s">
        <v>18</v>
      </c>
      <c r="L48" t="s">
        <v>18</v>
      </c>
      <c r="M48" t="s">
        <v>18</v>
      </c>
      <c r="N48" t="s">
        <v>18</v>
      </c>
      <c r="O48" t="s">
        <v>18</v>
      </c>
      <c r="P48" t="s">
        <v>18</v>
      </c>
      <c r="Q48" t="s">
        <v>18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</v>
      </c>
      <c r="B49" t="e">
        <f t="shared" si="2"/>
        <v>#VALUE!</v>
      </c>
      <c r="C49">
        <v>9</v>
      </c>
      <c r="D49" t="s">
        <v>255</v>
      </c>
      <c r="E49" s="216" t="s">
        <v>18</v>
      </c>
      <c r="F49" t="s">
        <v>18</v>
      </c>
      <c r="G49" t="s">
        <v>18</v>
      </c>
      <c r="H49" t="s">
        <v>18</v>
      </c>
      <c r="I49" t="s">
        <v>18</v>
      </c>
      <c r="J49" t="s">
        <v>18</v>
      </c>
      <c r="K49" t="s">
        <v>18</v>
      </c>
      <c r="L49" t="s">
        <v>18</v>
      </c>
      <c r="M49" t="s">
        <v>18</v>
      </c>
      <c r="N49" t="s">
        <v>18</v>
      </c>
      <c r="O49" t="s">
        <v>18</v>
      </c>
      <c r="P49" t="s">
        <v>18</v>
      </c>
      <c r="Q49" t="s">
        <v>18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255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256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256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256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256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149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Vombsjön46153</v>
      </c>
      <c r="B55" t="str">
        <f t="shared" si="2"/>
        <v>20  Björkaån, vid Björka före utlopp till Vombsjön5</v>
      </c>
      <c r="C55">
        <v>11</v>
      </c>
      <c r="D55" t="s">
        <v>256</v>
      </c>
      <c r="E55" s="216">
        <v>46153</v>
      </c>
      <c r="F55">
        <v>10.199999999999999</v>
      </c>
      <c r="G55">
        <v>10.47</v>
      </c>
      <c r="H55">
        <v>94</v>
      </c>
      <c r="I55">
        <v>8</v>
      </c>
      <c r="J55">
        <v>2.6</v>
      </c>
      <c r="K55">
        <v>56.9</v>
      </c>
      <c r="L55">
        <v>1.9</v>
      </c>
      <c r="M55">
        <v>3.7</v>
      </c>
      <c r="N55">
        <v>24</v>
      </c>
      <c r="O55">
        <v>1600</v>
      </c>
      <c r="P55">
        <v>15</v>
      </c>
      <c r="Q55">
        <v>1800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Vombsjön46183</v>
      </c>
      <c r="B56" t="str">
        <f t="shared" si="2"/>
        <v>20  Björkaån, vid Björka före utlopp till Vombsjön6</v>
      </c>
      <c r="C56">
        <v>11</v>
      </c>
      <c r="D56" t="s">
        <v>256</v>
      </c>
      <c r="E56" s="216">
        <v>46183</v>
      </c>
      <c r="F56">
        <v>14.9</v>
      </c>
      <c r="G56">
        <v>8.81</v>
      </c>
      <c r="H56">
        <v>87</v>
      </c>
      <c r="I56">
        <v>7.9</v>
      </c>
      <c r="J56">
        <v>3</v>
      </c>
      <c r="K56">
        <v>54.5</v>
      </c>
      <c r="L56">
        <v>2.4</v>
      </c>
      <c r="M56">
        <v>38</v>
      </c>
      <c r="N56">
        <v>74</v>
      </c>
      <c r="O56">
        <v>1400</v>
      </c>
      <c r="P56">
        <v>43</v>
      </c>
      <c r="Q56">
        <v>2100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</v>
      </c>
      <c r="B57" t="e">
        <f t="shared" si="2"/>
        <v>#VALUE!</v>
      </c>
      <c r="C57">
        <v>11</v>
      </c>
      <c r="D57" t="s">
        <v>256</v>
      </c>
      <c r="E57" s="216" t="s">
        <v>18</v>
      </c>
      <c r="F57" t="s">
        <v>18</v>
      </c>
      <c r="G57" t="s">
        <v>18</v>
      </c>
      <c r="H57" t="s">
        <v>18</v>
      </c>
      <c r="I57" t="s">
        <v>18</v>
      </c>
      <c r="J57" t="s">
        <v>18</v>
      </c>
      <c r="K57" t="s">
        <v>18</v>
      </c>
      <c r="L57" t="s">
        <v>18</v>
      </c>
      <c r="M57" t="s">
        <v>18</v>
      </c>
      <c r="N57" t="s">
        <v>18</v>
      </c>
      <c r="O57" t="s">
        <v>18</v>
      </c>
      <c r="P57" t="s">
        <v>18</v>
      </c>
      <c r="Q57" t="s">
        <v>18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</v>
      </c>
      <c r="B58" t="e">
        <f t="shared" si="2"/>
        <v>#VALUE!</v>
      </c>
      <c r="C58">
        <v>11</v>
      </c>
      <c r="D58" t="s">
        <v>256</v>
      </c>
      <c r="E58" s="216" t="s">
        <v>18</v>
      </c>
      <c r="F58" t="s">
        <v>18</v>
      </c>
      <c r="G58" t="s">
        <v>18</v>
      </c>
      <c r="H58" t="s">
        <v>18</v>
      </c>
      <c r="I58" t="s">
        <v>18</v>
      </c>
      <c r="J58" t="s">
        <v>18</v>
      </c>
      <c r="K58" t="s">
        <v>18</v>
      </c>
      <c r="L58" t="s">
        <v>18</v>
      </c>
      <c r="M58" t="s">
        <v>18</v>
      </c>
      <c r="N58" t="s">
        <v>18</v>
      </c>
      <c r="O58" t="s">
        <v>18</v>
      </c>
      <c r="P58" t="s">
        <v>18</v>
      </c>
      <c r="Q58" t="s">
        <v>18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</v>
      </c>
      <c r="B59" t="e">
        <f t="shared" si="2"/>
        <v>#VALUE!</v>
      </c>
      <c r="C59">
        <v>11</v>
      </c>
      <c r="D59" t="s">
        <v>256</v>
      </c>
      <c r="E59" s="216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  <c r="Q59" t="s">
        <v>18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256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256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256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257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443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257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Vollsjö46153</v>
      </c>
      <c r="B65" t="str">
        <f t="shared" si="2"/>
        <v>23  Vollsjöån, nedströms Vollsjö5</v>
      </c>
      <c r="C65">
        <v>13</v>
      </c>
      <c r="D65" t="s">
        <v>257</v>
      </c>
      <c r="E65" s="216">
        <v>46153</v>
      </c>
      <c r="F65">
        <v>9.3000000000000007</v>
      </c>
      <c r="G65">
        <v>11.02</v>
      </c>
      <c r="H65">
        <v>96</v>
      </c>
      <c r="I65">
        <v>8</v>
      </c>
      <c r="J65">
        <v>1.7</v>
      </c>
      <c r="K65">
        <v>51.8</v>
      </c>
      <c r="L65">
        <v>3.6</v>
      </c>
      <c r="M65">
        <v>3.9</v>
      </c>
      <c r="N65">
        <v>40</v>
      </c>
      <c r="O65">
        <v>1900</v>
      </c>
      <c r="P65">
        <v>120</v>
      </c>
      <c r="Q65">
        <v>2400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</v>
      </c>
      <c r="B66" t="e">
        <f t="shared" si="2"/>
        <v>#VALUE!</v>
      </c>
      <c r="C66">
        <v>13</v>
      </c>
      <c r="D66" t="s">
        <v>257</v>
      </c>
      <c r="E66" s="216" t="s">
        <v>18</v>
      </c>
      <c r="F66" t="s">
        <v>18</v>
      </c>
      <c r="G66" t="s">
        <v>18</v>
      </c>
      <c r="H66" t="s">
        <v>18</v>
      </c>
      <c r="I66" t="s">
        <v>18</v>
      </c>
      <c r="J66" t="s">
        <v>18</v>
      </c>
      <c r="K66" t="s">
        <v>18</v>
      </c>
      <c r="L66" t="s">
        <v>18</v>
      </c>
      <c r="M66" t="s">
        <v>18</v>
      </c>
      <c r="N66" t="s">
        <v>18</v>
      </c>
      <c r="O66" t="s">
        <v>18</v>
      </c>
      <c r="P66" t="s">
        <v>18</v>
      </c>
      <c r="Q66" t="s">
        <v>18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</v>
      </c>
      <c r="B67" t="e">
        <f t="shared" si="2"/>
        <v>#VALUE!</v>
      </c>
      <c r="C67">
        <v>13</v>
      </c>
      <c r="D67" t="s">
        <v>257</v>
      </c>
      <c r="E67" s="216" t="s">
        <v>18</v>
      </c>
      <c r="F67" t="s">
        <v>18</v>
      </c>
      <c r="G67" t="s">
        <v>18</v>
      </c>
      <c r="H67" t="s">
        <v>18</v>
      </c>
      <c r="I67" t="s">
        <v>18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 t="s">
        <v>18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257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258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258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Tolångaån46153</v>
      </c>
      <c r="B71" t="str">
        <f t="shared" si="2"/>
        <v>51 Tranåsbäcken, vid utlopp till Tolångaån5</v>
      </c>
      <c r="C71">
        <v>15</v>
      </c>
      <c r="D71" t="s">
        <v>258</v>
      </c>
      <c r="E71" s="216">
        <v>46153</v>
      </c>
      <c r="F71">
        <v>9.4</v>
      </c>
      <c r="G71">
        <v>10.888999999999999</v>
      </c>
      <c r="H71">
        <v>95</v>
      </c>
      <c r="I71">
        <v>8</v>
      </c>
      <c r="J71">
        <v>2</v>
      </c>
      <c r="K71">
        <v>62.2</v>
      </c>
      <c r="L71">
        <v>2.8</v>
      </c>
      <c r="M71">
        <v>4.2</v>
      </c>
      <c r="N71">
        <v>28</v>
      </c>
      <c r="O71">
        <v>2000</v>
      </c>
      <c r="P71">
        <v>44</v>
      </c>
      <c r="Q71">
        <v>2300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</v>
      </c>
      <c r="B72" t="e">
        <f t="shared" si="2"/>
        <v>#VALUE!</v>
      </c>
      <c r="C72">
        <v>15</v>
      </c>
      <c r="D72" t="s">
        <v>258</v>
      </c>
      <c r="E72" s="216" t="s">
        <v>18</v>
      </c>
      <c r="F72" t="s">
        <v>18</v>
      </c>
      <c r="G72" t="s">
        <v>18</v>
      </c>
      <c r="H72" t="s">
        <v>18</v>
      </c>
      <c r="I72" t="s">
        <v>18</v>
      </c>
      <c r="J72" t="s">
        <v>18</v>
      </c>
      <c r="K72" t="s">
        <v>18</v>
      </c>
      <c r="L72" t="s">
        <v>18</v>
      </c>
      <c r="M72" t="s">
        <v>18</v>
      </c>
      <c r="N72" t="s">
        <v>18</v>
      </c>
      <c r="O72" t="s">
        <v>18</v>
      </c>
      <c r="P72" t="s">
        <v>18</v>
      </c>
      <c r="Q72" t="s">
        <v>18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</v>
      </c>
      <c r="B73" t="e">
        <f t="shared" si="2"/>
        <v>#VALUE!</v>
      </c>
      <c r="C73">
        <v>15</v>
      </c>
      <c r="D73" t="s">
        <v>258</v>
      </c>
      <c r="E73" s="216" t="s">
        <v>18</v>
      </c>
      <c r="F73" t="s">
        <v>18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258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259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443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259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Tolångaån46153</v>
      </c>
      <c r="B77" t="str">
        <f t="shared" ref="B77:B110" si="5">CONCATENATE(D77,MONTH(E77))</f>
        <v>52  Djurrödsbäcken, vid utlopp till Tolångaån5</v>
      </c>
      <c r="C77">
        <v>17</v>
      </c>
      <c r="D77" t="s">
        <v>259</v>
      </c>
      <c r="E77" s="216">
        <v>46153</v>
      </c>
      <c r="F77">
        <v>8.6999999999999993</v>
      </c>
      <c r="G77">
        <v>11.07</v>
      </c>
      <c r="H77">
        <v>95</v>
      </c>
      <c r="I77">
        <v>7.9</v>
      </c>
      <c r="J77">
        <v>3.4</v>
      </c>
      <c r="K77">
        <v>44.7</v>
      </c>
      <c r="L77">
        <v>2.2999999999999998</v>
      </c>
      <c r="M77">
        <v>6.1</v>
      </c>
      <c r="N77">
        <v>30</v>
      </c>
      <c r="O77">
        <v>980</v>
      </c>
      <c r="P77">
        <v>61</v>
      </c>
      <c r="Q77">
        <v>1300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</v>
      </c>
      <c r="B78" t="e">
        <f t="shared" si="5"/>
        <v>#VALUE!</v>
      </c>
      <c r="C78">
        <v>17</v>
      </c>
      <c r="D78" t="s">
        <v>259</v>
      </c>
      <c r="E78" s="216" t="s">
        <v>18</v>
      </c>
      <c r="F78" t="s">
        <v>18</v>
      </c>
      <c r="G78" t="s">
        <v>18</v>
      </c>
      <c r="H78" t="s">
        <v>18</v>
      </c>
      <c r="I78" t="s">
        <v>18</v>
      </c>
      <c r="J78" t="s">
        <v>18</v>
      </c>
      <c r="K78" t="s">
        <v>18</v>
      </c>
      <c r="L78" t="s">
        <v>18</v>
      </c>
      <c r="M78" t="s">
        <v>18</v>
      </c>
      <c r="N78" t="s">
        <v>18</v>
      </c>
      <c r="O78" t="s">
        <v>18</v>
      </c>
      <c r="P78" t="s">
        <v>18</v>
      </c>
      <c r="Q78" t="s">
        <v>18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</v>
      </c>
      <c r="B79" t="e">
        <f t="shared" si="5"/>
        <v>#VALUE!</v>
      </c>
      <c r="C79">
        <v>17</v>
      </c>
      <c r="D79" t="s">
        <v>259</v>
      </c>
      <c r="E79" s="216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 t="s">
        <v>18</v>
      </c>
      <c r="O79" t="s">
        <v>18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259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266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266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Vombsjön46153</v>
      </c>
      <c r="B83" t="str">
        <f t="shared" si="5"/>
        <v>21  Borstbäcken, före utloppet i Vombsjön5</v>
      </c>
      <c r="C83">
        <v>18</v>
      </c>
      <c r="D83" t="s">
        <v>266</v>
      </c>
      <c r="E83" s="216">
        <v>46153</v>
      </c>
      <c r="F83">
        <v>8.3000000000000007</v>
      </c>
      <c r="G83">
        <v>11.61</v>
      </c>
      <c r="H83">
        <v>99</v>
      </c>
      <c r="I83">
        <v>8.1999999999999993</v>
      </c>
      <c r="J83">
        <v>0.81</v>
      </c>
      <c r="K83">
        <v>59.1</v>
      </c>
      <c r="L83">
        <v>2.2999999999999998</v>
      </c>
      <c r="M83" t="s">
        <v>149</v>
      </c>
      <c r="N83">
        <v>24</v>
      </c>
      <c r="O83">
        <v>1900</v>
      </c>
      <c r="P83" t="s">
        <v>148</v>
      </c>
      <c r="Q83">
        <v>2300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</v>
      </c>
      <c r="B84" t="e">
        <f t="shared" si="5"/>
        <v>#VALUE!</v>
      </c>
      <c r="C84">
        <v>18</v>
      </c>
      <c r="D84" t="s">
        <v>266</v>
      </c>
      <c r="E84" s="216" t="s">
        <v>18</v>
      </c>
      <c r="F84" t="s">
        <v>18</v>
      </c>
      <c r="G84" t="s">
        <v>18</v>
      </c>
      <c r="H84" t="s">
        <v>18</v>
      </c>
      <c r="I84" t="s">
        <v>18</v>
      </c>
      <c r="J84" t="s">
        <v>18</v>
      </c>
      <c r="K84" t="s">
        <v>18</v>
      </c>
      <c r="L84" t="s">
        <v>18</v>
      </c>
      <c r="M84" t="s">
        <v>18</v>
      </c>
      <c r="N84" t="s">
        <v>18</v>
      </c>
      <c r="O84" t="s">
        <v>18</v>
      </c>
      <c r="P84" t="s">
        <v>18</v>
      </c>
      <c r="Q84" t="s">
        <v>18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</v>
      </c>
      <c r="B85" t="e">
        <f t="shared" si="5"/>
        <v>#VALUE!</v>
      </c>
      <c r="C85">
        <v>18</v>
      </c>
      <c r="D85" t="s">
        <v>266</v>
      </c>
      <c r="E85" s="216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 t="s">
        <v>18</v>
      </c>
      <c r="O85" t="s">
        <v>18</v>
      </c>
      <c r="P85" t="s">
        <v>18</v>
      </c>
      <c r="Q85" t="s">
        <v>18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266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260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260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260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260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kyrka46154</v>
      </c>
      <c r="B91" t="str">
        <f t="shared" si="5"/>
        <v>27A Bråån, g:a vägbron vid Örtofta kyrka5</v>
      </c>
      <c r="C91">
        <v>19</v>
      </c>
      <c r="D91" t="s">
        <v>260</v>
      </c>
      <c r="E91" s="216">
        <v>46154</v>
      </c>
      <c r="F91">
        <v>10.1</v>
      </c>
      <c r="G91">
        <v>8.4</v>
      </c>
      <c r="H91">
        <v>75</v>
      </c>
      <c r="I91">
        <v>7.6</v>
      </c>
      <c r="J91">
        <v>4.5999999999999996</v>
      </c>
      <c r="K91">
        <v>70.400000000000006</v>
      </c>
      <c r="L91">
        <v>4.2</v>
      </c>
      <c r="M91">
        <v>41</v>
      </c>
      <c r="N91">
        <v>100</v>
      </c>
      <c r="O91">
        <v>1300</v>
      </c>
      <c r="P91">
        <v>310</v>
      </c>
      <c r="Q91">
        <v>2200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kyrka46183</v>
      </c>
      <c r="B92" t="str">
        <f t="shared" si="5"/>
        <v>27A Bråån, g:a vägbron vid Örtofta kyrka6</v>
      </c>
      <c r="C92">
        <v>19</v>
      </c>
      <c r="D92" t="s">
        <v>260</v>
      </c>
      <c r="E92" s="216">
        <v>46183</v>
      </c>
      <c r="F92">
        <v>15.5</v>
      </c>
      <c r="G92">
        <v>7.08</v>
      </c>
      <c r="H92">
        <v>71</v>
      </c>
      <c r="I92">
        <v>7.8</v>
      </c>
      <c r="J92">
        <v>1.6</v>
      </c>
      <c r="K92">
        <v>65.900000000000006</v>
      </c>
      <c r="L92">
        <v>1.6</v>
      </c>
      <c r="M92">
        <v>120</v>
      </c>
      <c r="N92">
        <v>170</v>
      </c>
      <c r="O92">
        <v>1200</v>
      </c>
      <c r="P92">
        <v>55</v>
      </c>
      <c r="Q92">
        <v>2000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</v>
      </c>
      <c r="B93" t="e">
        <f t="shared" si="5"/>
        <v>#VALUE!</v>
      </c>
      <c r="C93">
        <v>19</v>
      </c>
      <c r="D93" t="s">
        <v>260</v>
      </c>
      <c r="E93" s="216" t="s">
        <v>18</v>
      </c>
      <c r="F93" t="s">
        <v>18</v>
      </c>
      <c r="G93" t="s">
        <v>18</v>
      </c>
      <c r="H93" t="s">
        <v>18</v>
      </c>
      <c r="I93" t="s">
        <v>18</v>
      </c>
      <c r="J93" t="s">
        <v>18</v>
      </c>
      <c r="K93" t="s">
        <v>18</v>
      </c>
      <c r="L93" t="s">
        <v>18</v>
      </c>
      <c r="M93" t="s">
        <v>18</v>
      </c>
      <c r="N93" t="s">
        <v>18</v>
      </c>
      <c r="O93" t="s">
        <v>18</v>
      </c>
      <c r="P93" t="s">
        <v>18</v>
      </c>
      <c r="Q93" t="s">
        <v>18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</v>
      </c>
      <c r="B94" t="e">
        <f t="shared" si="5"/>
        <v>#VALUE!</v>
      </c>
      <c r="C94">
        <v>19</v>
      </c>
      <c r="D94" t="s">
        <v>260</v>
      </c>
      <c r="E94" s="216" t="s">
        <v>18</v>
      </c>
      <c r="F94" t="s">
        <v>18</v>
      </c>
      <c r="G94" t="s">
        <v>18</v>
      </c>
      <c r="H94" t="s">
        <v>18</v>
      </c>
      <c r="I94" t="s">
        <v>18</v>
      </c>
      <c r="J94" t="s">
        <v>18</v>
      </c>
      <c r="K94" t="s">
        <v>18</v>
      </c>
      <c r="L94" t="s">
        <v>18</v>
      </c>
      <c r="M94" t="s">
        <v>18</v>
      </c>
      <c r="N94" t="s">
        <v>18</v>
      </c>
      <c r="O94" t="s">
        <v>18</v>
      </c>
      <c r="P94" t="s">
        <v>18</v>
      </c>
      <c r="Q94" t="s">
        <v>18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</v>
      </c>
      <c r="B95" t="e">
        <f t="shared" si="5"/>
        <v>#VALUE!</v>
      </c>
      <c r="C95">
        <v>19</v>
      </c>
      <c r="D95" t="s">
        <v>260</v>
      </c>
      <c r="E95" s="216" t="s">
        <v>18</v>
      </c>
      <c r="F95" t="s">
        <v>18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260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260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260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267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267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267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267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slott46154</v>
      </c>
      <c r="B103" t="str">
        <f t="shared" si="5"/>
        <v>27  Bråån, vägbron vid Ellinge slott5</v>
      </c>
      <c r="C103">
        <v>20</v>
      </c>
      <c r="D103" t="s">
        <v>267</v>
      </c>
      <c r="E103" s="216">
        <v>46154</v>
      </c>
      <c r="F103">
        <v>8.9</v>
      </c>
      <c r="G103">
        <v>10.7</v>
      </c>
      <c r="H103">
        <v>93</v>
      </c>
      <c r="I103">
        <v>7.8</v>
      </c>
      <c r="J103">
        <v>3</v>
      </c>
      <c r="K103">
        <v>67.8</v>
      </c>
      <c r="L103">
        <v>3.9</v>
      </c>
      <c r="M103">
        <v>40</v>
      </c>
      <c r="N103">
        <v>88</v>
      </c>
      <c r="O103">
        <v>1700</v>
      </c>
      <c r="P103">
        <v>430</v>
      </c>
      <c r="Q103">
        <v>2400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slott46183</v>
      </c>
      <c r="B104" t="str">
        <f t="shared" si="5"/>
        <v>27  Bråån, vägbron vid Ellinge slott6</v>
      </c>
      <c r="C104">
        <v>20</v>
      </c>
      <c r="D104" t="s">
        <v>267</v>
      </c>
      <c r="E104" s="216">
        <v>46183</v>
      </c>
      <c r="F104">
        <v>15.5</v>
      </c>
      <c r="G104">
        <v>8.84</v>
      </c>
      <c r="H104">
        <v>89</v>
      </c>
      <c r="I104">
        <v>7.9</v>
      </c>
      <c r="J104">
        <v>1.8</v>
      </c>
      <c r="K104">
        <v>62.6</v>
      </c>
      <c r="L104">
        <v>2</v>
      </c>
      <c r="M104">
        <v>91</v>
      </c>
      <c r="N104">
        <v>150</v>
      </c>
      <c r="O104">
        <v>1200</v>
      </c>
      <c r="P104">
        <v>460</v>
      </c>
      <c r="Q104">
        <v>2200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</v>
      </c>
      <c r="B105" t="e">
        <f t="shared" si="5"/>
        <v>#VALUE!</v>
      </c>
      <c r="C105">
        <v>20</v>
      </c>
      <c r="D105" t="s">
        <v>267</v>
      </c>
      <c r="E105" s="216" t="s">
        <v>18</v>
      </c>
      <c r="F105" t="s">
        <v>18</v>
      </c>
      <c r="G105" t="s">
        <v>18</v>
      </c>
      <c r="H105" t="s">
        <v>18</v>
      </c>
      <c r="I105" t="s">
        <v>18</v>
      </c>
      <c r="J105" t="s">
        <v>18</v>
      </c>
      <c r="K105" t="s">
        <v>18</v>
      </c>
      <c r="L105" t="s">
        <v>18</v>
      </c>
      <c r="M105" t="s">
        <v>18</v>
      </c>
      <c r="N105" t="s">
        <v>18</v>
      </c>
      <c r="O105" t="s">
        <v>18</v>
      </c>
      <c r="P105" t="s">
        <v>18</v>
      </c>
      <c r="Q105" t="s">
        <v>18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</v>
      </c>
      <c r="B106" t="e">
        <f t="shared" si="5"/>
        <v>#VALUE!</v>
      </c>
      <c r="C106">
        <v>20</v>
      </c>
      <c r="D106" t="s">
        <v>267</v>
      </c>
      <c r="E106" s="216" t="s">
        <v>18</v>
      </c>
      <c r="F106" t="s">
        <v>18</v>
      </c>
      <c r="G106" t="s">
        <v>18</v>
      </c>
      <c r="H106" t="s">
        <v>18</v>
      </c>
      <c r="I106" t="s">
        <v>18</v>
      </c>
      <c r="J106" t="s">
        <v>18</v>
      </c>
      <c r="K106" t="s">
        <v>18</v>
      </c>
      <c r="L106" t="s">
        <v>18</v>
      </c>
      <c r="M106" t="s">
        <v>18</v>
      </c>
      <c r="N106" t="s">
        <v>18</v>
      </c>
      <c r="O106" t="s">
        <v>18</v>
      </c>
      <c r="P106" t="s">
        <v>18</v>
      </c>
      <c r="Q106" t="s">
        <v>18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</v>
      </c>
      <c r="B107" t="e">
        <f t="shared" si="5"/>
        <v>#VALUE!</v>
      </c>
      <c r="C107">
        <v>20</v>
      </c>
      <c r="D107" t="s">
        <v>267</v>
      </c>
      <c r="E107" s="216" t="s">
        <v>18</v>
      </c>
      <c r="F107" t="s">
        <v>18</v>
      </c>
      <c r="G107" t="s">
        <v>18</v>
      </c>
      <c r="H107" t="s">
        <v>18</v>
      </c>
      <c r="I107" t="s">
        <v>18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267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267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267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261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288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261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261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148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261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148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Eslövsbäcken46154</v>
      </c>
      <c r="B115" t="str">
        <f t="shared" si="8"/>
        <v>53A Bråån, vid  golfbana, uppströms Eslövsbäcken5</v>
      </c>
      <c r="C115">
        <v>21</v>
      </c>
      <c r="D115" t="s">
        <v>261</v>
      </c>
      <c r="E115" s="216">
        <v>46154</v>
      </c>
      <c r="F115">
        <v>8.9</v>
      </c>
      <c r="G115">
        <v>10.4</v>
      </c>
      <c r="H115">
        <v>90</v>
      </c>
      <c r="I115">
        <v>7.9</v>
      </c>
      <c r="J115">
        <v>2.9</v>
      </c>
      <c r="K115">
        <v>54.7</v>
      </c>
      <c r="L115">
        <v>2.6</v>
      </c>
      <c r="M115">
        <v>37</v>
      </c>
      <c r="N115">
        <v>76</v>
      </c>
      <c r="O115">
        <v>1600</v>
      </c>
      <c r="P115">
        <v>46</v>
      </c>
      <c r="Q115">
        <v>2100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Eslövsbäcken46183</v>
      </c>
      <c r="B116" t="str">
        <f t="shared" si="8"/>
        <v>53A Bråån, vid  golfbana, uppströms Eslövsbäcken6</v>
      </c>
      <c r="C116">
        <v>21</v>
      </c>
      <c r="D116" t="s">
        <v>261</v>
      </c>
      <c r="E116" s="216">
        <v>46183</v>
      </c>
      <c r="F116">
        <v>14.6</v>
      </c>
      <c r="G116">
        <v>9.49</v>
      </c>
      <c r="H116">
        <v>94</v>
      </c>
      <c r="I116">
        <v>8</v>
      </c>
      <c r="J116">
        <v>1.4</v>
      </c>
      <c r="K116">
        <v>55</v>
      </c>
      <c r="L116">
        <v>1.4</v>
      </c>
      <c r="M116">
        <v>130</v>
      </c>
      <c r="N116">
        <v>160</v>
      </c>
      <c r="O116">
        <v>520</v>
      </c>
      <c r="P116">
        <v>37</v>
      </c>
      <c r="Q116">
        <v>1000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</v>
      </c>
      <c r="B117" t="e">
        <f t="shared" si="8"/>
        <v>#VALUE!</v>
      </c>
      <c r="C117">
        <v>21</v>
      </c>
      <c r="D117" t="s">
        <v>261</v>
      </c>
      <c r="E117" s="216" t="s">
        <v>18</v>
      </c>
      <c r="F117" t="s">
        <v>18</v>
      </c>
      <c r="G117" t="s">
        <v>18</v>
      </c>
      <c r="H117" t="s">
        <v>18</v>
      </c>
      <c r="I117" t="s">
        <v>18</v>
      </c>
      <c r="J117" t="s">
        <v>18</v>
      </c>
      <c r="K117" t="s">
        <v>18</v>
      </c>
      <c r="L117" t="s">
        <v>18</v>
      </c>
      <c r="M117" t="s">
        <v>18</v>
      </c>
      <c r="N117" t="s">
        <v>18</v>
      </c>
      <c r="O117" t="s">
        <v>18</v>
      </c>
      <c r="P117" t="s">
        <v>18</v>
      </c>
      <c r="Q117" t="s">
        <v>18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</v>
      </c>
      <c r="B118" t="e">
        <f t="shared" si="8"/>
        <v>#VALUE!</v>
      </c>
      <c r="C118">
        <v>21</v>
      </c>
      <c r="D118" t="s">
        <v>261</v>
      </c>
      <c r="E118" s="216" t="s">
        <v>18</v>
      </c>
      <c r="F118" t="s">
        <v>18</v>
      </c>
      <c r="G118" t="s">
        <v>18</v>
      </c>
      <c r="H118" t="s">
        <v>18</v>
      </c>
      <c r="I118" t="s">
        <v>18</v>
      </c>
      <c r="J118" t="s">
        <v>18</v>
      </c>
      <c r="K118" t="s">
        <v>18</v>
      </c>
      <c r="L118" t="s">
        <v>18</v>
      </c>
      <c r="M118" t="s">
        <v>18</v>
      </c>
      <c r="N118" t="s">
        <v>18</v>
      </c>
      <c r="O118" t="s">
        <v>18</v>
      </c>
      <c r="P118" t="s">
        <v>18</v>
      </c>
      <c r="Q118" t="s">
        <v>18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</v>
      </c>
      <c r="B119" t="e">
        <f t="shared" si="8"/>
        <v>#VALUE!</v>
      </c>
      <c r="C119">
        <v>21</v>
      </c>
      <c r="D119" t="s">
        <v>261</v>
      </c>
      <c r="E119" s="216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 t="s">
        <v>18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261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261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261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268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268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kyrka46153</v>
      </c>
      <c r="B125" t="str">
        <f t="shared" si="8"/>
        <v>32  Bråån, vid Högseröds kyrka5</v>
      </c>
      <c r="C125">
        <v>22</v>
      </c>
      <c r="D125" t="s">
        <v>268</v>
      </c>
      <c r="E125" s="216">
        <v>46153</v>
      </c>
      <c r="F125">
        <v>9.1</v>
      </c>
      <c r="G125">
        <v>9.5</v>
      </c>
      <c r="H125">
        <v>83</v>
      </c>
      <c r="I125">
        <v>7.9</v>
      </c>
      <c r="J125">
        <v>2.2000000000000002</v>
      </c>
      <c r="K125">
        <v>45.2</v>
      </c>
      <c r="L125">
        <v>2.1</v>
      </c>
      <c r="M125">
        <v>30</v>
      </c>
      <c r="N125">
        <v>61</v>
      </c>
      <c r="O125">
        <v>1100</v>
      </c>
      <c r="P125">
        <v>32</v>
      </c>
      <c r="Q125">
        <v>1600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</v>
      </c>
      <c r="B126" t="e">
        <f t="shared" si="8"/>
        <v>#VALUE!</v>
      </c>
      <c r="C126">
        <v>22</v>
      </c>
      <c r="D126" t="s">
        <v>268</v>
      </c>
      <c r="E126" s="216" t="s">
        <v>18</v>
      </c>
      <c r="F126" t="s">
        <v>18</v>
      </c>
      <c r="G126" t="s">
        <v>18</v>
      </c>
      <c r="H126" t="s">
        <v>18</v>
      </c>
      <c r="I126" t="s">
        <v>18</v>
      </c>
      <c r="J126" t="s">
        <v>18</v>
      </c>
      <c r="K126" t="s">
        <v>18</v>
      </c>
      <c r="L126" t="s">
        <v>18</v>
      </c>
      <c r="M126" t="s">
        <v>18</v>
      </c>
      <c r="N126" t="s">
        <v>18</v>
      </c>
      <c r="O126" t="s">
        <v>18</v>
      </c>
      <c r="P126" t="s">
        <v>18</v>
      </c>
      <c r="Q126" t="s">
        <v>18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</v>
      </c>
      <c r="B127" t="e">
        <f t="shared" si="8"/>
        <v>#VALUE!</v>
      </c>
      <c r="C127">
        <v>22</v>
      </c>
      <c r="D127" t="s">
        <v>268</v>
      </c>
      <c r="E127" s="216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268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297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297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ARV46154</v>
      </c>
      <c r="B131" t="str">
        <f t="shared" si="8"/>
        <v>33  Sularpsbäcken, nedströms S Sandbys ARV5</v>
      </c>
      <c r="C131">
        <v>23</v>
      </c>
      <c r="D131" t="s">
        <v>297</v>
      </c>
      <c r="E131" s="216">
        <v>46154</v>
      </c>
      <c r="F131">
        <v>8.6999999999999993</v>
      </c>
      <c r="G131">
        <v>9.6999999999999993</v>
      </c>
      <c r="H131">
        <v>84</v>
      </c>
      <c r="I131">
        <v>7.7</v>
      </c>
      <c r="J131">
        <v>5.2</v>
      </c>
      <c r="K131">
        <v>63.5</v>
      </c>
      <c r="L131">
        <v>2.6</v>
      </c>
      <c r="M131">
        <v>25</v>
      </c>
      <c r="N131">
        <v>59</v>
      </c>
      <c r="O131">
        <v>1900</v>
      </c>
      <c r="P131">
        <v>74</v>
      </c>
      <c r="Q131">
        <v>2300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</v>
      </c>
      <c r="B132" t="e">
        <f t="shared" si="8"/>
        <v>#VALUE!</v>
      </c>
      <c r="C132">
        <v>23</v>
      </c>
      <c r="D132" t="s">
        <v>297</v>
      </c>
      <c r="E132" s="216" t="s">
        <v>18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18</v>
      </c>
    </row>
    <row r="133" spans="1:20">
      <c r="A133" t="str">
        <f t="shared" si="7"/>
        <v>33 Sularpsbäcken, nedströms S Sandbys ARV</v>
      </c>
      <c r="B133" t="e">
        <f t="shared" si="8"/>
        <v>#VALUE!</v>
      </c>
      <c r="C133">
        <v>23</v>
      </c>
      <c r="D133" t="s">
        <v>297</v>
      </c>
      <c r="E133" s="216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297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269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269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148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ARV46154</v>
      </c>
      <c r="B137" t="str">
        <f t="shared" si="8"/>
        <v>33A Sularpsbäcekn, uppströms S Sandbys ARV5</v>
      </c>
      <c r="C137">
        <v>24</v>
      </c>
      <c r="D137" t="s">
        <v>269</v>
      </c>
      <c r="E137" s="216">
        <v>46154</v>
      </c>
      <c r="F137">
        <v>9</v>
      </c>
      <c r="G137">
        <v>10.4</v>
      </c>
      <c r="H137">
        <v>90</v>
      </c>
      <c r="I137">
        <v>7.8</v>
      </c>
      <c r="J137">
        <v>5.5</v>
      </c>
      <c r="K137">
        <v>64.599999999999994</v>
      </c>
      <c r="L137">
        <v>2.6</v>
      </c>
      <c r="M137">
        <v>25</v>
      </c>
      <c r="N137">
        <v>62</v>
      </c>
      <c r="O137">
        <v>1900</v>
      </c>
      <c r="P137">
        <v>44</v>
      </c>
      <c r="Q137">
        <v>2300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</v>
      </c>
      <c r="B138" t="e">
        <f t="shared" si="8"/>
        <v>#VALUE!</v>
      </c>
      <c r="C138">
        <v>24</v>
      </c>
      <c r="D138" t="s">
        <v>269</v>
      </c>
      <c r="E138" s="216" t="s">
        <v>18</v>
      </c>
      <c r="F138" t="s">
        <v>18</v>
      </c>
      <c r="G138" t="s">
        <v>18</v>
      </c>
      <c r="H138" t="s">
        <v>18</v>
      </c>
      <c r="I138" t="s">
        <v>18</v>
      </c>
      <c r="J138" t="s">
        <v>18</v>
      </c>
      <c r="K138" t="s">
        <v>18</v>
      </c>
      <c r="L138" t="s">
        <v>18</v>
      </c>
      <c r="M138" t="s">
        <v>18</v>
      </c>
      <c r="N138" t="s">
        <v>18</v>
      </c>
      <c r="O138" t="s">
        <v>18</v>
      </c>
      <c r="P138" t="s">
        <v>18</v>
      </c>
      <c r="Q138" t="s">
        <v>18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</v>
      </c>
      <c r="B139" t="e">
        <f t="shared" si="8"/>
        <v>#VALUE!</v>
      </c>
      <c r="C139">
        <v>24</v>
      </c>
      <c r="D139" t="s">
        <v>269</v>
      </c>
      <c r="E139" s="216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269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263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444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263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444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263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263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Kävlingeån46153</v>
      </c>
      <c r="B145" t="str">
        <f t="shared" si="8"/>
        <v>35  Klingavälsån, vid utlopp till Kävlingeån5</v>
      </c>
      <c r="C145">
        <v>25</v>
      </c>
      <c r="D145" t="s">
        <v>263</v>
      </c>
      <c r="E145" s="216">
        <v>46153</v>
      </c>
      <c r="F145">
        <v>10.1</v>
      </c>
      <c r="G145">
        <v>8.92</v>
      </c>
      <c r="H145">
        <v>79</v>
      </c>
      <c r="I145">
        <v>7.8</v>
      </c>
      <c r="J145">
        <v>4.0999999999999996</v>
      </c>
      <c r="K145">
        <v>42.4</v>
      </c>
      <c r="L145">
        <v>2</v>
      </c>
      <c r="M145">
        <v>9.8000000000000007</v>
      </c>
      <c r="N145">
        <v>58</v>
      </c>
      <c r="O145">
        <v>320</v>
      </c>
      <c r="P145">
        <v>24</v>
      </c>
      <c r="Q145">
        <v>930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Kävlingeån46183</v>
      </c>
      <c r="B146" t="str">
        <f t="shared" si="8"/>
        <v>35  Klingavälsån, vid utlopp till Kävlingeån6</v>
      </c>
      <c r="C146">
        <v>25</v>
      </c>
      <c r="D146" t="s">
        <v>263</v>
      </c>
      <c r="E146" s="216">
        <v>46183</v>
      </c>
      <c r="F146">
        <v>14.6</v>
      </c>
      <c r="G146">
        <v>8.26</v>
      </c>
      <c r="H146">
        <v>81</v>
      </c>
      <c r="I146">
        <v>7.9</v>
      </c>
      <c r="J146">
        <v>11</v>
      </c>
      <c r="K146">
        <v>42.7</v>
      </c>
      <c r="L146">
        <v>1.8</v>
      </c>
      <c r="M146">
        <v>34</v>
      </c>
      <c r="N146">
        <v>96</v>
      </c>
      <c r="O146">
        <v>83</v>
      </c>
      <c r="P146">
        <v>45</v>
      </c>
      <c r="Q146">
        <v>940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</v>
      </c>
      <c r="B147" t="e">
        <f t="shared" si="8"/>
        <v>#VALUE!</v>
      </c>
      <c r="C147">
        <v>25</v>
      </c>
      <c r="D147" t="s">
        <v>263</v>
      </c>
      <c r="E147" s="216" t="s">
        <v>18</v>
      </c>
      <c r="F147" t="s">
        <v>18</v>
      </c>
      <c r="G147" t="s">
        <v>18</v>
      </c>
      <c r="H147" t="s">
        <v>18</v>
      </c>
      <c r="I147" t="s">
        <v>18</v>
      </c>
      <c r="J147" t="s">
        <v>18</v>
      </c>
      <c r="K147" t="s">
        <v>18</v>
      </c>
      <c r="L147" t="s">
        <v>18</v>
      </c>
      <c r="M147" t="s">
        <v>18</v>
      </c>
      <c r="N147" t="s">
        <v>18</v>
      </c>
      <c r="O147" t="s">
        <v>18</v>
      </c>
      <c r="P147" t="s">
        <v>18</v>
      </c>
      <c r="Q147" t="s">
        <v>18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</v>
      </c>
      <c r="B148" t="e">
        <f t="shared" si="8"/>
        <v>#VALUE!</v>
      </c>
      <c r="C148">
        <v>25</v>
      </c>
      <c r="D148" t="s">
        <v>263</v>
      </c>
      <c r="E148" s="216" t="s">
        <v>18</v>
      </c>
      <c r="F148" t="s">
        <v>18</v>
      </c>
      <c r="G148" t="s">
        <v>18</v>
      </c>
      <c r="H148" t="s">
        <v>18</v>
      </c>
      <c r="I148" t="s">
        <v>18</v>
      </c>
      <c r="J148" t="s">
        <v>18</v>
      </c>
      <c r="K148" t="s">
        <v>18</v>
      </c>
      <c r="L148" t="s">
        <v>18</v>
      </c>
      <c r="M148" t="s">
        <v>18</v>
      </c>
      <c r="N148" t="s">
        <v>18</v>
      </c>
      <c r="O148" t="s">
        <v>18</v>
      </c>
      <c r="P148" t="s">
        <v>18</v>
      </c>
      <c r="Q148" t="s">
        <v>18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</v>
      </c>
      <c r="B149" t="e">
        <f t="shared" si="8"/>
        <v>#VALUE!</v>
      </c>
      <c r="C149">
        <v>25</v>
      </c>
      <c r="D149" t="s">
        <v>263</v>
      </c>
      <c r="E149" s="216" t="s">
        <v>18</v>
      </c>
      <c r="F149" t="s">
        <v>18</v>
      </c>
      <c r="G149" t="s">
        <v>18</v>
      </c>
      <c r="H149" t="s">
        <v>18</v>
      </c>
      <c r="I149" t="s">
        <v>18</v>
      </c>
      <c r="J149" t="s">
        <v>18</v>
      </c>
      <c r="K149" t="s">
        <v>18</v>
      </c>
      <c r="L149" t="s">
        <v>18</v>
      </c>
      <c r="M149" t="s">
        <v>18</v>
      </c>
      <c r="N149" t="s">
        <v>18</v>
      </c>
      <c r="O149" t="s">
        <v>18</v>
      </c>
      <c r="P149" t="s">
        <v>18</v>
      </c>
      <c r="Q149" t="s">
        <v>18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263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263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263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264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264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149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utlopp46153</v>
      </c>
      <c r="B155" t="str">
        <f t="shared" si="8"/>
        <v>50  Klingavälsån, vid Sövdesjöns utlopp5</v>
      </c>
      <c r="C155">
        <v>27</v>
      </c>
      <c r="D155" t="s">
        <v>264</v>
      </c>
      <c r="E155" s="216">
        <v>46153</v>
      </c>
      <c r="F155">
        <v>13.6</v>
      </c>
      <c r="G155">
        <v>9.83</v>
      </c>
      <c r="H155">
        <v>95</v>
      </c>
      <c r="I155">
        <v>8.1999999999999993</v>
      </c>
      <c r="J155">
        <v>6.9</v>
      </c>
      <c r="K155">
        <v>35.700000000000003</v>
      </c>
      <c r="L155">
        <v>3.1</v>
      </c>
      <c r="M155" t="s">
        <v>149</v>
      </c>
      <c r="N155">
        <v>58</v>
      </c>
      <c r="O155">
        <v>410</v>
      </c>
      <c r="P155">
        <v>51</v>
      </c>
      <c r="Q155">
        <v>1400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</v>
      </c>
      <c r="B156" t="e">
        <f t="shared" si="8"/>
        <v>#VALUE!</v>
      </c>
      <c r="C156">
        <v>27</v>
      </c>
      <c r="D156" t="s">
        <v>264</v>
      </c>
      <c r="E156" s="216" t="s">
        <v>18</v>
      </c>
      <c r="F156" t="s">
        <v>18</v>
      </c>
      <c r="G156" t="s">
        <v>18</v>
      </c>
      <c r="H156" t="s">
        <v>18</v>
      </c>
      <c r="I156" t="s">
        <v>18</v>
      </c>
      <c r="J156" t="s">
        <v>18</v>
      </c>
      <c r="K156" t="s">
        <v>18</v>
      </c>
      <c r="L156" t="s">
        <v>18</v>
      </c>
      <c r="M156" t="s">
        <v>18</v>
      </c>
      <c r="N156" t="s">
        <v>18</v>
      </c>
      <c r="O156" t="s">
        <v>18</v>
      </c>
      <c r="P156" t="s">
        <v>18</v>
      </c>
      <c r="Q156" t="s">
        <v>18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</v>
      </c>
      <c r="B157" t="e">
        <f t="shared" si="8"/>
        <v>#VALUE!</v>
      </c>
      <c r="C157">
        <v>27</v>
      </c>
      <c r="D157" t="s">
        <v>264</v>
      </c>
      <c r="E157" s="216" t="s">
        <v>18</v>
      </c>
      <c r="F157" t="s">
        <v>18</v>
      </c>
      <c r="G157" t="s">
        <v>18</v>
      </c>
      <c r="H157" t="s">
        <v>18</v>
      </c>
      <c r="I157" t="s">
        <v>18</v>
      </c>
      <c r="J157" t="s">
        <v>18</v>
      </c>
      <c r="K157" t="s">
        <v>18</v>
      </c>
      <c r="L157" t="s">
        <v>18</v>
      </c>
      <c r="M157" t="s">
        <v>18</v>
      </c>
      <c r="N157" t="s">
        <v>18</v>
      </c>
      <c r="O157" t="s">
        <v>18</v>
      </c>
      <c r="P157" t="s">
        <v>18</v>
      </c>
      <c r="Q157" t="s">
        <v>18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264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295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179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295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295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149</v>
      </c>
      <c r="N161">
        <v>55</v>
      </c>
      <c r="O161">
        <v>1600</v>
      </c>
      <c r="P161" t="s">
        <v>148</v>
      </c>
      <c r="Q161">
        <v>2400</v>
      </c>
      <c r="R161" t="s">
        <v>18</v>
      </c>
      <c r="S161">
        <v>1</v>
      </c>
      <c r="T161" t="s">
        <v>451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295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149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456</v>
      </c>
    </row>
    <row r="163" spans="1:20">
      <c r="A163" t="str">
        <f t="shared" si="7"/>
        <v>18 Vombsjön, djuphålan, yta46153</v>
      </c>
      <c r="B163" t="str">
        <f t="shared" si="8"/>
        <v>18  Vombsjön, djuphålan, yta5</v>
      </c>
      <c r="C163">
        <v>29</v>
      </c>
      <c r="D163" t="s">
        <v>295</v>
      </c>
      <c r="E163" s="216">
        <v>46153</v>
      </c>
      <c r="F163">
        <v>13</v>
      </c>
      <c r="G163">
        <v>10.1</v>
      </c>
      <c r="H163">
        <v>96</v>
      </c>
      <c r="I163">
        <v>8.1</v>
      </c>
      <c r="J163">
        <v>3.5</v>
      </c>
      <c r="K163">
        <v>43.3</v>
      </c>
      <c r="L163" t="s">
        <v>18</v>
      </c>
      <c r="M163" t="s">
        <v>149</v>
      </c>
      <c r="N163">
        <v>25</v>
      </c>
      <c r="O163">
        <v>1300</v>
      </c>
      <c r="P163">
        <v>68</v>
      </c>
      <c r="Q163">
        <v>1800</v>
      </c>
      <c r="R163">
        <v>6.3</v>
      </c>
      <c r="S163">
        <v>3</v>
      </c>
      <c r="T163" t="s">
        <v>18</v>
      </c>
    </row>
    <row r="164" spans="1:20">
      <c r="A164" t="str">
        <f t="shared" si="7"/>
        <v>18 Vombsjön, djuphålan, yta46183</v>
      </c>
      <c r="B164" t="str">
        <f t="shared" si="8"/>
        <v>18  Vombsjön, djuphålan, yta6</v>
      </c>
      <c r="C164">
        <v>29</v>
      </c>
      <c r="D164" t="s">
        <v>295</v>
      </c>
      <c r="E164" s="216">
        <v>46183</v>
      </c>
      <c r="F164">
        <v>17.600000000000001</v>
      </c>
      <c r="G164">
        <v>10.199999999999999</v>
      </c>
      <c r="H164">
        <v>107</v>
      </c>
      <c r="I164">
        <v>8.4</v>
      </c>
      <c r="J164">
        <v>1.6</v>
      </c>
      <c r="K164">
        <v>41.8</v>
      </c>
      <c r="L164" t="s">
        <v>18</v>
      </c>
      <c r="M164" t="s">
        <v>149</v>
      </c>
      <c r="N164">
        <v>23</v>
      </c>
      <c r="O164">
        <v>1000</v>
      </c>
      <c r="P164">
        <v>51</v>
      </c>
      <c r="Q164">
        <v>1500</v>
      </c>
      <c r="R164">
        <v>9.6999999999999993</v>
      </c>
      <c r="S164">
        <v>3.2</v>
      </c>
      <c r="T164" t="s">
        <v>18</v>
      </c>
    </row>
    <row r="165" spans="1:20">
      <c r="A165" t="str">
        <f t="shared" si="7"/>
        <v>18 Vombsjön, djuphålan, yta</v>
      </c>
      <c r="B165" t="e">
        <f t="shared" si="8"/>
        <v>#VALUE!</v>
      </c>
      <c r="C165">
        <v>29</v>
      </c>
      <c r="D165" t="s">
        <v>295</v>
      </c>
      <c r="E165" s="216" t="s">
        <v>18</v>
      </c>
      <c r="F165" t="s">
        <v>18</v>
      </c>
      <c r="G165" t="s">
        <v>18</v>
      </c>
      <c r="H165" t="s">
        <v>18</v>
      </c>
      <c r="I165" t="s">
        <v>18</v>
      </c>
      <c r="J165" t="s">
        <v>18</v>
      </c>
      <c r="K165" t="s">
        <v>18</v>
      </c>
      <c r="L165" t="s">
        <v>18</v>
      </c>
      <c r="M165" t="s">
        <v>18</v>
      </c>
      <c r="N165" t="s">
        <v>18</v>
      </c>
      <c r="O165" t="s">
        <v>18</v>
      </c>
      <c r="P165" t="s">
        <v>18</v>
      </c>
      <c r="Q165" t="s">
        <v>18</v>
      </c>
      <c r="R165" t="s">
        <v>18</v>
      </c>
      <c r="S165" t="s">
        <v>18</v>
      </c>
      <c r="T165" t="s">
        <v>18</v>
      </c>
    </row>
    <row r="166" spans="1:20">
      <c r="A166" t="str">
        <f t="shared" si="7"/>
        <v>18 Vombsjön, djuphålan, yta</v>
      </c>
      <c r="B166" t="e">
        <f t="shared" si="8"/>
        <v>#VALUE!</v>
      </c>
      <c r="C166">
        <v>29</v>
      </c>
      <c r="D166" t="s">
        <v>295</v>
      </c>
      <c r="E166" s="216" t="s">
        <v>18</v>
      </c>
      <c r="F166" t="s">
        <v>18</v>
      </c>
      <c r="G166" t="s">
        <v>18</v>
      </c>
      <c r="H166" t="s">
        <v>18</v>
      </c>
      <c r="I166" t="s">
        <v>18</v>
      </c>
      <c r="J166" t="s">
        <v>18</v>
      </c>
      <c r="K166" t="s">
        <v>18</v>
      </c>
      <c r="L166" t="s">
        <v>18</v>
      </c>
      <c r="M166" t="s">
        <v>18</v>
      </c>
      <c r="N166" t="s">
        <v>18</v>
      </c>
      <c r="O166" t="s">
        <v>18</v>
      </c>
      <c r="P166" t="s">
        <v>18</v>
      </c>
      <c r="Q166" t="s">
        <v>18</v>
      </c>
      <c r="R166" t="s">
        <v>18</v>
      </c>
      <c r="S166" t="s">
        <v>18</v>
      </c>
      <c r="T166" t="s">
        <v>18</v>
      </c>
    </row>
    <row r="167" spans="1:20">
      <c r="A167" t="str">
        <f t="shared" si="7"/>
        <v>18 Vombsjön, djuphålan, yta</v>
      </c>
      <c r="B167" t="e">
        <f t="shared" si="8"/>
        <v>#VALUE!</v>
      </c>
      <c r="C167">
        <v>29</v>
      </c>
      <c r="D167" t="s">
        <v>295</v>
      </c>
      <c r="E167" s="216" t="s">
        <v>18</v>
      </c>
      <c r="F167" t="s">
        <v>18</v>
      </c>
      <c r="G167" t="s">
        <v>18</v>
      </c>
      <c r="H167" t="s">
        <v>18</v>
      </c>
      <c r="I167" t="s">
        <v>18</v>
      </c>
      <c r="J167" t="s">
        <v>18</v>
      </c>
      <c r="K167" t="s">
        <v>18</v>
      </c>
      <c r="L167" t="s">
        <v>18</v>
      </c>
      <c r="M167" t="s">
        <v>18</v>
      </c>
      <c r="N167" t="s">
        <v>18</v>
      </c>
      <c r="O167" t="s">
        <v>18</v>
      </c>
      <c r="P167" t="s">
        <v>18</v>
      </c>
      <c r="Q167" t="s">
        <v>18</v>
      </c>
      <c r="R167" t="s">
        <v>18</v>
      </c>
      <c r="S167" t="s">
        <v>18</v>
      </c>
      <c r="T167" t="s">
        <v>18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295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295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295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296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442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296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448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296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149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296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149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botten46153</v>
      </c>
      <c r="B175" t="str">
        <f t="shared" si="10"/>
        <v>18  Vombsjön, djuphålan, botten5</v>
      </c>
      <c r="C175">
        <v>30</v>
      </c>
      <c r="D175" t="s">
        <v>296</v>
      </c>
      <c r="E175" s="216">
        <v>46153</v>
      </c>
      <c r="F175">
        <v>11.7</v>
      </c>
      <c r="G175">
        <v>5.04</v>
      </c>
      <c r="H175">
        <v>47</v>
      </c>
      <c r="I175" t="s">
        <v>18</v>
      </c>
      <c r="J175" t="s">
        <v>18</v>
      </c>
      <c r="K175" t="s">
        <v>18</v>
      </c>
      <c r="L175" t="s">
        <v>18</v>
      </c>
      <c r="M175">
        <v>5.6</v>
      </c>
      <c r="N175">
        <v>43</v>
      </c>
      <c r="O175">
        <v>990</v>
      </c>
      <c r="P175">
        <v>230</v>
      </c>
      <c r="Q175">
        <v>1500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botten46183</v>
      </c>
      <c r="B176" t="str">
        <f t="shared" si="10"/>
        <v>18  Vombsjön, djuphålan, botten6</v>
      </c>
      <c r="C176">
        <v>30</v>
      </c>
      <c r="D176" t="s">
        <v>296</v>
      </c>
      <c r="E176" s="216">
        <v>46183</v>
      </c>
      <c r="F176">
        <v>16.5</v>
      </c>
      <c r="G176">
        <v>4.7</v>
      </c>
      <c r="H176">
        <v>48</v>
      </c>
      <c r="I176" t="s">
        <v>18</v>
      </c>
      <c r="J176" t="s">
        <v>18</v>
      </c>
      <c r="K176" t="s">
        <v>18</v>
      </c>
      <c r="L176" t="s">
        <v>18</v>
      </c>
      <c r="M176">
        <v>24</v>
      </c>
      <c r="N176">
        <v>84</v>
      </c>
      <c r="O176">
        <v>700</v>
      </c>
      <c r="P176">
        <v>360</v>
      </c>
      <c r="Q176">
        <v>1800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</v>
      </c>
      <c r="B177" t="e">
        <f t="shared" si="10"/>
        <v>#VALUE!</v>
      </c>
      <c r="C177">
        <v>30</v>
      </c>
      <c r="D177" t="s">
        <v>296</v>
      </c>
      <c r="E177" s="216" t="s">
        <v>18</v>
      </c>
      <c r="F177" t="s">
        <v>18</v>
      </c>
      <c r="G177" t="s">
        <v>18</v>
      </c>
      <c r="H177" t="s">
        <v>18</v>
      </c>
      <c r="I177" t="s">
        <v>18</v>
      </c>
      <c r="J177" t="s">
        <v>18</v>
      </c>
      <c r="K177" t="s">
        <v>18</v>
      </c>
      <c r="L177" t="s">
        <v>18</v>
      </c>
      <c r="M177" t="s">
        <v>18</v>
      </c>
      <c r="N177" t="s">
        <v>18</v>
      </c>
      <c r="O177" t="s">
        <v>18</v>
      </c>
      <c r="P177" t="s">
        <v>18</v>
      </c>
      <c r="Q177" t="s">
        <v>18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</v>
      </c>
      <c r="B178" t="e">
        <f t="shared" si="10"/>
        <v>#VALUE!</v>
      </c>
      <c r="C178">
        <v>30</v>
      </c>
      <c r="D178" t="s">
        <v>296</v>
      </c>
      <c r="E178" s="216" t="s">
        <v>18</v>
      </c>
      <c r="F178" t="s">
        <v>18</v>
      </c>
      <c r="G178" t="s">
        <v>18</v>
      </c>
      <c r="H178" t="s">
        <v>18</v>
      </c>
      <c r="I178" t="s">
        <v>18</v>
      </c>
      <c r="J178" t="s">
        <v>18</v>
      </c>
      <c r="K178" t="s">
        <v>18</v>
      </c>
      <c r="L178" t="s">
        <v>18</v>
      </c>
      <c r="M178" t="s">
        <v>18</v>
      </c>
      <c r="N178" t="s">
        <v>18</v>
      </c>
      <c r="O178" t="s">
        <v>18</v>
      </c>
      <c r="P178" t="s">
        <v>18</v>
      </c>
      <c r="Q178" t="s">
        <v>18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296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18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296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296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296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25" priority="31" stopIfTrue="1" operator="between">
      <formula>6.2</formula>
      <formula>6.5</formula>
    </cfRule>
    <cfRule type="cellIs" dxfId="124" priority="32" stopIfTrue="1" operator="between">
      <formula>5.6</formula>
      <formula>6.19</formula>
    </cfRule>
    <cfRule type="cellIs" dxfId="123" priority="33" stopIfTrue="1" operator="between">
      <formula>3</formula>
      <formula>5.59</formula>
    </cfRule>
  </conditionalFormatting>
  <conditionalFormatting sqref="G1:G2">
    <cfRule type="cellIs" dxfId="122" priority="34" stopIfTrue="1" operator="between">
      <formula>3</formula>
      <formula>5</formula>
    </cfRule>
    <cfRule type="cellIs" dxfId="121" priority="35" stopIfTrue="1" operator="between">
      <formula>1</formula>
      <formula>2.9</formula>
    </cfRule>
    <cfRule type="cellIs" dxfId="120" priority="36" stopIfTrue="1" operator="between">
      <formula>0.001</formula>
      <formula>0.95</formula>
    </cfRule>
  </conditionalFormatting>
  <conditionalFormatting sqref="J1:J2">
    <cfRule type="cellIs" dxfId="119" priority="43" stopIfTrue="1" operator="between">
      <formula>1</formula>
      <formula>2.5</formula>
    </cfRule>
    <cfRule type="cellIs" dxfId="118" priority="44" stopIfTrue="1" operator="between">
      <formula>2.56</formula>
      <formula>7</formula>
    </cfRule>
    <cfRule type="cellIs" dxfId="117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16" priority="1" stopIfTrue="1" operator="between">
      <formula>0.01</formula>
      <formula>300</formula>
    </cfRule>
    <cfRule type="cellIs" dxfId="115" priority="2" stopIfTrue="1" operator="between">
      <formula>301</formula>
      <formula>625</formula>
    </cfRule>
    <cfRule type="cellIs" dxfId="114" priority="3" stopIfTrue="1" operator="between">
      <formula>626</formula>
      <formula>1250</formula>
    </cfRule>
    <cfRule type="cellIs" dxfId="113" priority="4" stopIfTrue="1" operator="between">
      <formula>1251</formula>
      <formula>5000</formula>
    </cfRule>
    <cfRule type="cellIs" dxfId="112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8"/>
      <c r="R1" s="402"/>
    </row>
    <row r="2" spans="1:43" s="398" customFormat="1" ht="22.8">
      <c r="A2" s="403"/>
      <c r="B2" s="438" t="s">
        <v>428</v>
      </c>
      <c r="C2" s="404"/>
      <c r="E2" s="400"/>
      <c r="F2" s="401"/>
      <c r="H2" s="400"/>
      <c r="Q2" s="718"/>
      <c r="R2" s="402"/>
    </row>
    <row r="3" spans="1:43" s="398" customFormat="1" ht="22.8">
      <c r="A3" s="403"/>
      <c r="B3" s="438" t="s">
        <v>216</v>
      </c>
      <c r="C3" s="405"/>
      <c r="E3" s="400"/>
      <c r="F3" s="401"/>
      <c r="H3" s="400"/>
      <c r="Q3" s="718"/>
      <c r="R3" s="402"/>
    </row>
    <row r="4" spans="1:43" s="398" customFormat="1" ht="81.75" customHeight="1">
      <c r="A4" s="397"/>
      <c r="C4" s="404"/>
      <c r="D4" s="404" t="s">
        <v>212</v>
      </c>
      <c r="E4" s="400"/>
      <c r="F4" s="401"/>
      <c r="H4" s="400"/>
      <c r="Q4" s="718"/>
      <c r="R4" s="402"/>
      <c r="AE4" s="406" t="s">
        <v>176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128</v>
      </c>
      <c r="K5" s="183" t="s">
        <v>102</v>
      </c>
      <c r="L5" s="183" t="s">
        <v>10</v>
      </c>
      <c r="M5" s="183" t="s">
        <v>129</v>
      </c>
      <c r="N5" s="183" t="s">
        <v>103</v>
      </c>
      <c r="O5" s="183" t="s">
        <v>11</v>
      </c>
      <c r="P5" s="183" t="s">
        <v>372</v>
      </c>
      <c r="Q5" s="183" t="s">
        <v>270</v>
      </c>
      <c r="R5" s="181" t="s">
        <v>13</v>
      </c>
      <c r="S5" s="120" t="s">
        <v>12</v>
      </c>
      <c r="T5" s="742"/>
      <c r="U5" s="742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230</v>
      </c>
      <c r="AL5" s="185" t="s">
        <v>102</v>
      </c>
      <c r="AM5" s="185" t="s">
        <v>10</v>
      </c>
      <c r="AN5" s="185" t="s">
        <v>157</v>
      </c>
      <c r="AO5" s="186" t="s">
        <v>103</v>
      </c>
      <c r="AP5" s="185" t="s">
        <v>11</v>
      </c>
      <c r="AQ5" s="185" t="s">
        <v>270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271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271</v>
      </c>
    </row>
    <row r="7" spans="1:43" s="102" customFormat="1" ht="12" customHeight="1">
      <c r="A7" s="118">
        <v>3</v>
      </c>
      <c r="B7" s="102" t="s">
        <v>252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9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252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9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252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148</v>
      </c>
      <c r="O9" s="218">
        <v>5100</v>
      </c>
      <c r="P9" s="222" t="s">
        <v>18</v>
      </c>
      <c r="Q9" s="222" t="s">
        <v>18</v>
      </c>
      <c r="R9" s="609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252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9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252</v>
      </c>
      <c r="C11" s="206">
        <v>46154</v>
      </c>
      <c r="D11" s="222">
        <v>11.6</v>
      </c>
      <c r="E11" s="222">
        <v>8.4</v>
      </c>
      <c r="F11" s="218">
        <v>78</v>
      </c>
      <c r="G11" s="222">
        <v>7.7</v>
      </c>
      <c r="H11" s="222">
        <v>4.0999999999999996</v>
      </c>
      <c r="I11" s="222">
        <v>48.8</v>
      </c>
      <c r="J11" s="222">
        <v>2.5</v>
      </c>
      <c r="K11" s="218">
        <v>21</v>
      </c>
      <c r="L11" s="218">
        <v>65</v>
      </c>
      <c r="M11" s="218">
        <v>770</v>
      </c>
      <c r="N11" s="218">
        <v>110</v>
      </c>
      <c r="O11" s="218">
        <v>1300</v>
      </c>
      <c r="P11" s="222" t="s">
        <v>18</v>
      </c>
      <c r="Q11" s="222" t="s">
        <v>18</v>
      </c>
      <c r="R11" s="609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>
        <v>11.6</v>
      </c>
      <c r="AF11" s="102">
        <v>8.4</v>
      </c>
      <c r="AG11" s="102">
        <v>78</v>
      </c>
      <c r="AH11" s="102">
        <v>7.7</v>
      </c>
      <c r="AI11" s="102">
        <v>4.0999999999999996</v>
      </c>
      <c r="AJ11" s="102">
        <v>48.8</v>
      </c>
      <c r="AK11" s="102">
        <v>2.5</v>
      </c>
      <c r="AL11" s="102">
        <v>21</v>
      </c>
      <c r="AM11" s="102">
        <v>65</v>
      </c>
      <c r="AN11" s="102">
        <v>770</v>
      </c>
      <c r="AO11" s="102">
        <v>110</v>
      </c>
      <c r="AP11" s="102">
        <v>1300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252</v>
      </c>
      <c r="C12" s="206">
        <v>46183</v>
      </c>
      <c r="D12" s="222">
        <v>18.5</v>
      </c>
      <c r="E12" s="222">
        <v>7.38</v>
      </c>
      <c r="F12" s="218">
        <v>79</v>
      </c>
      <c r="G12" s="222">
        <v>7.8</v>
      </c>
      <c r="H12" s="222">
        <v>1.4</v>
      </c>
      <c r="I12" s="222">
        <v>55</v>
      </c>
      <c r="J12" s="222">
        <v>1</v>
      </c>
      <c r="K12" s="218">
        <v>48</v>
      </c>
      <c r="L12" s="218">
        <v>84</v>
      </c>
      <c r="M12" s="218">
        <v>810</v>
      </c>
      <c r="N12" s="218">
        <v>64</v>
      </c>
      <c r="O12" s="218">
        <v>1400</v>
      </c>
      <c r="P12" s="222" t="s">
        <v>18</v>
      </c>
      <c r="Q12" s="222" t="s">
        <v>18</v>
      </c>
      <c r="R12" s="609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>
        <v>18.5</v>
      </c>
      <c r="AF12" s="102">
        <v>7.38</v>
      </c>
      <c r="AG12" s="102">
        <v>79</v>
      </c>
      <c r="AH12" s="102">
        <v>7.8</v>
      </c>
      <c r="AI12" s="102">
        <v>1.4</v>
      </c>
      <c r="AJ12" s="102">
        <v>55</v>
      </c>
      <c r="AK12" s="102">
        <v>1</v>
      </c>
      <c r="AL12" s="102">
        <v>48</v>
      </c>
      <c r="AM12" s="102">
        <v>84</v>
      </c>
      <c r="AN12" s="102">
        <v>810</v>
      </c>
      <c r="AO12" s="102">
        <v>64</v>
      </c>
      <c r="AP12" s="102">
        <v>1400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252</v>
      </c>
      <c r="C13" s="206" t="s">
        <v>18</v>
      </c>
      <c r="D13" s="222" t="s">
        <v>18</v>
      </c>
      <c r="E13" s="222" t="s">
        <v>18</v>
      </c>
      <c r="F13" s="218" t="s">
        <v>18</v>
      </c>
      <c r="G13" s="222" t="s">
        <v>18</v>
      </c>
      <c r="H13" s="222" t="s">
        <v>18</v>
      </c>
      <c r="I13" s="222" t="s">
        <v>18</v>
      </c>
      <c r="J13" s="222" t="s">
        <v>18</v>
      </c>
      <c r="K13" s="218" t="s">
        <v>18</v>
      </c>
      <c r="L13" s="218" t="s">
        <v>18</v>
      </c>
      <c r="M13" s="218" t="s">
        <v>18</v>
      </c>
      <c r="N13" s="218" t="s">
        <v>18</v>
      </c>
      <c r="O13" s="218" t="s">
        <v>18</v>
      </c>
      <c r="P13" s="222" t="s">
        <v>18</v>
      </c>
      <c r="Q13" s="222" t="s">
        <v>18</v>
      </c>
      <c r="R13" s="609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 t="s">
        <v>18</v>
      </c>
      <c r="AF13" s="102" t="s">
        <v>18</v>
      </c>
      <c r="AG13" s="102" t="s">
        <v>18</v>
      </c>
      <c r="AH13" s="102" t="s">
        <v>18</v>
      </c>
      <c r="AI13" s="102" t="s">
        <v>18</v>
      </c>
      <c r="AJ13" s="102" t="s">
        <v>18</v>
      </c>
      <c r="AK13" s="102" t="s">
        <v>18</v>
      </c>
      <c r="AL13" s="102" t="s">
        <v>18</v>
      </c>
      <c r="AM13" s="102" t="s">
        <v>18</v>
      </c>
      <c r="AN13" s="102" t="s">
        <v>18</v>
      </c>
      <c r="AO13" s="102" t="s">
        <v>18</v>
      </c>
      <c r="AP13" s="102" t="s">
        <v>18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252</v>
      </c>
      <c r="C14" s="206" t="s">
        <v>18</v>
      </c>
      <c r="D14" s="222" t="s">
        <v>18</v>
      </c>
      <c r="E14" s="222" t="s">
        <v>18</v>
      </c>
      <c r="F14" s="218" t="s">
        <v>18</v>
      </c>
      <c r="G14" s="222" t="s">
        <v>18</v>
      </c>
      <c r="H14" s="222" t="s">
        <v>18</v>
      </c>
      <c r="I14" s="222" t="s">
        <v>18</v>
      </c>
      <c r="J14" s="222" t="s">
        <v>18</v>
      </c>
      <c r="K14" s="218" t="s">
        <v>18</v>
      </c>
      <c r="L14" s="218" t="s">
        <v>18</v>
      </c>
      <c r="M14" s="218" t="s">
        <v>18</v>
      </c>
      <c r="N14" s="218" t="s">
        <v>18</v>
      </c>
      <c r="O14" s="218" t="s">
        <v>18</v>
      </c>
      <c r="P14" s="222" t="s">
        <v>18</v>
      </c>
      <c r="Q14" s="222" t="s">
        <v>18</v>
      </c>
      <c r="R14" s="609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 t="s">
        <v>18</v>
      </c>
      <c r="AF14" s="102" t="s">
        <v>18</v>
      </c>
      <c r="AG14" s="102" t="s">
        <v>18</v>
      </c>
      <c r="AH14" s="102" t="s">
        <v>18</v>
      </c>
      <c r="AI14" s="102" t="s">
        <v>18</v>
      </c>
      <c r="AJ14" s="102" t="s">
        <v>18</v>
      </c>
      <c r="AK14" s="102" t="s">
        <v>18</v>
      </c>
      <c r="AL14" s="102" t="s">
        <v>18</v>
      </c>
      <c r="AM14" s="102" t="s">
        <v>18</v>
      </c>
      <c r="AN14" s="102" t="s">
        <v>18</v>
      </c>
      <c r="AO14" s="102" t="s">
        <v>18</v>
      </c>
      <c r="AP14" s="102" t="s">
        <v>18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252</v>
      </c>
      <c r="C15" s="206" t="s">
        <v>18</v>
      </c>
      <c r="D15" s="222" t="s">
        <v>18</v>
      </c>
      <c r="E15" s="222" t="s">
        <v>18</v>
      </c>
      <c r="F15" s="218" t="s">
        <v>18</v>
      </c>
      <c r="G15" s="222" t="s">
        <v>18</v>
      </c>
      <c r="H15" s="222" t="s">
        <v>18</v>
      </c>
      <c r="I15" s="222" t="s">
        <v>18</v>
      </c>
      <c r="J15" s="222" t="s">
        <v>18</v>
      </c>
      <c r="K15" s="218" t="s">
        <v>18</v>
      </c>
      <c r="L15" s="218" t="s">
        <v>18</v>
      </c>
      <c r="M15" s="218" t="s">
        <v>18</v>
      </c>
      <c r="N15" s="218" t="s">
        <v>18</v>
      </c>
      <c r="O15" s="218" t="s">
        <v>18</v>
      </c>
      <c r="P15" s="222" t="s">
        <v>18</v>
      </c>
      <c r="Q15" s="222" t="s">
        <v>18</v>
      </c>
      <c r="R15" s="609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 t="s">
        <v>18</v>
      </c>
      <c r="AF15" s="102" t="s">
        <v>18</v>
      </c>
      <c r="AG15" s="102" t="s">
        <v>18</v>
      </c>
      <c r="AH15" s="102" t="s">
        <v>18</v>
      </c>
      <c r="AI15" s="102" t="s">
        <v>18</v>
      </c>
      <c r="AJ15" s="102" t="s">
        <v>18</v>
      </c>
      <c r="AK15" s="102" t="s">
        <v>18</v>
      </c>
      <c r="AL15" s="102" t="s">
        <v>18</v>
      </c>
      <c r="AM15" s="102" t="s">
        <v>18</v>
      </c>
      <c r="AN15" s="102" t="s">
        <v>18</v>
      </c>
      <c r="AO15" s="102" t="s">
        <v>18</v>
      </c>
      <c r="AP15" s="102" t="s">
        <v>18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252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9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252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9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252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9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10" t="s">
        <v>150</v>
      </c>
      <c r="D19" s="611">
        <v>8.65</v>
      </c>
      <c r="E19" s="611">
        <v>10.99</v>
      </c>
      <c r="F19" s="612">
        <v>87</v>
      </c>
      <c r="G19" s="611">
        <v>7.8833333333333329</v>
      </c>
      <c r="H19" s="611">
        <v>3</v>
      </c>
      <c r="I19" s="611">
        <v>56.183333333333337</v>
      </c>
      <c r="J19" s="611">
        <v>1.5999999999999999</v>
      </c>
      <c r="K19" s="612">
        <v>27.683333333333337</v>
      </c>
      <c r="L19" s="612">
        <v>57.333333333333336</v>
      </c>
      <c r="M19" s="612">
        <v>2396.6666666666665</v>
      </c>
      <c r="N19" s="612">
        <v>95</v>
      </c>
      <c r="O19" s="612">
        <v>2950</v>
      </c>
      <c r="P19" s="611"/>
      <c r="Q19" s="715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8.65</v>
      </c>
      <c r="AF19" s="102">
        <v>10.99</v>
      </c>
      <c r="AG19" s="102">
        <v>87</v>
      </c>
      <c r="AH19" s="102">
        <v>7.8833333333333329</v>
      </c>
      <c r="AI19" s="102">
        <v>3</v>
      </c>
      <c r="AJ19" s="102">
        <v>56.183333333333337</v>
      </c>
      <c r="AK19" s="102">
        <v>1.5999999999999999</v>
      </c>
      <c r="AL19" s="102">
        <v>27.683333333333337</v>
      </c>
      <c r="AM19" s="102">
        <v>57.333333333333336</v>
      </c>
      <c r="AN19" s="102">
        <v>2396.6666666666665</v>
      </c>
      <c r="AO19" s="102">
        <v>95</v>
      </c>
      <c r="AP19" s="102">
        <v>2950</v>
      </c>
      <c r="AQ19" s="102">
        <f t="shared" si="0"/>
        <v>0</v>
      </c>
    </row>
    <row r="20" spans="1:43" s="102" customFormat="1" ht="11.4">
      <c r="A20" s="117"/>
      <c r="C20" s="613" t="s">
        <v>151</v>
      </c>
      <c r="D20" s="614">
        <v>18.5</v>
      </c>
      <c r="E20" s="614">
        <v>13.7</v>
      </c>
      <c r="F20" s="615">
        <v>97</v>
      </c>
      <c r="G20" s="614">
        <v>8.1</v>
      </c>
      <c r="H20" s="614">
        <v>4.0999999999999996</v>
      </c>
      <c r="I20" s="614">
        <v>60.8</v>
      </c>
      <c r="J20" s="615">
        <v>2.5</v>
      </c>
      <c r="K20" s="615">
        <v>48</v>
      </c>
      <c r="L20" s="615">
        <v>84</v>
      </c>
      <c r="M20" s="615">
        <v>4600</v>
      </c>
      <c r="N20" s="615">
        <v>200</v>
      </c>
      <c r="O20" s="615">
        <v>5100</v>
      </c>
      <c r="P20" s="614"/>
      <c r="Q20" s="716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18.5</v>
      </c>
      <c r="AF20" s="102">
        <v>13.7</v>
      </c>
      <c r="AG20" s="102">
        <v>97</v>
      </c>
      <c r="AH20" s="102">
        <v>8.1</v>
      </c>
      <c r="AI20" s="102">
        <v>4.0999999999999996</v>
      </c>
      <c r="AJ20" s="102">
        <v>60.8</v>
      </c>
      <c r="AK20" s="102">
        <v>2.5</v>
      </c>
      <c r="AL20" s="102">
        <v>48</v>
      </c>
      <c r="AM20" s="102">
        <v>84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6" t="s">
        <v>152</v>
      </c>
      <c r="D21" s="617">
        <v>0.4</v>
      </c>
      <c r="E21" s="617">
        <v>7.38</v>
      </c>
      <c r="F21" s="618">
        <v>78</v>
      </c>
      <c r="G21" s="617">
        <v>7.7</v>
      </c>
      <c r="H21" s="617">
        <v>1.4</v>
      </c>
      <c r="I21" s="617">
        <v>48.8</v>
      </c>
      <c r="J21" s="617">
        <v>1</v>
      </c>
      <c r="K21" s="618">
        <v>7.4</v>
      </c>
      <c r="L21" s="618">
        <v>31</v>
      </c>
      <c r="M21" s="618">
        <v>770</v>
      </c>
      <c r="N21" s="618">
        <v>10</v>
      </c>
      <c r="O21" s="618">
        <v>1300</v>
      </c>
      <c r="P21" s="617"/>
      <c r="Q21" s="717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7.38</v>
      </c>
      <c r="AG21" s="102">
        <v>78</v>
      </c>
      <c r="AH21" s="102">
        <v>7.7</v>
      </c>
      <c r="AI21" s="102">
        <v>1.4</v>
      </c>
      <c r="AJ21" s="102">
        <v>48.8</v>
      </c>
      <c r="AK21" s="102">
        <v>1</v>
      </c>
      <c r="AL21" s="102">
        <v>7.4</v>
      </c>
      <c r="AM21" s="102">
        <v>31</v>
      </c>
      <c r="AN21" s="102">
        <v>770</v>
      </c>
      <c r="AO21" s="102">
        <v>10</v>
      </c>
      <c r="AP21" s="102">
        <v>1300</v>
      </c>
      <c r="AQ21" s="102">
        <f t="shared" si="0"/>
        <v>0</v>
      </c>
    </row>
    <row r="22" spans="1:43" s="102" customFormat="1" ht="11.4">
      <c r="A22" s="117"/>
      <c r="B22" s="411"/>
      <c r="C22" s="619"/>
      <c r="D22" s="620"/>
      <c r="E22" s="620"/>
      <c r="F22" s="621"/>
      <c r="G22" s="620"/>
      <c r="H22" s="620"/>
      <c r="I22" s="620"/>
      <c r="J22" s="622"/>
      <c r="K22" s="622"/>
      <c r="L22" s="622"/>
      <c r="M22" s="622"/>
      <c r="N22" s="622"/>
      <c r="O22" s="622"/>
      <c r="P22" s="620"/>
      <c r="Q22" s="620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253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253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253</v>
      </c>
      <c r="C25" s="206">
        <v>46154</v>
      </c>
      <c r="D25" s="222">
        <v>12.1</v>
      </c>
      <c r="E25" s="222">
        <v>9.9</v>
      </c>
      <c r="F25" s="218">
        <v>92</v>
      </c>
      <c r="G25" s="222">
        <v>7.8</v>
      </c>
      <c r="H25" s="222">
        <v>4</v>
      </c>
      <c r="I25" s="222">
        <v>52.5</v>
      </c>
      <c r="J25" s="102">
        <v>2.4</v>
      </c>
      <c r="K25" s="218">
        <v>8.6999999999999993</v>
      </c>
      <c r="L25" s="218">
        <v>54</v>
      </c>
      <c r="M25" s="218">
        <v>550</v>
      </c>
      <c r="N25" s="218">
        <v>71</v>
      </c>
      <c r="O25" s="218">
        <v>1200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>
        <v>12.1</v>
      </c>
      <c r="AF25" s="102">
        <v>9.9</v>
      </c>
      <c r="AG25" s="102">
        <v>92</v>
      </c>
      <c r="AH25" s="102">
        <v>7.8</v>
      </c>
      <c r="AI25" s="102">
        <v>4</v>
      </c>
      <c r="AJ25" s="102">
        <v>52.5</v>
      </c>
      <c r="AK25" s="102">
        <v>2.4</v>
      </c>
      <c r="AL25" s="102">
        <v>8.6999999999999993</v>
      </c>
      <c r="AM25" s="102">
        <v>54</v>
      </c>
      <c r="AN25" s="102">
        <v>550</v>
      </c>
      <c r="AO25" s="102">
        <v>71</v>
      </c>
      <c r="AP25" s="102">
        <v>1200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253</v>
      </c>
      <c r="C26" s="206" t="s">
        <v>18</v>
      </c>
      <c r="D26" s="222" t="s">
        <v>18</v>
      </c>
      <c r="E26" s="222" t="s">
        <v>18</v>
      </c>
      <c r="F26" s="218" t="s">
        <v>18</v>
      </c>
      <c r="G26" s="222" t="s">
        <v>18</v>
      </c>
      <c r="H26" s="222" t="s">
        <v>18</v>
      </c>
      <c r="I26" s="222" t="s">
        <v>18</v>
      </c>
      <c r="J26" s="102" t="s">
        <v>18</v>
      </c>
      <c r="K26" s="218" t="s">
        <v>18</v>
      </c>
      <c r="L26" s="218" t="s">
        <v>18</v>
      </c>
      <c r="M26" s="218" t="s">
        <v>18</v>
      </c>
      <c r="N26" s="218" t="s">
        <v>18</v>
      </c>
      <c r="O26" s="218" t="s">
        <v>18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 t="s">
        <v>18</v>
      </c>
      <c r="AF26" s="102" t="s">
        <v>18</v>
      </c>
      <c r="AG26" s="102" t="s">
        <v>18</v>
      </c>
      <c r="AH26" s="102" t="s">
        <v>18</v>
      </c>
      <c r="AI26" s="102" t="s">
        <v>18</v>
      </c>
      <c r="AJ26" s="102" t="s">
        <v>18</v>
      </c>
      <c r="AK26" s="102" t="s">
        <v>18</v>
      </c>
      <c r="AL26" s="102" t="s">
        <v>18</v>
      </c>
      <c r="AM26" s="102" t="s">
        <v>18</v>
      </c>
      <c r="AN26" s="102" t="s">
        <v>18</v>
      </c>
      <c r="AO26" s="102" t="s">
        <v>18</v>
      </c>
      <c r="AP26" s="102" t="s">
        <v>18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253</v>
      </c>
      <c r="C27" s="206" t="s">
        <v>18</v>
      </c>
      <c r="D27" s="222" t="s">
        <v>18</v>
      </c>
      <c r="E27" s="222" t="s">
        <v>18</v>
      </c>
      <c r="F27" s="218" t="s">
        <v>18</v>
      </c>
      <c r="G27" s="222" t="s">
        <v>18</v>
      </c>
      <c r="H27" s="222" t="s">
        <v>18</v>
      </c>
      <c r="I27" s="222" t="s">
        <v>18</v>
      </c>
      <c r="J27" s="102" t="s">
        <v>18</v>
      </c>
      <c r="K27" s="218" t="s">
        <v>18</v>
      </c>
      <c r="L27" s="218" t="s">
        <v>18</v>
      </c>
      <c r="M27" s="218" t="s">
        <v>18</v>
      </c>
      <c r="N27" s="218" t="s">
        <v>18</v>
      </c>
      <c r="O27" s="218" t="s">
        <v>18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 t="s">
        <v>18</v>
      </c>
      <c r="AF27" s="102" t="s">
        <v>18</v>
      </c>
      <c r="AG27" s="102" t="s">
        <v>18</v>
      </c>
      <c r="AH27" s="102" t="s">
        <v>18</v>
      </c>
      <c r="AI27" s="102" t="s">
        <v>18</v>
      </c>
      <c r="AJ27" s="102" t="s">
        <v>18</v>
      </c>
      <c r="AK27" s="102" t="s">
        <v>18</v>
      </c>
      <c r="AL27" s="102" t="s">
        <v>18</v>
      </c>
      <c r="AM27" s="102" t="s">
        <v>18</v>
      </c>
      <c r="AN27" s="102" t="s">
        <v>18</v>
      </c>
      <c r="AO27" s="102" t="s">
        <v>18</v>
      </c>
      <c r="AP27" s="102" t="s">
        <v>18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253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10" t="s">
        <v>150</v>
      </c>
      <c r="D29" s="611">
        <v>7.8466666666666667</v>
      </c>
      <c r="E29" s="611">
        <v>10.813333333333333</v>
      </c>
      <c r="F29" s="612">
        <v>87.666666666666671</v>
      </c>
      <c r="G29" s="611">
        <v>7.8</v>
      </c>
      <c r="H29" s="611">
        <v>4.7666666666666666</v>
      </c>
      <c r="I29" s="611">
        <v>54.199999999999996</v>
      </c>
      <c r="J29" s="611">
        <v>2.2666666666666671</v>
      </c>
      <c r="K29" s="612">
        <v>18.566666666666666</v>
      </c>
      <c r="L29" s="612">
        <v>58.333333333333336</v>
      </c>
      <c r="M29" s="612">
        <v>2316.6666666666665</v>
      </c>
      <c r="N29" s="612">
        <v>171.33333333333334</v>
      </c>
      <c r="O29" s="612">
        <v>2800</v>
      </c>
      <c r="P29" s="611"/>
      <c r="Q29" s="715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7.8466666666666667</v>
      </c>
      <c r="AF29" s="102">
        <v>10.813333333333333</v>
      </c>
      <c r="AG29" s="102">
        <v>87.666666666666671</v>
      </c>
      <c r="AH29" s="102">
        <v>7.8</v>
      </c>
      <c r="AI29" s="102">
        <v>4.7666666666666666</v>
      </c>
      <c r="AJ29" s="102">
        <v>54.199999999999996</v>
      </c>
      <c r="AK29" s="102">
        <v>2.2666666666666671</v>
      </c>
      <c r="AL29" s="102">
        <v>18.566666666666666</v>
      </c>
      <c r="AM29" s="102">
        <v>58.333333333333336</v>
      </c>
      <c r="AN29" s="102">
        <v>2316.6666666666665</v>
      </c>
      <c r="AO29" s="102">
        <v>171.33333333333334</v>
      </c>
      <c r="AP29" s="102">
        <v>2800</v>
      </c>
      <c r="AQ29" s="102">
        <f t="shared" si="0"/>
        <v>0</v>
      </c>
    </row>
    <row r="30" spans="1:43" s="102" customFormat="1" ht="11.4">
      <c r="A30" s="117"/>
      <c r="C30" s="613" t="s">
        <v>151</v>
      </c>
      <c r="D30" s="614">
        <v>12.1</v>
      </c>
      <c r="E30" s="614">
        <v>11.6</v>
      </c>
      <c r="F30" s="615">
        <v>92</v>
      </c>
      <c r="G30" s="614">
        <v>7.8</v>
      </c>
      <c r="H30" s="614">
        <v>5.2</v>
      </c>
      <c r="I30" s="614">
        <v>56.5</v>
      </c>
      <c r="J30" s="614">
        <v>2.6</v>
      </c>
      <c r="K30" s="615">
        <v>39</v>
      </c>
      <c r="L30" s="615">
        <v>65</v>
      </c>
      <c r="M30" s="615">
        <v>3600</v>
      </c>
      <c r="N30" s="615">
        <v>380</v>
      </c>
      <c r="O30" s="615">
        <v>4100</v>
      </c>
      <c r="P30" s="614"/>
      <c r="Q30" s="716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12.1</v>
      </c>
      <c r="AF30" s="102">
        <v>11.6</v>
      </c>
      <c r="AG30" s="102">
        <v>92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39</v>
      </c>
      <c r="AM30" s="102">
        <v>65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6" t="s">
        <v>152</v>
      </c>
      <c r="D31" s="617">
        <v>0.5</v>
      </c>
      <c r="E31" s="617">
        <v>9.9</v>
      </c>
      <c r="F31" s="618">
        <v>80</v>
      </c>
      <c r="G31" s="617">
        <v>7.8</v>
      </c>
      <c r="H31" s="617">
        <v>4</v>
      </c>
      <c r="I31" s="617">
        <v>52.5</v>
      </c>
      <c r="J31" s="617">
        <v>1.8</v>
      </c>
      <c r="K31" s="618">
        <v>8</v>
      </c>
      <c r="L31" s="618">
        <v>54</v>
      </c>
      <c r="M31" s="618">
        <v>550</v>
      </c>
      <c r="N31" s="618">
        <v>63</v>
      </c>
      <c r="O31" s="618">
        <v>1200</v>
      </c>
      <c r="P31" s="617"/>
      <c r="Q31" s="717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9.9</v>
      </c>
      <c r="AG31" s="102">
        <v>80</v>
      </c>
      <c r="AH31" s="102">
        <v>7.8</v>
      </c>
      <c r="AI31" s="102">
        <v>4</v>
      </c>
      <c r="AJ31" s="102">
        <v>52.5</v>
      </c>
      <c r="AK31" s="102">
        <v>1.8</v>
      </c>
      <c r="AL31" s="102">
        <v>8</v>
      </c>
      <c r="AM31" s="102">
        <v>54</v>
      </c>
      <c r="AN31" s="102">
        <v>550</v>
      </c>
      <c r="AO31" s="102">
        <v>63</v>
      </c>
      <c r="AP31" s="102">
        <v>1200</v>
      </c>
      <c r="AQ31" s="102">
        <f t="shared" si="0"/>
        <v>0</v>
      </c>
    </row>
    <row r="32" spans="1:43" s="102" customFormat="1" ht="11.4">
      <c r="A32" s="117"/>
      <c r="B32" s="411"/>
      <c r="C32" s="619"/>
      <c r="D32" s="620"/>
      <c r="E32" s="620"/>
      <c r="F32" s="621"/>
      <c r="G32" s="620"/>
      <c r="H32" s="620"/>
      <c r="I32" s="620"/>
      <c r="J32" s="622"/>
      <c r="K32" s="622"/>
      <c r="L32" s="622"/>
      <c r="M32" s="622"/>
      <c r="N32" s="622"/>
      <c r="O32" s="622"/>
      <c r="P32" s="620"/>
      <c r="Q32" s="620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265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443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265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265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265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265</v>
      </c>
      <c r="C37" s="206">
        <v>46154</v>
      </c>
      <c r="D37" s="222">
        <v>10.7</v>
      </c>
      <c r="E37" s="222">
        <v>8.4</v>
      </c>
      <c r="F37" s="218">
        <v>76</v>
      </c>
      <c r="G37" s="222">
        <v>7.7</v>
      </c>
      <c r="H37" s="222">
        <v>4.4000000000000004</v>
      </c>
      <c r="I37" s="222">
        <v>47.4</v>
      </c>
      <c r="J37" s="102">
        <v>3</v>
      </c>
      <c r="K37" s="218">
        <v>23</v>
      </c>
      <c r="L37" s="218">
        <v>62</v>
      </c>
      <c r="M37" s="218">
        <v>920</v>
      </c>
      <c r="N37" s="218">
        <v>320</v>
      </c>
      <c r="O37" s="218">
        <v>1700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>
        <v>10.7</v>
      </c>
      <c r="AF37" s="102">
        <v>8.4</v>
      </c>
      <c r="AG37" s="102">
        <v>76</v>
      </c>
      <c r="AH37" s="102">
        <v>7.7</v>
      </c>
      <c r="AI37" s="102">
        <v>4.4000000000000004</v>
      </c>
      <c r="AJ37" s="102">
        <v>47.4</v>
      </c>
      <c r="AK37" s="102">
        <v>3</v>
      </c>
      <c r="AL37" s="102">
        <v>23</v>
      </c>
      <c r="AM37" s="102">
        <v>62</v>
      </c>
      <c r="AN37" s="102">
        <v>920</v>
      </c>
      <c r="AO37" s="102">
        <v>320</v>
      </c>
      <c r="AP37" s="102">
        <v>1700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265</v>
      </c>
      <c r="C38" s="206">
        <v>46183</v>
      </c>
      <c r="D38" s="222">
        <v>16.7</v>
      </c>
      <c r="E38" s="222">
        <v>8.0299999999999994</v>
      </c>
      <c r="F38" s="218">
        <v>83</v>
      </c>
      <c r="G38" s="222">
        <v>7.7</v>
      </c>
      <c r="H38" s="222">
        <v>2.1</v>
      </c>
      <c r="I38" s="222">
        <v>46.9</v>
      </c>
      <c r="J38" s="102">
        <v>2</v>
      </c>
      <c r="K38" s="218">
        <v>17</v>
      </c>
      <c r="L38" s="218">
        <v>53</v>
      </c>
      <c r="M38" s="218">
        <v>650</v>
      </c>
      <c r="N38" s="218">
        <v>200</v>
      </c>
      <c r="O38" s="218">
        <v>1400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>
        <v>16.7</v>
      </c>
      <c r="AF38" s="102">
        <v>8.0299999999999994</v>
      </c>
      <c r="AG38" s="102">
        <v>83</v>
      </c>
      <c r="AH38" s="102">
        <v>7.7</v>
      </c>
      <c r="AI38" s="102">
        <v>2.1</v>
      </c>
      <c r="AJ38" s="102">
        <v>46.9</v>
      </c>
      <c r="AK38" s="102">
        <v>2</v>
      </c>
      <c r="AL38" s="102">
        <v>17</v>
      </c>
      <c r="AM38" s="102">
        <v>53</v>
      </c>
      <c r="AN38" s="102">
        <v>650</v>
      </c>
      <c r="AO38" s="102">
        <v>200</v>
      </c>
      <c r="AP38" s="102">
        <v>1400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265</v>
      </c>
      <c r="C39" s="206" t="s">
        <v>18</v>
      </c>
      <c r="D39" s="222" t="s">
        <v>18</v>
      </c>
      <c r="E39" s="222" t="s">
        <v>18</v>
      </c>
      <c r="F39" s="218" t="s">
        <v>18</v>
      </c>
      <c r="G39" s="222" t="s">
        <v>18</v>
      </c>
      <c r="H39" s="222" t="s">
        <v>18</v>
      </c>
      <c r="I39" s="222" t="s">
        <v>18</v>
      </c>
      <c r="J39" s="102" t="s">
        <v>18</v>
      </c>
      <c r="K39" s="218" t="s">
        <v>18</v>
      </c>
      <c r="L39" s="218" t="s">
        <v>18</v>
      </c>
      <c r="M39" s="218" t="s">
        <v>18</v>
      </c>
      <c r="N39" s="218" t="s">
        <v>18</v>
      </c>
      <c r="O39" s="218" t="s">
        <v>18</v>
      </c>
      <c r="P39" s="222" t="s">
        <v>18</v>
      </c>
      <c r="Q39" s="222" t="s">
        <v>18</v>
      </c>
      <c r="R39" s="609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 t="s">
        <v>18</v>
      </c>
      <c r="AF39" s="102" t="s">
        <v>18</v>
      </c>
      <c r="AG39" s="102" t="s">
        <v>18</v>
      </c>
      <c r="AH39" s="102" t="s">
        <v>18</v>
      </c>
      <c r="AI39" s="102" t="s">
        <v>18</v>
      </c>
      <c r="AJ39" s="102" t="s">
        <v>18</v>
      </c>
      <c r="AK39" s="102" t="s">
        <v>18</v>
      </c>
      <c r="AL39" s="102" t="s">
        <v>18</v>
      </c>
      <c r="AM39" s="102" t="s">
        <v>18</v>
      </c>
      <c r="AN39" s="102" t="s">
        <v>18</v>
      </c>
      <c r="AO39" s="102" t="s">
        <v>18</v>
      </c>
      <c r="AP39" s="102" t="s">
        <v>18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265</v>
      </c>
      <c r="C40" s="206" t="s">
        <v>18</v>
      </c>
      <c r="D40" s="222" t="s">
        <v>18</v>
      </c>
      <c r="E40" s="222" t="s">
        <v>18</v>
      </c>
      <c r="F40" s="218" t="s">
        <v>18</v>
      </c>
      <c r="G40" s="222" t="s">
        <v>18</v>
      </c>
      <c r="H40" s="222" t="s">
        <v>18</v>
      </c>
      <c r="I40" s="222" t="s">
        <v>18</v>
      </c>
      <c r="J40" s="102" t="s">
        <v>18</v>
      </c>
      <c r="K40" s="218" t="s">
        <v>18</v>
      </c>
      <c r="L40" s="218" t="s">
        <v>18</v>
      </c>
      <c r="M40" s="218" t="s">
        <v>18</v>
      </c>
      <c r="N40" s="218" t="s">
        <v>18</v>
      </c>
      <c r="O40" s="218" t="s">
        <v>18</v>
      </c>
      <c r="P40" s="222" t="s">
        <v>18</v>
      </c>
      <c r="Q40" s="222" t="s">
        <v>18</v>
      </c>
      <c r="R40" s="609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 t="s">
        <v>18</v>
      </c>
      <c r="AF40" s="102" t="s">
        <v>18</v>
      </c>
      <c r="AG40" s="102" t="s">
        <v>18</v>
      </c>
      <c r="AH40" s="102" t="s">
        <v>18</v>
      </c>
      <c r="AI40" s="102" t="s">
        <v>18</v>
      </c>
      <c r="AJ40" s="102" t="s">
        <v>18</v>
      </c>
      <c r="AK40" s="102" t="s">
        <v>18</v>
      </c>
      <c r="AL40" s="102" t="s">
        <v>18</v>
      </c>
      <c r="AM40" s="102" t="s">
        <v>18</v>
      </c>
      <c r="AN40" s="102" t="s">
        <v>18</v>
      </c>
      <c r="AO40" s="102" t="s">
        <v>18</v>
      </c>
      <c r="AP40" s="102" t="s">
        <v>18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265</v>
      </c>
      <c r="C41" s="206" t="s">
        <v>18</v>
      </c>
      <c r="D41" s="222" t="s">
        <v>18</v>
      </c>
      <c r="E41" s="222" t="s">
        <v>18</v>
      </c>
      <c r="F41" s="218" t="s">
        <v>18</v>
      </c>
      <c r="G41" s="222" t="s">
        <v>18</v>
      </c>
      <c r="H41" s="222" t="s">
        <v>18</v>
      </c>
      <c r="I41" s="222" t="s">
        <v>18</v>
      </c>
      <c r="J41" s="102" t="s">
        <v>18</v>
      </c>
      <c r="K41" s="218" t="s">
        <v>18</v>
      </c>
      <c r="L41" s="218" t="s">
        <v>18</v>
      </c>
      <c r="M41" s="218" t="s">
        <v>18</v>
      </c>
      <c r="N41" s="218" t="s">
        <v>18</v>
      </c>
      <c r="O41" s="218" t="s">
        <v>18</v>
      </c>
      <c r="P41" s="222" t="s">
        <v>18</v>
      </c>
      <c r="Q41" s="222" t="s">
        <v>18</v>
      </c>
      <c r="R41" s="609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 t="s">
        <v>18</v>
      </c>
      <c r="AF41" s="102" t="s">
        <v>18</v>
      </c>
      <c r="AG41" s="102" t="s">
        <v>18</v>
      </c>
      <c r="AH41" s="102" t="s">
        <v>18</v>
      </c>
      <c r="AI41" s="102" t="s">
        <v>18</v>
      </c>
      <c r="AJ41" s="102" t="s">
        <v>18</v>
      </c>
      <c r="AK41" s="102" t="s">
        <v>18</v>
      </c>
      <c r="AL41" s="102" t="s">
        <v>18</v>
      </c>
      <c r="AM41" s="102" t="s">
        <v>18</v>
      </c>
      <c r="AN41" s="102" t="s">
        <v>18</v>
      </c>
      <c r="AO41" s="102" t="s">
        <v>18</v>
      </c>
      <c r="AP41" s="102" t="s">
        <v>18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265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9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265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9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265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9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10" t="s">
        <v>150</v>
      </c>
      <c r="D45" s="611">
        <v>9.6759999999999984</v>
      </c>
      <c r="E45" s="611">
        <v>10.004000000000001</v>
      </c>
      <c r="F45" s="612">
        <v>85.6</v>
      </c>
      <c r="G45" s="611">
        <v>7.76</v>
      </c>
      <c r="H45" s="611">
        <v>5.4799999999999995</v>
      </c>
      <c r="I45" s="611">
        <v>49.580000000000005</v>
      </c>
      <c r="J45" s="611">
        <v>2.2880000000000003</v>
      </c>
      <c r="K45" s="612">
        <v>22.4</v>
      </c>
      <c r="L45" s="612">
        <v>63.8</v>
      </c>
      <c r="M45" s="612">
        <v>1214</v>
      </c>
      <c r="N45" s="612">
        <v>200.6</v>
      </c>
      <c r="O45" s="612">
        <v>1940</v>
      </c>
      <c r="P45" s="611"/>
      <c r="Q45" s="715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9.6759999999999984</v>
      </c>
      <c r="AF45" s="102">
        <v>10.004000000000001</v>
      </c>
      <c r="AG45" s="102">
        <v>85.6</v>
      </c>
      <c r="AH45" s="102">
        <v>7.76</v>
      </c>
      <c r="AI45" s="102">
        <v>5.4799999999999995</v>
      </c>
      <c r="AJ45" s="102">
        <v>49.580000000000005</v>
      </c>
      <c r="AK45" s="102">
        <v>2.2880000000000003</v>
      </c>
      <c r="AL45" s="102">
        <v>22.4</v>
      </c>
      <c r="AM45" s="102">
        <v>63.8</v>
      </c>
      <c r="AN45" s="102">
        <v>1214</v>
      </c>
      <c r="AO45" s="102">
        <v>200.6</v>
      </c>
      <c r="AP45" s="102">
        <v>1940</v>
      </c>
      <c r="AQ45" s="102">
        <f t="shared" si="1"/>
        <v>0</v>
      </c>
    </row>
    <row r="46" spans="1:43" s="102" customFormat="1" ht="11.4">
      <c r="A46" s="117"/>
      <c r="C46" s="613" t="s">
        <v>151</v>
      </c>
      <c r="D46" s="614">
        <v>16.7</v>
      </c>
      <c r="E46" s="614">
        <v>12</v>
      </c>
      <c r="F46" s="615">
        <v>95</v>
      </c>
      <c r="G46" s="614">
        <v>7.8</v>
      </c>
      <c r="H46" s="614">
        <v>10</v>
      </c>
      <c r="I46" s="614">
        <v>52.2</v>
      </c>
      <c r="J46" s="614">
        <v>3</v>
      </c>
      <c r="K46" s="615">
        <v>48</v>
      </c>
      <c r="L46" s="615">
        <v>89</v>
      </c>
      <c r="M46" s="615">
        <v>2100</v>
      </c>
      <c r="N46" s="615">
        <v>320</v>
      </c>
      <c r="O46" s="615">
        <v>3000</v>
      </c>
      <c r="P46" s="614"/>
      <c r="Q46" s="716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16.7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3</v>
      </c>
      <c r="AL46" s="102">
        <v>48</v>
      </c>
      <c r="AM46" s="102">
        <v>89</v>
      </c>
      <c r="AN46" s="102">
        <v>2100</v>
      </c>
      <c r="AO46" s="102">
        <v>320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6" t="s">
        <v>152</v>
      </c>
      <c r="D47" s="617">
        <v>0.7</v>
      </c>
      <c r="E47" s="617">
        <v>8.0299999999999994</v>
      </c>
      <c r="F47" s="618">
        <v>76</v>
      </c>
      <c r="G47" s="617">
        <v>7.7</v>
      </c>
      <c r="H47" s="617">
        <v>2.1</v>
      </c>
      <c r="I47" s="617">
        <v>46.9</v>
      </c>
      <c r="J47" s="617">
        <v>1.8</v>
      </c>
      <c r="K47" s="618">
        <v>11</v>
      </c>
      <c r="L47" s="618">
        <v>53</v>
      </c>
      <c r="M47" s="618">
        <v>650</v>
      </c>
      <c r="N47" s="618">
        <v>63</v>
      </c>
      <c r="O47" s="618">
        <v>1400</v>
      </c>
      <c r="P47" s="617"/>
      <c r="Q47" s="717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8.0299999999999994</v>
      </c>
      <c r="AG47" s="102">
        <v>76</v>
      </c>
      <c r="AH47" s="102">
        <v>7.7</v>
      </c>
      <c r="AI47" s="102">
        <v>2.1</v>
      </c>
      <c r="AJ47" s="102">
        <v>46.9</v>
      </c>
      <c r="AK47" s="102">
        <v>1.8</v>
      </c>
      <c r="AL47" s="102">
        <v>11</v>
      </c>
      <c r="AM47" s="102">
        <v>53</v>
      </c>
      <c r="AN47" s="102">
        <v>650</v>
      </c>
      <c r="AO47" s="102">
        <v>63</v>
      </c>
      <c r="AP47" s="102">
        <v>1400</v>
      </c>
      <c r="AQ47" s="102">
        <f t="shared" si="1"/>
        <v>0</v>
      </c>
    </row>
    <row r="48" spans="1:43" s="102" customFormat="1" ht="11.4">
      <c r="A48" s="117"/>
      <c r="B48" s="411"/>
      <c r="C48" s="619"/>
      <c r="D48" s="620"/>
      <c r="E48" s="620"/>
      <c r="F48" s="621"/>
      <c r="G48" s="620"/>
      <c r="H48" s="620"/>
      <c r="I48" s="620"/>
      <c r="J48" s="622"/>
      <c r="K48" s="622"/>
      <c r="L48" s="622"/>
      <c r="M48" s="622"/>
      <c r="N48" s="622"/>
      <c r="O48" s="622"/>
      <c r="P48" s="620"/>
      <c r="Q48" s="620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254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9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254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9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254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149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9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254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149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9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254</v>
      </c>
      <c r="C53" s="206">
        <v>46153</v>
      </c>
      <c r="D53" s="222">
        <v>12.3</v>
      </c>
      <c r="E53" s="222">
        <v>11.21</v>
      </c>
      <c r="F53" s="218">
        <v>105</v>
      </c>
      <c r="G53" s="222">
        <v>8.1999999999999993</v>
      </c>
      <c r="H53" s="222">
        <v>1.9</v>
      </c>
      <c r="I53" s="222">
        <v>41.6</v>
      </c>
      <c r="J53" s="102">
        <v>2.4</v>
      </c>
      <c r="K53" s="218">
        <v>2.2999999999999998</v>
      </c>
      <c r="L53" s="218">
        <v>26</v>
      </c>
      <c r="M53" s="218">
        <v>1100</v>
      </c>
      <c r="N53" s="218">
        <v>37</v>
      </c>
      <c r="O53" s="218">
        <v>1700</v>
      </c>
      <c r="P53" s="222" t="s">
        <v>18</v>
      </c>
      <c r="Q53" s="222" t="s">
        <v>18</v>
      </c>
      <c r="R53" s="609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>
        <v>12.3</v>
      </c>
      <c r="AF53" s="102">
        <v>11.21</v>
      </c>
      <c r="AG53" s="102">
        <v>105</v>
      </c>
      <c r="AH53" s="102">
        <v>8.1999999999999993</v>
      </c>
      <c r="AI53" s="102">
        <v>1.9</v>
      </c>
      <c r="AJ53" s="102">
        <v>41.6</v>
      </c>
      <c r="AK53" s="102">
        <v>2.4</v>
      </c>
      <c r="AL53" s="102">
        <v>2.2999999999999998</v>
      </c>
      <c r="AM53" s="102">
        <v>26</v>
      </c>
      <c r="AN53" s="102">
        <v>1100</v>
      </c>
      <c r="AO53" s="102">
        <v>37</v>
      </c>
      <c r="AP53" s="102">
        <v>1700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254</v>
      </c>
      <c r="C54" s="206">
        <v>46183</v>
      </c>
      <c r="D54" s="222">
        <v>16.600000000000001</v>
      </c>
      <c r="E54" s="222">
        <v>10.68</v>
      </c>
      <c r="F54" s="218">
        <v>110</v>
      </c>
      <c r="G54" s="222">
        <v>8.4</v>
      </c>
      <c r="H54" s="222">
        <v>2</v>
      </c>
      <c r="I54" s="222">
        <v>40.1</v>
      </c>
      <c r="J54" s="102">
        <v>1.6</v>
      </c>
      <c r="K54" s="218" t="s">
        <v>149</v>
      </c>
      <c r="L54" s="218">
        <v>22</v>
      </c>
      <c r="M54" s="218">
        <v>820</v>
      </c>
      <c r="N54" s="218">
        <v>32</v>
      </c>
      <c r="O54" s="218">
        <v>1300</v>
      </c>
      <c r="P54" s="222" t="s">
        <v>18</v>
      </c>
      <c r="Q54" s="222" t="s">
        <v>18</v>
      </c>
      <c r="R54" s="609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>
        <v>16.600000000000001</v>
      </c>
      <c r="AF54" s="102">
        <v>10.68</v>
      </c>
      <c r="AG54" s="102">
        <v>110</v>
      </c>
      <c r="AH54" s="102">
        <v>8.4</v>
      </c>
      <c r="AI54" s="102">
        <v>2</v>
      </c>
      <c r="AJ54" s="102">
        <v>40.1</v>
      </c>
      <c r="AK54" s="102">
        <v>1.6</v>
      </c>
      <c r="AL54" s="102">
        <v>2</v>
      </c>
      <c r="AM54" s="102">
        <v>22</v>
      </c>
      <c r="AN54" s="102">
        <v>820</v>
      </c>
      <c r="AO54" s="102">
        <v>32</v>
      </c>
      <c r="AP54" s="102">
        <v>1300</v>
      </c>
      <c r="AQ54" s="102" t="str">
        <f t="shared" si="1"/>
        <v/>
      </c>
    </row>
    <row r="55" spans="1:43" s="102" customFormat="1" ht="12" customHeight="1">
      <c r="A55" s="117">
        <v>7</v>
      </c>
      <c r="B55" s="623" t="s">
        <v>254</v>
      </c>
      <c r="C55" s="206" t="s">
        <v>18</v>
      </c>
      <c r="D55" s="222" t="s">
        <v>18</v>
      </c>
      <c r="E55" s="222" t="s">
        <v>18</v>
      </c>
      <c r="F55" s="218" t="s">
        <v>18</v>
      </c>
      <c r="G55" s="222" t="s">
        <v>18</v>
      </c>
      <c r="H55" s="222" t="s">
        <v>18</v>
      </c>
      <c r="I55" s="222" t="s">
        <v>18</v>
      </c>
      <c r="J55" s="102" t="s">
        <v>18</v>
      </c>
      <c r="K55" s="218" t="s">
        <v>18</v>
      </c>
      <c r="L55" s="218" t="s">
        <v>18</v>
      </c>
      <c r="M55" s="218" t="s">
        <v>18</v>
      </c>
      <c r="N55" s="218" t="s">
        <v>18</v>
      </c>
      <c r="O55" s="218" t="s">
        <v>18</v>
      </c>
      <c r="P55" s="222" t="s">
        <v>18</v>
      </c>
      <c r="Q55" s="222" t="s">
        <v>18</v>
      </c>
      <c r="R55" s="609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 t="s">
        <v>18</v>
      </c>
      <c r="AF55" s="102" t="s">
        <v>18</v>
      </c>
      <c r="AG55" s="102" t="s">
        <v>18</v>
      </c>
      <c r="AH55" s="102" t="s">
        <v>18</v>
      </c>
      <c r="AI55" s="102" t="s">
        <v>18</v>
      </c>
      <c r="AJ55" s="102" t="s">
        <v>18</v>
      </c>
      <c r="AK55" s="102" t="s">
        <v>18</v>
      </c>
      <c r="AL55" s="102" t="s">
        <v>18</v>
      </c>
      <c r="AM55" s="102" t="s">
        <v>18</v>
      </c>
      <c r="AN55" s="102" t="s">
        <v>18</v>
      </c>
      <c r="AO55" s="102" t="s">
        <v>18</v>
      </c>
      <c r="AP55" s="102" t="s">
        <v>18</v>
      </c>
      <c r="AQ55" s="102" t="str">
        <f t="shared" si="1"/>
        <v/>
      </c>
    </row>
    <row r="56" spans="1:43" s="102" customFormat="1" ht="12" customHeight="1">
      <c r="A56" s="117">
        <v>7</v>
      </c>
      <c r="B56" s="623" t="s">
        <v>254</v>
      </c>
      <c r="C56" s="206" t="s">
        <v>18</v>
      </c>
      <c r="D56" s="222" t="s">
        <v>18</v>
      </c>
      <c r="E56" s="222" t="s">
        <v>18</v>
      </c>
      <c r="F56" s="218" t="s">
        <v>18</v>
      </c>
      <c r="G56" s="222" t="s">
        <v>18</v>
      </c>
      <c r="H56" s="222" t="s">
        <v>18</v>
      </c>
      <c r="I56" s="222" t="s">
        <v>18</v>
      </c>
      <c r="J56" s="102" t="s">
        <v>18</v>
      </c>
      <c r="K56" s="218" t="s">
        <v>18</v>
      </c>
      <c r="L56" s="218" t="s">
        <v>18</v>
      </c>
      <c r="M56" s="218" t="s">
        <v>18</v>
      </c>
      <c r="N56" s="218" t="s">
        <v>18</v>
      </c>
      <c r="O56" s="218" t="s">
        <v>18</v>
      </c>
      <c r="P56" s="222" t="s">
        <v>18</v>
      </c>
      <c r="Q56" s="222" t="s">
        <v>18</v>
      </c>
      <c r="R56" s="609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 t="s">
        <v>18</v>
      </c>
      <c r="AF56" s="102" t="s">
        <v>18</v>
      </c>
      <c r="AG56" s="102" t="s">
        <v>18</v>
      </c>
      <c r="AH56" s="102" t="s">
        <v>18</v>
      </c>
      <c r="AI56" s="102" t="s">
        <v>18</v>
      </c>
      <c r="AJ56" s="102" t="s">
        <v>18</v>
      </c>
      <c r="AK56" s="102" t="s">
        <v>18</v>
      </c>
      <c r="AL56" s="102" t="s">
        <v>18</v>
      </c>
      <c r="AM56" s="102" t="s">
        <v>18</v>
      </c>
      <c r="AN56" s="102" t="s">
        <v>18</v>
      </c>
      <c r="AO56" s="102" t="s">
        <v>18</v>
      </c>
      <c r="AP56" s="102" t="s">
        <v>18</v>
      </c>
      <c r="AQ56" s="102" t="str">
        <f t="shared" si="1"/>
        <v/>
      </c>
    </row>
    <row r="57" spans="1:43" s="102" customFormat="1" ht="12" customHeight="1">
      <c r="A57" s="117">
        <v>7</v>
      </c>
      <c r="B57" s="623" t="s">
        <v>254</v>
      </c>
      <c r="C57" s="206" t="s">
        <v>18</v>
      </c>
      <c r="D57" s="222" t="s">
        <v>18</v>
      </c>
      <c r="E57" s="222" t="s">
        <v>18</v>
      </c>
      <c r="F57" s="218" t="s">
        <v>18</v>
      </c>
      <c r="G57" s="222" t="s">
        <v>18</v>
      </c>
      <c r="H57" s="222" t="s">
        <v>18</v>
      </c>
      <c r="I57" s="222" t="s">
        <v>18</v>
      </c>
      <c r="J57" s="102" t="s">
        <v>18</v>
      </c>
      <c r="K57" s="218" t="s">
        <v>18</v>
      </c>
      <c r="L57" s="218" t="s">
        <v>18</v>
      </c>
      <c r="M57" s="218" t="s">
        <v>18</v>
      </c>
      <c r="N57" s="218" t="s">
        <v>18</v>
      </c>
      <c r="O57" s="218" t="s">
        <v>18</v>
      </c>
      <c r="P57" s="222" t="s">
        <v>18</v>
      </c>
      <c r="Q57" s="222" t="s">
        <v>18</v>
      </c>
      <c r="R57" s="609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 t="s">
        <v>18</v>
      </c>
      <c r="AF57" s="102" t="s">
        <v>18</v>
      </c>
      <c r="AG57" s="102" t="s">
        <v>18</v>
      </c>
      <c r="AH57" s="102" t="s">
        <v>18</v>
      </c>
      <c r="AI57" s="102" t="s">
        <v>18</v>
      </c>
      <c r="AJ57" s="102" t="s">
        <v>18</v>
      </c>
      <c r="AK57" s="102" t="s">
        <v>18</v>
      </c>
      <c r="AL57" s="102" t="s">
        <v>18</v>
      </c>
      <c r="AM57" s="102" t="s">
        <v>18</v>
      </c>
      <c r="AN57" s="102" t="s">
        <v>18</v>
      </c>
      <c r="AO57" s="102" t="s">
        <v>18</v>
      </c>
      <c r="AP57" s="102" t="s">
        <v>18</v>
      </c>
      <c r="AQ57" s="102" t="str">
        <f t="shared" si="1"/>
        <v/>
      </c>
    </row>
    <row r="58" spans="1:43" s="102" customFormat="1" ht="12" customHeight="1">
      <c r="A58" s="117">
        <v>7</v>
      </c>
      <c r="B58" s="623" t="s">
        <v>254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9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3" t="s">
        <v>254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9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3" t="s">
        <v>254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9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10" t="s">
        <v>150</v>
      </c>
      <c r="D61" s="611">
        <v>7.2666666666666666</v>
      </c>
      <c r="E61" s="611">
        <v>13.958333333333334</v>
      </c>
      <c r="F61" s="612">
        <v>115.16666666666667</v>
      </c>
      <c r="G61" s="611">
        <v>8.3666666666666654</v>
      </c>
      <c r="H61" s="611">
        <v>4.3233333333333333</v>
      </c>
      <c r="I61" s="611">
        <v>41.783333333333331</v>
      </c>
      <c r="J61" s="611">
        <v>3.2166666666666668</v>
      </c>
      <c r="K61" s="612">
        <v>19.05</v>
      </c>
      <c r="L61" s="612">
        <v>45.833333333333336</v>
      </c>
      <c r="M61" s="612">
        <v>1203.3333333333333</v>
      </c>
      <c r="N61" s="612">
        <v>54</v>
      </c>
      <c r="O61" s="612">
        <v>1933.3333333333333</v>
      </c>
      <c r="P61" s="611"/>
      <c r="Q61" s="715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7.2666666666666666</v>
      </c>
      <c r="AF61" s="102">
        <v>13.958333333333334</v>
      </c>
      <c r="AG61" s="102">
        <v>115.16666666666667</v>
      </c>
      <c r="AH61" s="102">
        <v>8.3666666666666654</v>
      </c>
      <c r="AI61" s="102">
        <v>4.3233333333333333</v>
      </c>
      <c r="AJ61" s="102">
        <v>41.783333333333331</v>
      </c>
      <c r="AK61" s="102">
        <v>3.2166666666666668</v>
      </c>
      <c r="AL61" s="102">
        <v>19.05</v>
      </c>
      <c r="AM61" s="102">
        <v>45.833333333333336</v>
      </c>
      <c r="AN61" s="102">
        <v>1203.3333333333333</v>
      </c>
      <c r="AO61" s="102">
        <v>54</v>
      </c>
      <c r="AP61" s="102">
        <v>1933.3333333333333</v>
      </c>
      <c r="AQ61" s="102">
        <f t="shared" si="1"/>
        <v>0</v>
      </c>
    </row>
    <row r="62" spans="1:43" s="102" customFormat="1" ht="11.4">
      <c r="A62" s="117"/>
      <c r="C62" s="613" t="s">
        <v>151</v>
      </c>
      <c r="D62" s="614">
        <v>16.600000000000001</v>
      </c>
      <c r="E62" s="614">
        <v>19.86</v>
      </c>
      <c r="F62" s="615">
        <v>167</v>
      </c>
      <c r="G62" s="614">
        <v>8.6999999999999993</v>
      </c>
      <c r="H62" s="614">
        <v>16</v>
      </c>
      <c r="I62" s="614">
        <v>44.2</v>
      </c>
      <c r="J62" s="614">
        <v>8.5</v>
      </c>
      <c r="K62" s="615">
        <v>57</v>
      </c>
      <c r="L62" s="615">
        <v>66</v>
      </c>
      <c r="M62" s="615">
        <v>1500</v>
      </c>
      <c r="N62" s="615">
        <v>130</v>
      </c>
      <c r="O62" s="615">
        <v>2500</v>
      </c>
      <c r="P62" s="614"/>
      <c r="Q62" s="716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16.600000000000001</v>
      </c>
      <c r="AF62" s="102">
        <v>19.86</v>
      </c>
      <c r="AG62" s="102">
        <v>167</v>
      </c>
      <c r="AH62" s="102">
        <v>8.6999999999999993</v>
      </c>
      <c r="AI62" s="102">
        <v>16</v>
      </c>
      <c r="AJ62" s="102">
        <v>44.2</v>
      </c>
      <c r="AK62" s="102">
        <v>8.5</v>
      </c>
      <c r="AL62" s="102">
        <v>57</v>
      </c>
      <c r="AM62" s="102">
        <v>66</v>
      </c>
      <c r="AN62" s="102">
        <v>1500</v>
      </c>
      <c r="AO62" s="102">
        <v>130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6" t="s">
        <v>152</v>
      </c>
      <c r="D63" s="617">
        <v>0.2</v>
      </c>
      <c r="E63" s="617">
        <v>10.68</v>
      </c>
      <c r="F63" s="618">
        <v>97</v>
      </c>
      <c r="G63" s="617">
        <v>8.1</v>
      </c>
      <c r="H63" s="617">
        <v>0.84</v>
      </c>
      <c r="I63" s="617">
        <v>39.700000000000003</v>
      </c>
      <c r="J63" s="617">
        <v>1.2</v>
      </c>
      <c r="K63" s="618">
        <v>2</v>
      </c>
      <c r="L63" s="618">
        <v>22</v>
      </c>
      <c r="M63" s="618">
        <v>820</v>
      </c>
      <c r="N63" s="618">
        <v>13</v>
      </c>
      <c r="O63" s="618">
        <v>1300</v>
      </c>
      <c r="P63" s="617"/>
      <c r="Q63" s="717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10.68</v>
      </c>
      <c r="AG63" s="102">
        <v>97</v>
      </c>
      <c r="AH63" s="102">
        <v>8.1</v>
      </c>
      <c r="AI63" s="102">
        <v>0.84</v>
      </c>
      <c r="AJ63" s="102">
        <v>39.700000000000003</v>
      </c>
      <c r="AK63" s="102">
        <v>1.2</v>
      </c>
      <c r="AL63" s="102">
        <v>2</v>
      </c>
      <c r="AM63" s="102">
        <v>22</v>
      </c>
      <c r="AN63" s="102">
        <v>820</v>
      </c>
      <c r="AO63" s="102">
        <v>13</v>
      </c>
      <c r="AP63" s="102">
        <v>1300</v>
      </c>
      <c r="AQ63" s="102">
        <f t="shared" si="1"/>
        <v>0</v>
      </c>
    </row>
    <row r="64" spans="1:43" s="102" customFormat="1" ht="11.4">
      <c r="A64" s="117"/>
      <c r="B64" s="411"/>
      <c r="C64" s="619"/>
      <c r="D64" s="620"/>
      <c r="E64" s="620"/>
      <c r="F64" s="621"/>
      <c r="G64" s="620"/>
      <c r="H64" s="620"/>
      <c r="I64" s="620"/>
      <c r="J64" s="622"/>
      <c r="K64" s="622"/>
      <c r="L64" s="622"/>
      <c r="M64" s="622"/>
      <c r="N64" s="622"/>
      <c r="O64" s="622"/>
      <c r="P64" s="620"/>
      <c r="Q64" s="620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3" t="s">
        <v>255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9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3" t="s">
        <v>255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9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3" t="s">
        <v>255</v>
      </c>
      <c r="C67" s="206">
        <v>46153</v>
      </c>
      <c r="D67" s="222">
        <v>9.5</v>
      </c>
      <c r="E67" s="222">
        <v>8.9700000000000006</v>
      </c>
      <c r="F67" s="218">
        <v>79</v>
      </c>
      <c r="G67" s="222">
        <v>7.7</v>
      </c>
      <c r="H67" s="222">
        <v>2.1</v>
      </c>
      <c r="I67" s="222">
        <v>53.3</v>
      </c>
      <c r="J67" s="102">
        <v>3</v>
      </c>
      <c r="K67" s="218">
        <v>33</v>
      </c>
      <c r="L67" s="218">
        <v>89</v>
      </c>
      <c r="M67" s="218">
        <v>1500</v>
      </c>
      <c r="N67" s="218">
        <v>56</v>
      </c>
      <c r="O67" s="218">
        <v>2000</v>
      </c>
      <c r="P67" s="222" t="s">
        <v>18</v>
      </c>
      <c r="Q67" s="222" t="s">
        <v>18</v>
      </c>
      <c r="R67" s="609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>
        <v>9.5</v>
      </c>
      <c r="AF67" s="102">
        <v>8.9700000000000006</v>
      </c>
      <c r="AG67" s="102">
        <v>79</v>
      </c>
      <c r="AH67" s="102">
        <v>7.7</v>
      </c>
      <c r="AI67" s="102">
        <v>2.1</v>
      </c>
      <c r="AJ67" s="102">
        <v>53.3</v>
      </c>
      <c r="AK67" s="102">
        <v>3</v>
      </c>
      <c r="AL67" s="102">
        <v>33</v>
      </c>
      <c r="AM67" s="102">
        <v>89</v>
      </c>
      <c r="AN67" s="102">
        <v>1500</v>
      </c>
      <c r="AO67" s="102">
        <v>56</v>
      </c>
      <c r="AP67" s="102">
        <v>2000</v>
      </c>
      <c r="AQ67" s="102" t="str">
        <f t="shared" si="1"/>
        <v/>
      </c>
    </row>
    <row r="68" spans="1:43" s="102" customFormat="1" ht="12" customHeight="1">
      <c r="A68" s="117">
        <v>9</v>
      </c>
      <c r="B68" s="623" t="s">
        <v>255</v>
      </c>
      <c r="C68" s="206" t="s">
        <v>18</v>
      </c>
      <c r="D68" s="222" t="s">
        <v>18</v>
      </c>
      <c r="E68" s="222" t="s">
        <v>18</v>
      </c>
      <c r="F68" s="218" t="s">
        <v>18</v>
      </c>
      <c r="G68" s="222" t="s">
        <v>18</v>
      </c>
      <c r="H68" s="222" t="s">
        <v>18</v>
      </c>
      <c r="I68" s="222" t="s">
        <v>18</v>
      </c>
      <c r="J68" s="102" t="s">
        <v>18</v>
      </c>
      <c r="K68" s="218" t="s">
        <v>18</v>
      </c>
      <c r="L68" s="218" t="s">
        <v>18</v>
      </c>
      <c r="M68" s="218" t="s">
        <v>18</v>
      </c>
      <c r="N68" s="218" t="s">
        <v>18</v>
      </c>
      <c r="O68" s="218" t="s">
        <v>18</v>
      </c>
      <c r="P68" s="222" t="s">
        <v>18</v>
      </c>
      <c r="Q68" s="222" t="s">
        <v>18</v>
      </c>
      <c r="R68" s="609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 t="s">
        <v>18</v>
      </c>
      <c r="AF68" s="102" t="s">
        <v>18</v>
      </c>
      <c r="AG68" s="102" t="s">
        <v>18</v>
      </c>
      <c r="AH68" s="102" t="s">
        <v>18</v>
      </c>
      <c r="AI68" s="102" t="s">
        <v>18</v>
      </c>
      <c r="AJ68" s="102" t="s">
        <v>18</v>
      </c>
      <c r="AK68" s="102" t="s">
        <v>18</v>
      </c>
      <c r="AL68" s="102" t="s">
        <v>18</v>
      </c>
      <c r="AM68" s="102" t="s">
        <v>18</v>
      </c>
      <c r="AN68" s="102" t="s">
        <v>18</v>
      </c>
      <c r="AO68" s="102" t="s">
        <v>18</v>
      </c>
      <c r="AP68" s="102" t="s">
        <v>18</v>
      </c>
      <c r="AQ68" s="102" t="str">
        <f t="shared" si="1"/>
        <v/>
      </c>
    </row>
    <row r="69" spans="1:43" s="102" customFormat="1" ht="12" customHeight="1">
      <c r="A69" s="117">
        <v>9</v>
      </c>
      <c r="B69" s="623" t="s">
        <v>255</v>
      </c>
      <c r="C69" s="206" t="s">
        <v>18</v>
      </c>
      <c r="D69" s="222" t="s">
        <v>18</v>
      </c>
      <c r="E69" s="222" t="s">
        <v>18</v>
      </c>
      <c r="F69" s="218" t="s">
        <v>18</v>
      </c>
      <c r="G69" s="222" t="s">
        <v>18</v>
      </c>
      <c r="H69" s="222" t="s">
        <v>18</v>
      </c>
      <c r="I69" s="222" t="s">
        <v>18</v>
      </c>
      <c r="J69" s="102" t="s">
        <v>18</v>
      </c>
      <c r="K69" s="218" t="s">
        <v>18</v>
      </c>
      <c r="L69" s="218" t="s">
        <v>18</v>
      </c>
      <c r="M69" s="218" t="s">
        <v>18</v>
      </c>
      <c r="N69" s="218" t="s">
        <v>18</v>
      </c>
      <c r="O69" s="218" t="s">
        <v>18</v>
      </c>
      <c r="P69" s="222" t="s">
        <v>18</v>
      </c>
      <c r="Q69" s="222" t="s">
        <v>18</v>
      </c>
      <c r="R69" s="609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 t="s">
        <v>18</v>
      </c>
      <c r="AF69" s="102" t="s">
        <v>18</v>
      </c>
      <c r="AG69" s="102" t="s">
        <v>18</v>
      </c>
      <c r="AH69" s="102" t="s">
        <v>18</v>
      </c>
      <c r="AI69" s="102" t="s">
        <v>18</v>
      </c>
      <c r="AJ69" s="102" t="s">
        <v>18</v>
      </c>
      <c r="AK69" s="102" t="s">
        <v>18</v>
      </c>
      <c r="AL69" s="102" t="s">
        <v>18</v>
      </c>
      <c r="AM69" s="102" t="s">
        <v>18</v>
      </c>
      <c r="AN69" s="102" t="s">
        <v>18</v>
      </c>
      <c r="AO69" s="102" t="s">
        <v>18</v>
      </c>
      <c r="AP69" s="102" t="s">
        <v>18</v>
      </c>
      <c r="AQ69" s="102" t="str">
        <f t="shared" si="1"/>
        <v/>
      </c>
    </row>
    <row r="70" spans="1:43" s="102" customFormat="1" ht="11.4">
      <c r="A70" s="117">
        <v>9</v>
      </c>
      <c r="B70" s="623" t="s">
        <v>255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9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10" t="s">
        <v>150</v>
      </c>
      <c r="D71" s="611">
        <v>5.7</v>
      </c>
      <c r="E71" s="611">
        <v>11.876666666666667</v>
      </c>
      <c r="F71" s="612">
        <v>92.666666666666671</v>
      </c>
      <c r="G71" s="611">
        <v>8.0333333333333332</v>
      </c>
      <c r="H71" s="611">
        <v>3.9</v>
      </c>
      <c r="I71" s="611">
        <v>55.566666666666663</v>
      </c>
      <c r="J71" s="611">
        <v>2.3666666666666667</v>
      </c>
      <c r="K71" s="612">
        <v>25.8</v>
      </c>
      <c r="L71" s="612">
        <v>72.333333333333329</v>
      </c>
      <c r="M71" s="612">
        <v>4833.333333333333</v>
      </c>
      <c r="N71" s="612">
        <v>50.666666666666664</v>
      </c>
      <c r="O71" s="612">
        <v>4933.333333333333</v>
      </c>
      <c r="P71" s="611"/>
      <c r="Q71" s="715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5.7</v>
      </c>
      <c r="AF71" s="102">
        <v>11.876666666666667</v>
      </c>
      <c r="AG71" s="102">
        <v>92.666666666666671</v>
      </c>
      <c r="AH71" s="102">
        <v>8.0333333333333332</v>
      </c>
      <c r="AI71" s="102">
        <v>3.9</v>
      </c>
      <c r="AJ71" s="102">
        <v>55.566666666666663</v>
      </c>
      <c r="AK71" s="102">
        <v>2.3666666666666667</v>
      </c>
      <c r="AL71" s="102">
        <v>25.8</v>
      </c>
      <c r="AM71" s="102">
        <v>72.333333333333329</v>
      </c>
      <c r="AN71" s="102">
        <v>4833.333333333333</v>
      </c>
      <c r="AO71" s="102">
        <v>50.666666666666664</v>
      </c>
      <c r="AP71" s="102">
        <v>4933.333333333333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3" t="s">
        <v>151</v>
      </c>
      <c r="D72" s="614">
        <v>9.5</v>
      </c>
      <c r="E72" s="614">
        <v>13.76</v>
      </c>
      <c r="F72" s="615">
        <v>104</v>
      </c>
      <c r="G72" s="614">
        <v>8.4</v>
      </c>
      <c r="H72" s="614">
        <v>7.6</v>
      </c>
      <c r="I72" s="614">
        <v>62.9</v>
      </c>
      <c r="J72" s="614">
        <v>3</v>
      </c>
      <c r="K72" s="615">
        <v>38</v>
      </c>
      <c r="L72" s="615">
        <v>97</v>
      </c>
      <c r="M72" s="615">
        <v>6500</v>
      </c>
      <c r="N72" s="615">
        <v>79</v>
      </c>
      <c r="O72" s="615">
        <v>6500</v>
      </c>
      <c r="P72" s="614"/>
      <c r="Q72" s="716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9.5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3</v>
      </c>
      <c r="AL72" s="102">
        <v>38</v>
      </c>
      <c r="AM72" s="102">
        <v>97</v>
      </c>
      <c r="AN72" s="102">
        <v>6500</v>
      </c>
      <c r="AO72" s="102">
        <v>79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6" t="s">
        <v>152</v>
      </c>
      <c r="D73" s="617">
        <v>0.3</v>
      </c>
      <c r="E73" s="617">
        <v>8.9700000000000006</v>
      </c>
      <c r="F73" s="618">
        <v>79</v>
      </c>
      <c r="G73" s="617">
        <v>7.7</v>
      </c>
      <c r="H73" s="617">
        <v>2</v>
      </c>
      <c r="I73" s="617">
        <v>50.5</v>
      </c>
      <c r="J73" s="617">
        <v>2</v>
      </c>
      <c r="K73" s="618">
        <v>6.4</v>
      </c>
      <c r="L73" s="618">
        <v>31</v>
      </c>
      <c r="M73" s="618">
        <v>1500</v>
      </c>
      <c r="N73" s="618">
        <v>17</v>
      </c>
      <c r="O73" s="618">
        <v>2000</v>
      </c>
      <c r="P73" s="617"/>
      <c r="Q73" s="717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8.9700000000000006</v>
      </c>
      <c r="AG73" s="102">
        <v>79</v>
      </c>
      <c r="AH73" s="102">
        <v>7.7</v>
      </c>
      <c r="AI73" s="102">
        <v>2</v>
      </c>
      <c r="AJ73" s="102">
        <v>50.5</v>
      </c>
      <c r="AK73" s="102">
        <v>2</v>
      </c>
      <c r="AL73" s="102">
        <v>6.4</v>
      </c>
      <c r="AM73" s="102">
        <v>31</v>
      </c>
      <c r="AN73" s="102">
        <v>1500</v>
      </c>
      <c r="AO73" s="102">
        <v>17</v>
      </c>
      <c r="AP73" s="102">
        <v>2000</v>
      </c>
      <c r="AQ73" s="102">
        <f t="shared" si="2"/>
        <v>0</v>
      </c>
    </row>
    <row r="74" spans="1:43" s="102" customFormat="1" ht="11.4">
      <c r="A74" s="117"/>
      <c r="B74" s="411"/>
      <c r="C74" s="619"/>
      <c r="D74" s="620"/>
      <c r="E74" s="620"/>
      <c r="F74" s="621"/>
      <c r="G74" s="620"/>
      <c r="H74" s="620"/>
      <c r="I74" s="620"/>
      <c r="J74" s="622"/>
      <c r="K74" s="622"/>
      <c r="L74" s="622"/>
      <c r="M74" s="622"/>
      <c r="N74" s="622"/>
      <c r="O74" s="622"/>
      <c r="P74" s="620"/>
      <c r="Q74" s="620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256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9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256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9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256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9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256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149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9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256</v>
      </c>
      <c r="C79" s="206">
        <v>46153</v>
      </c>
      <c r="D79" s="222">
        <v>10.199999999999999</v>
      </c>
      <c r="E79" s="222">
        <v>10.47</v>
      </c>
      <c r="F79" s="218">
        <v>94</v>
      </c>
      <c r="G79" s="222">
        <v>8</v>
      </c>
      <c r="H79" s="222">
        <v>2.6</v>
      </c>
      <c r="I79" s="222">
        <v>56.9</v>
      </c>
      <c r="J79" s="102">
        <v>1.9</v>
      </c>
      <c r="K79" s="218">
        <v>3.7</v>
      </c>
      <c r="L79" s="218">
        <v>24</v>
      </c>
      <c r="M79" s="218">
        <v>1600</v>
      </c>
      <c r="N79" s="218">
        <v>15</v>
      </c>
      <c r="O79" s="218">
        <v>1800</v>
      </c>
      <c r="P79" s="222" t="s">
        <v>18</v>
      </c>
      <c r="Q79" s="222" t="s">
        <v>18</v>
      </c>
      <c r="R79" s="609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>
        <v>10.199999999999999</v>
      </c>
      <c r="AF79" s="102">
        <v>10.47</v>
      </c>
      <c r="AG79" s="102">
        <v>94</v>
      </c>
      <c r="AH79" s="102">
        <v>8</v>
      </c>
      <c r="AI79" s="102">
        <v>2.6</v>
      </c>
      <c r="AJ79" s="102">
        <v>56.9</v>
      </c>
      <c r="AK79" s="102">
        <v>1.9</v>
      </c>
      <c r="AL79" s="102">
        <v>3.7</v>
      </c>
      <c r="AM79" s="102">
        <v>24</v>
      </c>
      <c r="AN79" s="102">
        <v>1600</v>
      </c>
      <c r="AO79" s="102">
        <v>15</v>
      </c>
      <c r="AP79" s="102">
        <v>1800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256</v>
      </c>
      <c r="C80" s="206">
        <v>46183</v>
      </c>
      <c r="D80" s="222">
        <v>14.9</v>
      </c>
      <c r="E80" s="222">
        <v>8.81</v>
      </c>
      <c r="F80" s="218">
        <v>87</v>
      </c>
      <c r="G80" s="222">
        <v>7.9</v>
      </c>
      <c r="H80" s="222">
        <v>3</v>
      </c>
      <c r="I80" s="222">
        <v>54.5</v>
      </c>
      <c r="J80" s="102">
        <v>2.4</v>
      </c>
      <c r="K80" s="218">
        <v>38</v>
      </c>
      <c r="L80" s="218">
        <v>74</v>
      </c>
      <c r="M80" s="218">
        <v>1400</v>
      </c>
      <c r="N80" s="218">
        <v>43</v>
      </c>
      <c r="O80" s="218">
        <v>2100</v>
      </c>
      <c r="P80" s="222" t="s">
        <v>18</v>
      </c>
      <c r="Q80" s="222" t="s">
        <v>18</v>
      </c>
      <c r="R80" s="609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>
        <v>14.9</v>
      </c>
      <c r="AF80" s="102">
        <v>8.81</v>
      </c>
      <c r="AG80" s="102">
        <v>87</v>
      </c>
      <c r="AH80" s="102">
        <v>7.9</v>
      </c>
      <c r="AI80" s="102">
        <v>3</v>
      </c>
      <c r="AJ80" s="102">
        <v>54.5</v>
      </c>
      <c r="AK80" s="102">
        <v>2.4</v>
      </c>
      <c r="AL80" s="102">
        <v>38</v>
      </c>
      <c r="AM80" s="102">
        <v>74</v>
      </c>
      <c r="AN80" s="102">
        <v>1400</v>
      </c>
      <c r="AO80" s="102">
        <v>43</v>
      </c>
      <c r="AP80" s="102">
        <v>2100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256</v>
      </c>
      <c r="C81" s="206" t="s">
        <v>18</v>
      </c>
      <c r="D81" s="222" t="s">
        <v>18</v>
      </c>
      <c r="E81" s="222" t="s">
        <v>18</v>
      </c>
      <c r="F81" s="218" t="s">
        <v>18</v>
      </c>
      <c r="G81" s="222" t="s">
        <v>18</v>
      </c>
      <c r="H81" s="222" t="s">
        <v>18</v>
      </c>
      <c r="I81" s="222" t="s">
        <v>18</v>
      </c>
      <c r="J81" s="102" t="s">
        <v>18</v>
      </c>
      <c r="K81" s="218" t="s">
        <v>18</v>
      </c>
      <c r="L81" s="218" t="s">
        <v>18</v>
      </c>
      <c r="M81" s="218" t="s">
        <v>18</v>
      </c>
      <c r="N81" s="218" t="s">
        <v>18</v>
      </c>
      <c r="O81" s="218" t="s">
        <v>18</v>
      </c>
      <c r="P81" s="222" t="s">
        <v>18</v>
      </c>
      <c r="Q81" s="222" t="s">
        <v>18</v>
      </c>
      <c r="R81" s="609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 t="s">
        <v>18</v>
      </c>
      <c r="AF81" s="102" t="s">
        <v>18</v>
      </c>
      <c r="AG81" s="102" t="s">
        <v>18</v>
      </c>
      <c r="AH81" s="102" t="s">
        <v>18</v>
      </c>
      <c r="AI81" s="102" t="s">
        <v>18</v>
      </c>
      <c r="AJ81" s="102" t="s">
        <v>18</v>
      </c>
      <c r="AK81" s="102" t="s">
        <v>18</v>
      </c>
      <c r="AL81" s="102" t="s">
        <v>18</v>
      </c>
      <c r="AM81" s="102" t="s">
        <v>18</v>
      </c>
      <c r="AN81" s="102" t="s">
        <v>18</v>
      </c>
      <c r="AO81" s="102" t="s">
        <v>18</v>
      </c>
      <c r="AP81" s="102" t="s">
        <v>18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256</v>
      </c>
      <c r="C82" s="206" t="s">
        <v>18</v>
      </c>
      <c r="D82" s="222" t="s">
        <v>18</v>
      </c>
      <c r="E82" s="222" t="s">
        <v>18</v>
      </c>
      <c r="F82" s="218" t="s">
        <v>18</v>
      </c>
      <c r="G82" s="222" t="s">
        <v>18</v>
      </c>
      <c r="H82" s="222" t="s">
        <v>18</v>
      </c>
      <c r="I82" s="222" t="s">
        <v>18</v>
      </c>
      <c r="J82" s="102" t="s">
        <v>18</v>
      </c>
      <c r="K82" s="218" t="s">
        <v>18</v>
      </c>
      <c r="L82" s="218" t="s">
        <v>18</v>
      </c>
      <c r="M82" s="218" t="s">
        <v>18</v>
      </c>
      <c r="N82" s="218" t="s">
        <v>18</v>
      </c>
      <c r="O82" s="218" t="s">
        <v>18</v>
      </c>
      <c r="P82" s="222" t="s">
        <v>18</v>
      </c>
      <c r="Q82" s="222" t="s">
        <v>18</v>
      </c>
      <c r="R82" s="609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 t="s">
        <v>18</v>
      </c>
      <c r="AF82" s="102" t="s">
        <v>18</v>
      </c>
      <c r="AG82" s="102" t="s">
        <v>18</v>
      </c>
      <c r="AH82" s="102" t="s">
        <v>18</v>
      </c>
      <c r="AI82" s="102" t="s">
        <v>18</v>
      </c>
      <c r="AJ82" s="102" t="s">
        <v>18</v>
      </c>
      <c r="AK82" s="102" t="s">
        <v>18</v>
      </c>
      <c r="AL82" s="102" t="s">
        <v>18</v>
      </c>
      <c r="AM82" s="102" t="s">
        <v>18</v>
      </c>
      <c r="AN82" s="102" t="s">
        <v>18</v>
      </c>
      <c r="AO82" s="102" t="s">
        <v>18</v>
      </c>
      <c r="AP82" s="102" t="s">
        <v>18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256</v>
      </c>
      <c r="C83" s="206" t="s">
        <v>18</v>
      </c>
      <c r="D83" s="222" t="s">
        <v>18</v>
      </c>
      <c r="E83" s="222" t="s">
        <v>18</v>
      </c>
      <c r="F83" s="218" t="s">
        <v>18</v>
      </c>
      <c r="G83" s="222" t="s">
        <v>18</v>
      </c>
      <c r="H83" s="222" t="s">
        <v>18</v>
      </c>
      <c r="I83" s="222" t="s">
        <v>18</v>
      </c>
      <c r="J83" s="102" t="s">
        <v>18</v>
      </c>
      <c r="K83" s="218" t="s">
        <v>18</v>
      </c>
      <c r="L83" s="218" t="s">
        <v>18</v>
      </c>
      <c r="M83" s="218" t="s">
        <v>18</v>
      </c>
      <c r="N83" s="218" t="s">
        <v>18</v>
      </c>
      <c r="O83" s="218" t="s">
        <v>18</v>
      </c>
      <c r="P83" s="222" t="s">
        <v>18</v>
      </c>
      <c r="Q83" s="222" t="s">
        <v>18</v>
      </c>
      <c r="R83" s="609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 t="s">
        <v>18</v>
      </c>
      <c r="AF83" s="102" t="s">
        <v>18</v>
      </c>
      <c r="AG83" s="102" t="s">
        <v>18</v>
      </c>
      <c r="AH83" s="102" t="s">
        <v>18</v>
      </c>
      <c r="AI83" s="102" t="s">
        <v>18</v>
      </c>
      <c r="AJ83" s="102" t="s">
        <v>18</v>
      </c>
      <c r="AK83" s="102" t="s">
        <v>18</v>
      </c>
      <c r="AL83" s="102" t="s">
        <v>18</v>
      </c>
      <c r="AM83" s="102" t="s">
        <v>18</v>
      </c>
      <c r="AN83" s="102" t="s">
        <v>18</v>
      </c>
      <c r="AO83" s="102" t="s">
        <v>18</v>
      </c>
      <c r="AP83" s="102" t="s">
        <v>18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256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9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256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9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256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9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10" t="s">
        <v>150</v>
      </c>
      <c r="D87" s="611">
        <v>6.9833333333333334</v>
      </c>
      <c r="E87" s="611">
        <v>11.923333333333332</v>
      </c>
      <c r="F87" s="612">
        <v>96.833333333333329</v>
      </c>
      <c r="G87" s="611">
        <v>8.0333333333333332</v>
      </c>
      <c r="H87" s="611">
        <v>1.9216666666666666</v>
      </c>
      <c r="I87" s="611">
        <v>57.766666666666659</v>
      </c>
      <c r="J87" s="611">
        <v>1.8333333333333333</v>
      </c>
      <c r="K87" s="612">
        <v>18.616666666666667</v>
      </c>
      <c r="L87" s="612">
        <v>36.666666666666664</v>
      </c>
      <c r="M87" s="612">
        <v>3500</v>
      </c>
      <c r="N87" s="612">
        <v>42.5</v>
      </c>
      <c r="O87" s="612">
        <v>3766.6666666666665</v>
      </c>
      <c r="P87" s="611"/>
      <c r="Q87" s="715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6.9833333333333334</v>
      </c>
      <c r="AF87" s="102">
        <v>11.923333333333332</v>
      </c>
      <c r="AG87" s="102">
        <v>96.833333333333329</v>
      </c>
      <c r="AH87" s="102">
        <v>8.0333333333333332</v>
      </c>
      <c r="AI87" s="102">
        <v>1.9216666666666666</v>
      </c>
      <c r="AJ87" s="102">
        <v>57.766666666666659</v>
      </c>
      <c r="AK87" s="102">
        <v>1.8333333333333333</v>
      </c>
      <c r="AL87" s="102">
        <v>18.616666666666667</v>
      </c>
      <c r="AM87" s="102">
        <v>36.666666666666664</v>
      </c>
      <c r="AN87" s="102">
        <v>3500</v>
      </c>
      <c r="AO87" s="102">
        <v>42.5</v>
      </c>
      <c r="AP87" s="102">
        <v>3766.6666666666665</v>
      </c>
      <c r="AQ87" s="102">
        <f t="shared" si="2"/>
        <v>0</v>
      </c>
    </row>
    <row r="88" spans="1:43" s="102" customFormat="1" ht="11.4">
      <c r="A88" s="117"/>
      <c r="C88" s="613" t="s">
        <v>151</v>
      </c>
      <c r="D88" s="614">
        <v>14.9</v>
      </c>
      <c r="E88" s="614">
        <v>13.78</v>
      </c>
      <c r="F88" s="615">
        <v>110</v>
      </c>
      <c r="G88" s="614">
        <v>8.1999999999999993</v>
      </c>
      <c r="H88" s="614">
        <v>3</v>
      </c>
      <c r="I88" s="614">
        <v>66.400000000000006</v>
      </c>
      <c r="J88" s="614">
        <v>2.4</v>
      </c>
      <c r="K88" s="615">
        <v>38</v>
      </c>
      <c r="L88" s="615">
        <v>74</v>
      </c>
      <c r="M88" s="615">
        <v>6800</v>
      </c>
      <c r="N88" s="615">
        <v>90</v>
      </c>
      <c r="O88" s="615">
        <v>6400</v>
      </c>
      <c r="P88" s="614"/>
      <c r="Q88" s="716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14.9</v>
      </c>
      <c r="AF88" s="102">
        <v>13.78</v>
      </c>
      <c r="AG88" s="102">
        <v>110</v>
      </c>
      <c r="AH88" s="102">
        <v>8.1999999999999993</v>
      </c>
      <c r="AI88" s="102">
        <v>3</v>
      </c>
      <c r="AJ88" s="102">
        <v>66.400000000000006</v>
      </c>
      <c r="AK88" s="102">
        <v>2.4</v>
      </c>
      <c r="AL88" s="102">
        <v>38</v>
      </c>
      <c r="AM88" s="102">
        <v>74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6" t="s">
        <v>152</v>
      </c>
      <c r="D89" s="617">
        <v>0</v>
      </c>
      <c r="E89" s="617">
        <v>8.81</v>
      </c>
      <c r="F89" s="618">
        <v>87</v>
      </c>
      <c r="G89" s="617">
        <v>7.9</v>
      </c>
      <c r="H89" s="617">
        <v>0.93</v>
      </c>
      <c r="I89" s="617">
        <v>54.3</v>
      </c>
      <c r="J89" s="617">
        <v>1.2</v>
      </c>
      <c r="K89" s="618">
        <v>2</v>
      </c>
      <c r="L89" s="618">
        <v>11</v>
      </c>
      <c r="M89" s="618">
        <v>1400</v>
      </c>
      <c r="N89" s="618">
        <v>14</v>
      </c>
      <c r="O89" s="618">
        <v>1800</v>
      </c>
      <c r="P89" s="617"/>
      <c r="Q89" s="717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8.81</v>
      </c>
      <c r="AG89" s="102">
        <v>87</v>
      </c>
      <c r="AH89" s="102">
        <v>7.9</v>
      </c>
      <c r="AI89" s="102">
        <v>0.93</v>
      </c>
      <c r="AJ89" s="102">
        <v>54.3</v>
      </c>
      <c r="AK89" s="102">
        <v>1.2</v>
      </c>
      <c r="AL89" s="102">
        <v>2</v>
      </c>
      <c r="AM89" s="102">
        <v>11</v>
      </c>
      <c r="AN89" s="102">
        <v>1400</v>
      </c>
      <c r="AO89" s="102">
        <v>14</v>
      </c>
      <c r="AP89" s="102">
        <v>1800</v>
      </c>
      <c r="AQ89" s="102">
        <f t="shared" si="2"/>
        <v>0</v>
      </c>
    </row>
    <row r="90" spans="1:43" s="102" customFormat="1" ht="11.4">
      <c r="A90" s="117"/>
      <c r="B90" s="411"/>
      <c r="C90" s="619"/>
      <c r="D90" s="620"/>
      <c r="E90" s="620"/>
      <c r="F90" s="621"/>
      <c r="G90" s="620"/>
      <c r="H90" s="620"/>
      <c r="I90" s="620"/>
      <c r="J90" s="622"/>
      <c r="K90" s="622"/>
      <c r="L90" s="622"/>
      <c r="M90" s="622"/>
      <c r="N90" s="622"/>
      <c r="O90" s="622"/>
      <c r="P90" s="620"/>
      <c r="Q90" s="620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257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9" t="s">
        <v>443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257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9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257</v>
      </c>
      <c r="C93" s="206">
        <v>46153</v>
      </c>
      <c r="D93" s="222">
        <v>9.3000000000000007</v>
      </c>
      <c r="E93" s="222">
        <v>11.02</v>
      </c>
      <c r="F93" s="218">
        <v>96</v>
      </c>
      <c r="G93" s="222">
        <v>8</v>
      </c>
      <c r="H93" s="222">
        <v>1.7</v>
      </c>
      <c r="I93" s="222">
        <v>51.8</v>
      </c>
      <c r="J93" s="102">
        <v>3.6</v>
      </c>
      <c r="K93" s="218">
        <v>3.9</v>
      </c>
      <c r="L93" s="218">
        <v>40</v>
      </c>
      <c r="M93" s="218">
        <v>1900</v>
      </c>
      <c r="N93" s="218">
        <v>120</v>
      </c>
      <c r="O93" s="218">
        <v>2400</v>
      </c>
      <c r="P93" s="222" t="s">
        <v>18</v>
      </c>
      <c r="Q93" s="222" t="s">
        <v>18</v>
      </c>
      <c r="R93" s="609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>
        <v>9.3000000000000007</v>
      </c>
      <c r="AF93" s="102">
        <v>11.02</v>
      </c>
      <c r="AG93" s="102">
        <v>96</v>
      </c>
      <c r="AH93" s="102">
        <v>8</v>
      </c>
      <c r="AI93" s="102">
        <v>1.7</v>
      </c>
      <c r="AJ93" s="102">
        <v>51.8</v>
      </c>
      <c r="AK93" s="102">
        <v>3.6</v>
      </c>
      <c r="AL93" s="102">
        <v>3.9</v>
      </c>
      <c r="AM93" s="102">
        <v>40</v>
      </c>
      <c r="AN93" s="102">
        <v>1900</v>
      </c>
      <c r="AO93" s="102">
        <v>120</v>
      </c>
      <c r="AP93" s="102">
        <v>2400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257</v>
      </c>
      <c r="C94" s="206" t="s">
        <v>18</v>
      </c>
      <c r="D94" s="222" t="s">
        <v>18</v>
      </c>
      <c r="E94" s="222" t="s">
        <v>18</v>
      </c>
      <c r="F94" s="218" t="s">
        <v>18</v>
      </c>
      <c r="G94" s="222" t="s">
        <v>18</v>
      </c>
      <c r="H94" s="222" t="s">
        <v>18</v>
      </c>
      <c r="I94" s="222" t="s">
        <v>18</v>
      </c>
      <c r="J94" s="102" t="s">
        <v>18</v>
      </c>
      <c r="K94" s="218" t="s">
        <v>18</v>
      </c>
      <c r="L94" s="218" t="s">
        <v>18</v>
      </c>
      <c r="M94" s="218" t="s">
        <v>18</v>
      </c>
      <c r="N94" s="218" t="s">
        <v>18</v>
      </c>
      <c r="O94" s="218" t="s">
        <v>18</v>
      </c>
      <c r="P94" s="222" t="s">
        <v>18</v>
      </c>
      <c r="Q94" s="222" t="s">
        <v>18</v>
      </c>
      <c r="R94" s="609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 t="s">
        <v>18</v>
      </c>
      <c r="AF94" s="102" t="s">
        <v>18</v>
      </c>
      <c r="AG94" s="102" t="s">
        <v>18</v>
      </c>
      <c r="AH94" s="102" t="s">
        <v>18</v>
      </c>
      <c r="AI94" s="102" t="s">
        <v>18</v>
      </c>
      <c r="AJ94" s="102" t="s">
        <v>18</v>
      </c>
      <c r="AK94" s="102" t="s">
        <v>18</v>
      </c>
      <c r="AL94" s="102" t="s">
        <v>18</v>
      </c>
      <c r="AM94" s="102" t="s">
        <v>18</v>
      </c>
      <c r="AN94" s="102" t="s">
        <v>18</v>
      </c>
      <c r="AO94" s="102" t="s">
        <v>18</v>
      </c>
      <c r="AP94" s="102" t="s">
        <v>18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257</v>
      </c>
      <c r="C95" s="206" t="s">
        <v>18</v>
      </c>
      <c r="D95" s="222" t="s">
        <v>18</v>
      </c>
      <c r="E95" s="222" t="s">
        <v>18</v>
      </c>
      <c r="F95" s="218" t="s">
        <v>18</v>
      </c>
      <c r="G95" s="222" t="s">
        <v>18</v>
      </c>
      <c r="H95" s="222" t="s">
        <v>18</v>
      </c>
      <c r="I95" s="222" t="s">
        <v>18</v>
      </c>
      <c r="J95" s="102" t="s">
        <v>18</v>
      </c>
      <c r="K95" s="218" t="s">
        <v>18</v>
      </c>
      <c r="L95" s="218" t="s">
        <v>18</v>
      </c>
      <c r="M95" s="218" t="s">
        <v>18</v>
      </c>
      <c r="N95" s="218" t="s">
        <v>18</v>
      </c>
      <c r="O95" s="218" t="s">
        <v>18</v>
      </c>
      <c r="P95" s="222" t="s">
        <v>18</v>
      </c>
      <c r="Q95" s="222" t="s">
        <v>18</v>
      </c>
      <c r="R95" s="609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 t="s">
        <v>18</v>
      </c>
      <c r="AF95" s="102" t="s">
        <v>18</v>
      </c>
      <c r="AG95" s="102" t="s">
        <v>18</v>
      </c>
      <c r="AH95" s="102" t="s">
        <v>18</v>
      </c>
      <c r="AI95" s="102" t="s">
        <v>18</v>
      </c>
      <c r="AJ95" s="102" t="s">
        <v>18</v>
      </c>
      <c r="AK95" s="102" t="s">
        <v>18</v>
      </c>
      <c r="AL95" s="102" t="s">
        <v>18</v>
      </c>
      <c r="AM95" s="102" t="s">
        <v>18</v>
      </c>
      <c r="AN95" s="102" t="s">
        <v>18</v>
      </c>
      <c r="AO95" s="102" t="s">
        <v>18</v>
      </c>
      <c r="AP95" s="102" t="s">
        <v>18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257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9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10" t="s">
        <v>150</v>
      </c>
      <c r="D97" s="611">
        <v>7.7</v>
      </c>
      <c r="E97" s="611">
        <v>11.86</v>
      </c>
      <c r="F97" s="612">
        <v>99</v>
      </c>
      <c r="G97" s="611">
        <v>8.1</v>
      </c>
      <c r="H97" s="611">
        <v>1.6</v>
      </c>
      <c r="I97" s="611">
        <v>52.2</v>
      </c>
      <c r="J97" s="611">
        <v>2.65</v>
      </c>
      <c r="K97" s="612">
        <v>13.95</v>
      </c>
      <c r="L97" s="612">
        <v>41</v>
      </c>
      <c r="M97" s="612">
        <v>4500</v>
      </c>
      <c r="N97" s="612">
        <v>71</v>
      </c>
      <c r="O97" s="612">
        <v>4550</v>
      </c>
      <c r="P97" s="611"/>
      <c r="Q97" s="715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7.7</v>
      </c>
      <c r="AF97" s="102">
        <v>11.86</v>
      </c>
      <c r="AG97" s="102">
        <v>99</v>
      </c>
      <c r="AH97" s="102">
        <v>8.1</v>
      </c>
      <c r="AI97" s="102">
        <v>1.6</v>
      </c>
      <c r="AJ97" s="102">
        <v>52.2</v>
      </c>
      <c r="AK97" s="102">
        <v>2.65</v>
      </c>
      <c r="AL97" s="102">
        <v>13.95</v>
      </c>
      <c r="AM97" s="102">
        <v>41</v>
      </c>
      <c r="AN97" s="102">
        <v>4500</v>
      </c>
      <c r="AO97" s="102">
        <v>71</v>
      </c>
      <c r="AP97" s="102">
        <v>4550</v>
      </c>
      <c r="AQ97" s="102">
        <f t="shared" si="2"/>
        <v>0</v>
      </c>
    </row>
    <row r="98" spans="1:43" s="102" customFormat="1" ht="11.4">
      <c r="A98" s="117"/>
      <c r="C98" s="613" t="s">
        <v>151</v>
      </c>
      <c r="D98" s="614">
        <v>9.3000000000000007</v>
      </c>
      <c r="E98" s="614">
        <v>12.7</v>
      </c>
      <c r="F98" s="615">
        <v>102</v>
      </c>
      <c r="G98" s="614">
        <v>8.1999999999999993</v>
      </c>
      <c r="H98" s="614">
        <v>1.7</v>
      </c>
      <c r="I98" s="614">
        <v>52.6</v>
      </c>
      <c r="J98" s="614">
        <v>3.6</v>
      </c>
      <c r="K98" s="615">
        <v>24</v>
      </c>
      <c r="L98" s="615">
        <v>42</v>
      </c>
      <c r="M98" s="615">
        <v>7100</v>
      </c>
      <c r="N98" s="615">
        <v>120</v>
      </c>
      <c r="O98" s="615">
        <v>6700</v>
      </c>
      <c r="P98" s="614"/>
      <c r="Q98" s="716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9.3000000000000007</v>
      </c>
      <c r="AF98" s="102">
        <v>12.7</v>
      </c>
      <c r="AG98" s="102">
        <v>102</v>
      </c>
      <c r="AH98" s="102">
        <v>8.1999999999999993</v>
      </c>
      <c r="AI98" s="102">
        <v>1.7</v>
      </c>
      <c r="AJ98" s="102">
        <v>52.6</v>
      </c>
      <c r="AK98" s="102">
        <v>3.6</v>
      </c>
      <c r="AL98" s="102">
        <v>24</v>
      </c>
      <c r="AM98" s="102">
        <v>42</v>
      </c>
      <c r="AN98" s="102">
        <v>7100</v>
      </c>
      <c r="AO98" s="102">
        <v>120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6" t="s">
        <v>152</v>
      </c>
      <c r="D99" s="617">
        <v>6.1</v>
      </c>
      <c r="E99" s="617">
        <v>11.02</v>
      </c>
      <c r="F99" s="618">
        <v>96</v>
      </c>
      <c r="G99" s="617">
        <v>8</v>
      </c>
      <c r="H99" s="617">
        <v>1.5</v>
      </c>
      <c r="I99" s="617">
        <v>51.8</v>
      </c>
      <c r="J99" s="617">
        <v>1.7</v>
      </c>
      <c r="K99" s="618">
        <v>3.9</v>
      </c>
      <c r="L99" s="618">
        <v>40</v>
      </c>
      <c r="M99" s="618">
        <v>1900</v>
      </c>
      <c r="N99" s="618">
        <v>22</v>
      </c>
      <c r="O99" s="618">
        <v>2400</v>
      </c>
      <c r="P99" s="617"/>
      <c r="Q99" s="717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11.02</v>
      </c>
      <c r="AG99" s="102">
        <v>96</v>
      </c>
      <c r="AH99" s="102">
        <v>8</v>
      </c>
      <c r="AI99" s="102">
        <v>1.5</v>
      </c>
      <c r="AJ99" s="102">
        <v>51.8</v>
      </c>
      <c r="AK99" s="102">
        <v>1.7</v>
      </c>
      <c r="AL99" s="102">
        <v>3.9</v>
      </c>
      <c r="AM99" s="102">
        <v>40</v>
      </c>
      <c r="AN99" s="102">
        <v>1900</v>
      </c>
      <c r="AO99" s="102">
        <v>22</v>
      </c>
      <c r="AP99" s="102">
        <v>2400</v>
      </c>
      <c r="AQ99" s="102">
        <f t="shared" si="2"/>
        <v>0</v>
      </c>
    </row>
    <row r="100" spans="1:43" s="102" customFormat="1" ht="11.4">
      <c r="A100" s="117"/>
      <c r="B100" s="411"/>
      <c r="C100" s="619"/>
      <c r="D100" s="620"/>
      <c r="E100" s="620"/>
      <c r="F100" s="621"/>
      <c r="G100" s="620"/>
      <c r="H100" s="620"/>
      <c r="I100" s="620"/>
      <c r="J100" s="622"/>
      <c r="K100" s="622"/>
      <c r="L100" s="622"/>
      <c r="M100" s="622"/>
      <c r="N100" s="622"/>
      <c r="O100" s="622"/>
      <c r="P100" s="620"/>
      <c r="Q100" s="620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258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9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258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9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258</v>
      </c>
      <c r="C103" s="206">
        <v>46153</v>
      </c>
      <c r="D103" s="222">
        <v>9.4</v>
      </c>
      <c r="E103" s="222">
        <v>10.888999999999999</v>
      </c>
      <c r="F103" s="218">
        <v>95</v>
      </c>
      <c r="G103" s="222">
        <v>8</v>
      </c>
      <c r="H103" s="222">
        <v>2</v>
      </c>
      <c r="I103" s="222">
        <v>62.2</v>
      </c>
      <c r="J103" s="102">
        <v>2.8</v>
      </c>
      <c r="K103" s="218">
        <v>4.2</v>
      </c>
      <c r="L103" s="218">
        <v>28</v>
      </c>
      <c r="M103" s="218">
        <v>2000</v>
      </c>
      <c r="N103" s="218">
        <v>44</v>
      </c>
      <c r="O103" s="218">
        <v>2300</v>
      </c>
      <c r="P103" s="222" t="s">
        <v>18</v>
      </c>
      <c r="Q103" s="222" t="s">
        <v>18</v>
      </c>
      <c r="R103" s="609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>
        <v>9.4</v>
      </c>
      <c r="AF103" s="102">
        <v>10.888999999999999</v>
      </c>
      <c r="AG103" s="102">
        <v>95</v>
      </c>
      <c r="AH103" s="102">
        <v>8</v>
      </c>
      <c r="AI103" s="102">
        <v>2</v>
      </c>
      <c r="AJ103" s="102">
        <v>62.2</v>
      </c>
      <c r="AK103" s="102">
        <v>2.8</v>
      </c>
      <c r="AL103" s="102">
        <v>4.2</v>
      </c>
      <c r="AM103" s="102">
        <v>28</v>
      </c>
      <c r="AN103" s="102">
        <v>2000</v>
      </c>
      <c r="AO103" s="102">
        <v>44</v>
      </c>
      <c r="AP103" s="102">
        <v>2300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258</v>
      </c>
      <c r="C104" s="206" t="s">
        <v>18</v>
      </c>
      <c r="D104" s="222" t="s">
        <v>18</v>
      </c>
      <c r="E104" s="222" t="s">
        <v>18</v>
      </c>
      <c r="F104" s="218" t="s">
        <v>18</v>
      </c>
      <c r="G104" s="222" t="s">
        <v>18</v>
      </c>
      <c r="H104" s="222" t="s">
        <v>18</v>
      </c>
      <c r="I104" s="222" t="s">
        <v>18</v>
      </c>
      <c r="J104" s="102" t="s">
        <v>18</v>
      </c>
      <c r="K104" s="218" t="s">
        <v>18</v>
      </c>
      <c r="L104" s="218" t="s">
        <v>18</v>
      </c>
      <c r="M104" s="218" t="s">
        <v>18</v>
      </c>
      <c r="N104" s="218" t="s">
        <v>18</v>
      </c>
      <c r="O104" s="218" t="s">
        <v>18</v>
      </c>
      <c r="P104" s="222" t="s">
        <v>18</v>
      </c>
      <c r="Q104" s="222" t="s">
        <v>18</v>
      </c>
      <c r="R104" s="609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 t="s">
        <v>18</v>
      </c>
      <c r="AF104" s="102" t="s">
        <v>18</v>
      </c>
      <c r="AG104" s="102" t="s">
        <v>18</v>
      </c>
      <c r="AH104" s="102" t="s">
        <v>18</v>
      </c>
      <c r="AI104" s="102" t="s">
        <v>18</v>
      </c>
      <c r="AJ104" s="102" t="s">
        <v>18</v>
      </c>
      <c r="AK104" s="102" t="s">
        <v>18</v>
      </c>
      <c r="AL104" s="102" t="s">
        <v>18</v>
      </c>
      <c r="AM104" s="102" t="s">
        <v>18</v>
      </c>
      <c r="AN104" s="102" t="s">
        <v>18</v>
      </c>
      <c r="AO104" s="102" t="s">
        <v>18</v>
      </c>
      <c r="AP104" s="102" t="s">
        <v>18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258</v>
      </c>
      <c r="C105" s="206" t="s">
        <v>18</v>
      </c>
      <c r="D105" s="222" t="s">
        <v>18</v>
      </c>
      <c r="E105" s="222" t="s">
        <v>18</v>
      </c>
      <c r="F105" s="218" t="s">
        <v>18</v>
      </c>
      <c r="G105" s="222" t="s">
        <v>18</v>
      </c>
      <c r="H105" s="222" t="s">
        <v>18</v>
      </c>
      <c r="I105" s="222" t="s">
        <v>18</v>
      </c>
      <c r="J105" s="102" t="s">
        <v>18</v>
      </c>
      <c r="K105" s="218" t="s">
        <v>18</v>
      </c>
      <c r="L105" s="218" t="s">
        <v>18</v>
      </c>
      <c r="M105" s="218" t="s">
        <v>18</v>
      </c>
      <c r="N105" s="218" t="s">
        <v>18</v>
      </c>
      <c r="O105" s="218" t="s">
        <v>18</v>
      </c>
      <c r="P105" s="222" t="s">
        <v>18</v>
      </c>
      <c r="Q105" s="222" t="s">
        <v>18</v>
      </c>
      <c r="R105" s="609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 t="s">
        <v>18</v>
      </c>
      <c r="AF105" s="102" t="s">
        <v>18</v>
      </c>
      <c r="AG105" s="102" t="s">
        <v>18</v>
      </c>
      <c r="AH105" s="102" t="s">
        <v>18</v>
      </c>
      <c r="AI105" s="102" t="s">
        <v>18</v>
      </c>
      <c r="AJ105" s="102" t="s">
        <v>18</v>
      </c>
      <c r="AK105" s="102" t="s">
        <v>18</v>
      </c>
      <c r="AL105" s="102" t="s">
        <v>18</v>
      </c>
      <c r="AM105" s="102" t="s">
        <v>18</v>
      </c>
      <c r="AN105" s="102" t="s">
        <v>18</v>
      </c>
      <c r="AO105" s="102" t="s">
        <v>18</v>
      </c>
      <c r="AP105" s="102" t="s">
        <v>18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258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9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10" t="s">
        <v>150</v>
      </c>
      <c r="D107" s="611">
        <v>5.4666666666666659</v>
      </c>
      <c r="E107" s="611">
        <v>11.536333333333332</v>
      </c>
      <c r="F107" s="612">
        <v>91.666666666666671</v>
      </c>
      <c r="G107" s="611">
        <v>7.9333333333333336</v>
      </c>
      <c r="H107" s="611">
        <v>3.5333333333333332</v>
      </c>
      <c r="I107" s="611">
        <v>65.133333333333326</v>
      </c>
      <c r="J107" s="611">
        <v>2.0333333333333332</v>
      </c>
      <c r="K107" s="612">
        <v>15.066666666666668</v>
      </c>
      <c r="L107" s="612">
        <v>36</v>
      </c>
      <c r="M107" s="612">
        <v>4166.666666666667</v>
      </c>
      <c r="N107" s="612">
        <v>151.33333333333334</v>
      </c>
      <c r="O107" s="612">
        <v>4366.666666666667</v>
      </c>
      <c r="P107" s="611"/>
      <c r="Q107" s="715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5.4666666666666659</v>
      </c>
      <c r="AF107" s="102">
        <v>11.536333333333332</v>
      </c>
      <c r="AG107" s="102">
        <v>91.666666666666671</v>
      </c>
      <c r="AH107" s="102">
        <v>7.9333333333333336</v>
      </c>
      <c r="AI107" s="102">
        <v>3.5333333333333332</v>
      </c>
      <c r="AJ107" s="102">
        <v>65.133333333333326</v>
      </c>
      <c r="AK107" s="102">
        <v>2.0333333333333332</v>
      </c>
      <c r="AL107" s="102">
        <v>15.066666666666668</v>
      </c>
      <c r="AM107" s="102">
        <v>36</v>
      </c>
      <c r="AN107" s="102">
        <v>4166.666666666667</v>
      </c>
      <c r="AO107" s="102">
        <v>151.33333333333334</v>
      </c>
      <c r="AP107" s="102">
        <v>4366.666666666667</v>
      </c>
      <c r="AQ107" s="102">
        <f t="shared" si="3"/>
        <v>0</v>
      </c>
    </row>
    <row r="108" spans="1:43" s="102" customFormat="1" ht="11.4">
      <c r="A108" s="117"/>
      <c r="C108" s="613" t="s">
        <v>151</v>
      </c>
      <c r="D108" s="614">
        <v>9.4</v>
      </c>
      <c r="E108" s="614">
        <v>12.06</v>
      </c>
      <c r="F108" s="615">
        <v>99</v>
      </c>
      <c r="G108" s="614">
        <v>8</v>
      </c>
      <c r="H108" s="614">
        <v>6.1</v>
      </c>
      <c r="I108" s="614">
        <v>75.599999999999994</v>
      </c>
      <c r="J108" s="614">
        <v>2.8</v>
      </c>
      <c r="K108" s="615">
        <v>23</v>
      </c>
      <c r="L108" s="615">
        <v>40</v>
      </c>
      <c r="M108" s="615">
        <v>7100</v>
      </c>
      <c r="N108" s="615">
        <v>290</v>
      </c>
      <c r="O108" s="615">
        <v>6800</v>
      </c>
      <c r="P108" s="614"/>
      <c r="Q108" s="716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9.4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2.8</v>
      </c>
      <c r="AL108" s="102">
        <v>23</v>
      </c>
      <c r="AM108" s="102">
        <v>40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6" t="s">
        <v>152</v>
      </c>
      <c r="D109" s="617">
        <v>0.4</v>
      </c>
      <c r="E109" s="617">
        <v>10.888999999999999</v>
      </c>
      <c r="F109" s="618">
        <v>81</v>
      </c>
      <c r="G109" s="617">
        <v>7.8</v>
      </c>
      <c r="H109" s="617">
        <v>2</v>
      </c>
      <c r="I109" s="617">
        <v>57.6</v>
      </c>
      <c r="J109" s="617">
        <v>1.4</v>
      </c>
      <c r="K109" s="618">
        <v>4.2</v>
      </c>
      <c r="L109" s="618">
        <v>28</v>
      </c>
      <c r="M109" s="618">
        <v>2000</v>
      </c>
      <c r="N109" s="618">
        <v>44</v>
      </c>
      <c r="O109" s="618">
        <v>2300</v>
      </c>
      <c r="P109" s="617"/>
      <c r="Q109" s="717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10.888999999999999</v>
      </c>
      <c r="AG109" s="102">
        <v>81</v>
      </c>
      <c r="AH109" s="102">
        <v>7.8</v>
      </c>
      <c r="AI109" s="102">
        <v>2</v>
      </c>
      <c r="AJ109" s="102">
        <v>57.6</v>
      </c>
      <c r="AK109" s="102">
        <v>1.4</v>
      </c>
      <c r="AL109" s="102">
        <v>4.2</v>
      </c>
      <c r="AM109" s="102">
        <v>28</v>
      </c>
      <c r="AN109" s="102">
        <v>2000</v>
      </c>
      <c r="AO109" s="102">
        <v>44</v>
      </c>
      <c r="AP109" s="102">
        <v>2300</v>
      </c>
      <c r="AQ109" s="102">
        <f t="shared" si="3"/>
        <v>0</v>
      </c>
    </row>
    <row r="110" spans="1:43" s="102" customFormat="1" ht="11.4">
      <c r="A110" s="117"/>
      <c r="B110" s="411"/>
      <c r="C110" s="619"/>
      <c r="D110" s="620"/>
      <c r="E110" s="620"/>
      <c r="F110" s="621"/>
      <c r="G110" s="620"/>
      <c r="H110" s="620"/>
      <c r="I110" s="620"/>
      <c r="J110" s="622"/>
      <c r="K110" s="622"/>
      <c r="L110" s="622"/>
      <c r="M110" s="622"/>
      <c r="N110" s="622"/>
      <c r="O110" s="622"/>
      <c r="P110" s="620"/>
      <c r="Q110" s="620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259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9" t="s">
        <v>443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259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9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259</v>
      </c>
      <c r="C113" s="206">
        <v>46153</v>
      </c>
      <c r="D113" s="222">
        <v>8.6999999999999993</v>
      </c>
      <c r="E113" s="222">
        <v>11.07</v>
      </c>
      <c r="F113" s="218">
        <v>95</v>
      </c>
      <c r="G113" s="222">
        <v>7.9</v>
      </c>
      <c r="H113" s="222">
        <v>3.4</v>
      </c>
      <c r="I113" s="222">
        <v>44.7</v>
      </c>
      <c r="J113" s="102">
        <v>2.2999999999999998</v>
      </c>
      <c r="K113" s="218">
        <v>6.1</v>
      </c>
      <c r="L113" s="218">
        <v>30</v>
      </c>
      <c r="M113" s="218">
        <v>980</v>
      </c>
      <c r="N113" s="218">
        <v>61</v>
      </c>
      <c r="O113" s="218">
        <v>1300</v>
      </c>
      <c r="P113" s="222" t="s">
        <v>18</v>
      </c>
      <c r="Q113" s="222" t="s">
        <v>18</v>
      </c>
      <c r="R113" s="609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>
        <v>8.6999999999999993</v>
      </c>
      <c r="AF113" s="102">
        <v>11.07</v>
      </c>
      <c r="AG113" s="102">
        <v>95</v>
      </c>
      <c r="AH113" s="102">
        <v>7.9</v>
      </c>
      <c r="AI113" s="102">
        <v>3.4</v>
      </c>
      <c r="AJ113" s="102">
        <v>44.7</v>
      </c>
      <c r="AK113" s="102">
        <v>2.2999999999999998</v>
      </c>
      <c r="AL113" s="102">
        <v>6.1</v>
      </c>
      <c r="AM113" s="102">
        <v>30</v>
      </c>
      <c r="AN113" s="102">
        <v>980</v>
      </c>
      <c r="AO113" s="102">
        <v>61</v>
      </c>
      <c r="AP113" s="102">
        <v>1300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259</v>
      </c>
      <c r="C114" s="206" t="s">
        <v>18</v>
      </c>
      <c r="D114" s="222" t="s">
        <v>18</v>
      </c>
      <c r="E114" s="222" t="s">
        <v>18</v>
      </c>
      <c r="F114" s="218" t="s">
        <v>18</v>
      </c>
      <c r="G114" s="222" t="s">
        <v>18</v>
      </c>
      <c r="H114" s="222" t="s">
        <v>18</v>
      </c>
      <c r="I114" s="222" t="s">
        <v>18</v>
      </c>
      <c r="J114" s="102" t="s">
        <v>18</v>
      </c>
      <c r="K114" s="218" t="s">
        <v>18</v>
      </c>
      <c r="L114" s="218" t="s">
        <v>18</v>
      </c>
      <c r="M114" s="218" t="s">
        <v>18</v>
      </c>
      <c r="N114" s="218" t="s">
        <v>18</v>
      </c>
      <c r="O114" s="218" t="s">
        <v>18</v>
      </c>
      <c r="P114" s="222" t="s">
        <v>18</v>
      </c>
      <c r="Q114" s="222" t="s">
        <v>18</v>
      </c>
      <c r="R114" s="609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 t="s">
        <v>18</v>
      </c>
      <c r="AF114" s="102" t="s">
        <v>18</v>
      </c>
      <c r="AG114" s="102" t="s">
        <v>18</v>
      </c>
      <c r="AH114" s="102" t="s">
        <v>18</v>
      </c>
      <c r="AI114" s="102" t="s">
        <v>18</v>
      </c>
      <c r="AJ114" s="102" t="s">
        <v>18</v>
      </c>
      <c r="AK114" s="102" t="s">
        <v>18</v>
      </c>
      <c r="AL114" s="102" t="s">
        <v>18</v>
      </c>
      <c r="AM114" s="102" t="s">
        <v>18</v>
      </c>
      <c r="AN114" s="102" t="s">
        <v>18</v>
      </c>
      <c r="AO114" s="102" t="s">
        <v>18</v>
      </c>
      <c r="AP114" s="102" t="s">
        <v>18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259</v>
      </c>
      <c r="C115" s="206" t="s">
        <v>18</v>
      </c>
      <c r="D115" s="222" t="s">
        <v>18</v>
      </c>
      <c r="E115" s="222" t="s">
        <v>18</v>
      </c>
      <c r="F115" s="218" t="s">
        <v>18</v>
      </c>
      <c r="G115" s="222" t="s">
        <v>18</v>
      </c>
      <c r="H115" s="222" t="s">
        <v>18</v>
      </c>
      <c r="I115" s="222" t="s">
        <v>18</v>
      </c>
      <c r="J115" s="102" t="s">
        <v>18</v>
      </c>
      <c r="K115" s="218" t="s">
        <v>18</v>
      </c>
      <c r="L115" s="218" t="s">
        <v>18</v>
      </c>
      <c r="M115" s="218" t="s">
        <v>18</v>
      </c>
      <c r="N115" s="218" t="s">
        <v>18</v>
      </c>
      <c r="O115" s="218" t="s">
        <v>18</v>
      </c>
      <c r="P115" s="222" t="s">
        <v>18</v>
      </c>
      <c r="Q115" s="222" t="s">
        <v>18</v>
      </c>
      <c r="R115" s="609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 t="s">
        <v>18</v>
      </c>
      <c r="AF115" s="102" t="s">
        <v>18</v>
      </c>
      <c r="AG115" s="102" t="s">
        <v>18</v>
      </c>
      <c r="AH115" s="102" t="s">
        <v>18</v>
      </c>
      <c r="AI115" s="102" t="s">
        <v>18</v>
      </c>
      <c r="AJ115" s="102" t="s">
        <v>18</v>
      </c>
      <c r="AK115" s="102" t="s">
        <v>18</v>
      </c>
      <c r="AL115" s="102" t="s">
        <v>18</v>
      </c>
      <c r="AM115" s="102" t="s">
        <v>18</v>
      </c>
      <c r="AN115" s="102" t="s">
        <v>18</v>
      </c>
      <c r="AO115" s="102" t="s">
        <v>18</v>
      </c>
      <c r="AP115" s="102" t="s">
        <v>18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259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9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10" t="s">
        <v>150</v>
      </c>
      <c r="D117" s="611">
        <v>7.6999999999999993</v>
      </c>
      <c r="E117" s="611">
        <v>11.46</v>
      </c>
      <c r="F117" s="612">
        <v>96</v>
      </c>
      <c r="G117" s="611">
        <v>7.9</v>
      </c>
      <c r="H117" s="611">
        <v>2.8499999999999996</v>
      </c>
      <c r="I117" s="611">
        <v>42.900000000000006</v>
      </c>
      <c r="J117" s="611">
        <v>1.8499999999999999</v>
      </c>
      <c r="K117" s="612">
        <v>9.5500000000000007</v>
      </c>
      <c r="L117" s="612">
        <v>29.5</v>
      </c>
      <c r="M117" s="612">
        <v>2990</v>
      </c>
      <c r="N117" s="612">
        <v>37.5</v>
      </c>
      <c r="O117" s="612">
        <v>3050</v>
      </c>
      <c r="P117" s="611"/>
      <c r="Q117" s="715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7.6999999999999993</v>
      </c>
      <c r="AF117" s="102">
        <v>11.46</v>
      </c>
      <c r="AG117" s="102">
        <v>96</v>
      </c>
      <c r="AH117" s="102">
        <v>7.9</v>
      </c>
      <c r="AI117" s="102">
        <v>2.8499999999999996</v>
      </c>
      <c r="AJ117" s="102">
        <v>42.900000000000006</v>
      </c>
      <c r="AK117" s="102">
        <v>1.8499999999999999</v>
      </c>
      <c r="AL117" s="102">
        <v>9.5500000000000007</v>
      </c>
      <c r="AM117" s="102">
        <v>29.5</v>
      </c>
      <c r="AN117" s="102">
        <v>2990</v>
      </c>
      <c r="AO117" s="102">
        <v>37.5</v>
      </c>
      <c r="AP117" s="102">
        <v>3050</v>
      </c>
      <c r="AQ117" s="102">
        <f t="shared" si="3"/>
        <v>0</v>
      </c>
    </row>
    <row r="118" spans="1:43" s="102" customFormat="1" ht="11.4">
      <c r="A118" s="117"/>
      <c r="C118" s="613" t="s">
        <v>151</v>
      </c>
      <c r="D118" s="614">
        <v>8.6999999999999993</v>
      </c>
      <c r="E118" s="614">
        <v>11.85</v>
      </c>
      <c r="F118" s="615">
        <v>97</v>
      </c>
      <c r="G118" s="614">
        <v>7.9</v>
      </c>
      <c r="H118" s="614">
        <v>3.4</v>
      </c>
      <c r="I118" s="614">
        <v>44.7</v>
      </c>
      <c r="J118" s="614">
        <v>2.2999999999999998</v>
      </c>
      <c r="K118" s="615">
        <v>13</v>
      </c>
      <c r="L118" s="615">
        <v>30</v>
      </c>
      <c r="M118" s="615">
        <v>5000</v>
      </c>
      <c r="N118" s="615">
        <v>61</v>
      </c>
      <c r="O118" s="615">
        <v>4800</v>
      </c>
      <c r="P118" s="614"/>
      <c r="Q118" s="716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8.6999999999999993</v>
      </c>
      <c r="AF118" s="102">
        <v>11.85</v>
      </c>
      <c r="AG118" s="102">
        <v>97</v>
      </c>
      <c r="AH118" s="102">
        <v>7.9</v>
      </c>
      <c r="AI118" s="102">
        <v>3.4</v>
      </c>
      <c r="AJ118" s="102">
        <v>44.7</v>
      </c>
      <c r="AK118" s="102">
        <v>2.2999999999999998</v>
      </c>
      <c r="AL118" s="102">
        <v>13</v>
      </c>
      <c r="AM118" s="102">
        <v>30</v>
      </c>
      <c r="AN118" s="102">
        <v>5000</v>
      </c>
      <c r="AO118" s="102">
        <v>61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6" t="s">
        <v>152</v>
      </c>
      <c r="D119" s="617">
        <v>6.7</v>
      </c>
      <c r="E119" s="617">
        <v>11.07</v>
      </c>
      <c r="F119" s="618">
        <v>95</v>
      </c>
      <c r="G119" s="617">
        <v>7.9</v>
      </c>
      <c r="H119" s="617">
        <v>2.2999999999999998</v>
      </c>
      <c r="I119" s="617">
        <v>41.1</v>
      </c>
      <c r="J119" s="617">
        <v>1.4</v>
      </c>
      <c r="K119" s="618">
        <v>6.1</v>
      </c>
      <c r="L119" s="618">
        <v>29</v>
      </c>
      <c r="M119" s="618">
        <v>980</v>
      </c>
      <c r="N119" s="618">
        <v>14</v>
      </c>
      <c r="O119" s="618">
        <v>1300</v>
      </c>
      <c r="P119" s="617"/>
      <c r="Q119" s="717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11.07</v>
      </c>
      <c r="AG119" s="102">
        <v>95</v>
      </c>
      <c r="AH119" s="102">
        <v>7.9</v>
      </c>
      <c r="AI119" s="102">
        <v>2.2999999999999998</v>
      </c>
      <c r="AJ119" s="102">
        <v>41.1</v>
      </c>
      <c r="AK119" s="102">
        <v>1.4</v>
      </c>
      <c r="AL119" s="102">
        <v>6.1</v>
      </c>
      <c r="AM119" s="102">
        <v>29</v>
      </c>
      <c r="AN119" s="102">
        <v>980</v>
      </c>
      <c r="AO119" s="102">
        <v>14</v>
      </c>
      <c r="AP119" s="102">
        <v>1300</v>
      </c>
      <c r="AQ119" s="102">
        <f t="shared" si="3"/>
        <v>0</v>
      </c>
    </row>
    <row r="120" spans="1:43" s="102" customFormat="1" ht="11.4">
      <c r="A120" s="117"/>
      <c r="B120" s="411"/>
      <c r="C120" s="619"/>
      <c r="D120" s="620"/>
      <c r="E120" s="620"/>
      <c r="F120" s="621"/>
      <c r="G120" s="620"/>
      <c r="H120" s="620"/>
      <c r="I120" s="620"/>
      <c r="J120" s="622"/>
      <c r="K120" s="622"/>
      <c r="L120" s="622"/>
      <c r="M120" s="622"/>
      <c r="N120" s="622"/>
      <c r="O120" s="622"/>
      <c r="P120" s="620"/>
      <c r="Q120" s="620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266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9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266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9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266</v>
      </c>
      <c r="C123" s="206">
        <v>46153</v>
      </c>
      <c r="D123" s="222">
        <v>8.3000000000000007</v>
      </c>
      <c r="E123" s="222">
        <v>11.61</v>
      </c>
      <c r="F123" s="218">
        <v>99</v>
      </c>
      <c r="G123" s="222">
        <v>8.1999999999999993</v>
      </c>
      <c r="H123" s="222">
        <v>0.81</v>
      </c>
      <c r="I123" s="222">
        <v>59.1</v>
      </c>
      <c r="J123" s="102">
        <v>2.2999999999999998</v>
      </c>
      <c r="K123" s="218" t="s">
        <v>149</v>
      </c>
      <c r="L123" s="218">
        <v>24</v>
      </c>
      <c r="M123" s="218">
        <v>1900</v>
      </c>
      <c r="N123" s="218" t="s">
        <v>148</v>
      </c>
      <c r="O123" s="218">
        <v>2300</v>
      </c>
      <c r="P123" s="222" t="s">
        <v>18</v>
      </c>
      <c r="Q123" s="222" t="s">
        <v>18</v>
      </c>
      <c r="R123" s="609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>
        <v>8.3000000000000007</v>
      </c>
      <c r="AF123" s="102">
        <v>11.61</v>
      </c>
      <c r="AG123" s="102">
        <v>99</v>
      </c>
      <c r="AH123" s="102">
        <v>8.1999999999999993</v>
      </c>
      <c r="AI123" s="102">
        <v>0.81</v>
      </c>
      <c r="AJ123" s="102">
        <v>59.1</v>
      </c>
      <c r="AK123" s="102">
        <v>2.2999999999999998</v>
      </c>
      <c r="AL123" s="102">
        <v>2</v>
      </c>
      <c r="AM123" s="102">
        <v>24</v>
      </c>
      <c r="AN123" s="102">
        <v>1900</v>
      </c>
      <c r="AO123" s="102">
        <v>10</v>
      </c>
      <c r="AP123" s="102">
        <v>2300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266</v>
      </c>
      <c r="C124" s="206" t="s">
        <v>18</v>
      </c>
      <c r="D124" s="222" t="s">
        <v>18</v>
      </c>
      <c r="E124" s="222" t="s">
        <v>18</v>
      </c>
      <c r="F124" s="218" t="s">
        <v>18</v>
      </c>
      <c r="G124" s="222" t="s">
        <v>18</v>
      </c>
      <c r="H124" s="222" t="s">
        <v>18</v>
      </c>
      <c r="I124" s="222" t="s">
        <v>18</v>
      </c>
      <c r="J124" s="102" t="s">
        <v>18</v>
      </c>
      <c r="K124" s="218" t="s">
        <v>18</v>
      </c>
      <c r="L124" s="218" t="s">
        <v>18</v>
      </c>
      <c r="M124" s="218" t="s">
        <v>18</v>
      </c>
      <c r="N124" s="218" t="s">
        <v>18</v>
      </c>
      <c r="O124" s="218" t="s">
        <v>18</v>
      </c>
      <c r="P124" s="222" t="s">
        <v>18</v>
      </c>
      <c r="Q124" s="222" t="s">
        <v>18</v>
      </c>
      <c r="R124" s="609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 t="s">
        <v>18</v>
      </c>
      <c r="AF124" s="102" t="s">
        <v>18</v>
      </c>
      <c r="AG124" s="102" t="s">
        <v>18</v>
      </c>
      <c r="AH124" s="102" t="s">
        <v>18</v>
      </c>
      <c r="AI124" s="102" t="s">
        <v>18</v>
      </c>
      <c r="AJ124" s="102" t="s">
        <v>18</v>
      </c>
      <c r="AK124" s="102" t="s">
        <v>18</v>
      </c>
      <c r="AL124" s="102" t="s">
        <v>18</v>
      </c>
      <c r="AM124" s="102" t="s">
        <v>18</v>
      </c>
      <c r="AN124" s="102" t="s">
        <v>18</v>
      </c>
      <c r="AO124" s="102" t="s">
        <v>18</v>
      </c>
      <c r="AP124" s="102" t="s">
        <v>18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266</v>
      </c>
      <c r="C125" s="206" t="s">
        <v>18</v>
      </c>
      <c r="D125" s="222" t="s">
        <v>18</v>
      </c>
      <c r="E125" s="222" t="s">
        <v>18</v>
      </c>
      <c r="F125" s="218" t="s">
        <v>18</v>
      </c>
      <c r="G125" s="222" t="s">
        <v>18</v>
      </c>
      <c r="H125" s="222" t="s">
        <v>18</v>
      </c>
      <c r="I125" s="222" t="s">
        <v>18</v>
      </c>
      <c r="J125" s="102" t="s">
        <v>18</v>
      </c>
      <c r="K125" s="218" t="s">
        <v>18</v>
      </c>
      <c r="L125" s="218" t="s">
        <v>18</v>
      </c>
      <c r="M125" s="218" t="s">
        <v>18</v>
      </c>
      <c r="N125" s="218" t="s">
        <v>18</v>
      </c>
      <c r="O125" s="218" t="s">
        <v>18</v>
      </c>
      <c r="P125" s="222" t="s">
        <v>18</v>
      </c>
      <c r="Q125" s="222" t="s">
        <v>18</v>
      </c>
      <c r="R125" s="609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 t="s">
        <v>18</v>
      </c>
      <c r="AF125" s="102" t="s">
        <v>18</v>
      </c>
      <c r="AG125" s="102" t="s">
        <v>18</v>
      </c>
      <c r="AH125" s="102" t="s">
        <v>18</v>
      </c>
      <c r="AI125" s="102" t="s">
        <v>18</v>
      </c>
      <c r="AJ125" s="102" t="s">
        <v>18</v>
      </c>
      <c r="AK125" s="102" t="s">
        <v>18</v>
      </c>
      <c r="AL125" s="102" t="s">
        <v>18</v>
      </c>
      <c r="AM125" s="102" t="s">
        <v>18</v>
      </c>
      <c r="AN125" s="102" t="s">
        <v>18</v>
      </c>
      <c r="AO125" s="102" t="s">
        <v>18</v>
      </c>
      <c r="AP125" s="102" t="s">
        <v>18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266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9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10" t="s">
        <v>150</v>
      </c>
      <c r="D127" s="611">
        <v>5.0666666666666664</v>
      </c>
      <c r="E127" s="611">
        <v>13.280000000000001</v>
      </c>
      <c r="F127" s="612">
        <v>103.66666666666667</v>
      </c>
      <c r="G127" s="611">
        <v>8.2333333333333325</v>
      </c>
      <c r="H127" s="611">
        <v>0.93666666666666665</v>
      </c>
      <c r="I127" s="611">
        <v>64.466666666666669</v>
      </c>
      <c r="J127" s="611">
        <v>1.7666666666666666</v>
      </c>
      <c r="K127" s="612">
        <v>11.033333333333333</v>
      </c>
      <c r="L127" s="612">
        <v>23.666666666666668</v>
      </c>
      <c r="M127" s="612">
        <v>6200</v>
      </c>
      <c r="N127" s="612">
        <v>19</v>
      </c>
      <c r="O127" s="612">
        <v>6000</v>
      </c>
      <c r="P127" s="611"/>
      <c r="Q127" s="715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5.0666666666666664</v>
      </c>
      <c r="AF127" s="102">
        <v>13.280000000000001</v>
      </c>
      <c r="AG127" s="102">
        <v>103.66666666666667</v>
      </c>
      <c r="AH127" s="102">
        <v>8.2333333333333325</v>
      </c>
      <c r="AI127" s="102">
        <v>0.93666666666666665</v>
      </c>
      <c r="AJ127" s="102">
        <v>64.466666666666669</v>
      </c>
      <c r="AK127" s="102">
        <v>1.7666666666666666</v>
      </c>
      <c r="AL127" s="102">
        <v>11.033333333333333</v>
      </c>
      <c r="AM127" s="102">
        <v>23.666666666666668</v>
      </c>
      <c r="AN127" s="102">
        <v>6200</v>
      </c>
      <c r="AO127" s="102">
        <v>19</v>
      </c>
      <c r="AP127" s="102">
        <v>6000</v>
      </c>
      <c r="AQ127" s="102">
        <f t="shared" si="3"/>
        <v>0</v>
      </c>
    </row>
    <row r="128" spans="1:43" s="102" customFormat="1" ht="11.4">
      <c r="A128" s="117"/>
      <c r="C128" s="613" t="s">
        <v>151</v>
      </c>
      <c r="D128" s="614">
        <v>8.3000000000000007</v>
      </c>
      <c r="E128" s="614">
        <v>14.84</v>
      </c>
      <c r="F128" s="615">
        <v>110</v>
      </c>
      <c r="G128" s="614">
        <v>8.4</v>
      </c>
      <c r="H128" s="614">
        <v>1</v>
      </c>
      <c r="I128" s="614">
        <v>77.2</v>
      </c>
      <c r="J128" s="614">
        <v>2.2999999999999998</v>
      </c>
      <c r="K128" s="615">
        <v>26</v>
      </c>
      <c r="L128" s="615">
        <v>29</v>
      </c>
      <c r="M128" s="615">
        <v>8500</v>
      </c>
      <c r="N128" s="615">
        <v>25</v>
      </c>
      <c r="O128" s="615">
        <v>8000</v>
      </c>
      <c r="P128" s="614"/>
      <c r="Q128" s="716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8.3000000000000007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2.2999999999999998</v>
      </c>
      <c r="AL128" s="102">
        <v>26</v>
      </c>
      <c r="AM128" s="102">
        <v>29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6" t="s">
        <v>152</v>
      </c>
      <c r="D129" s="617">
        <v>0.1</v>
      </c>
      <c r="E129" s="617">
        <v>11.61</v>
      </c>
      <c r="F129" s="618">
        <v>99</v>
      </c>
      <c r="G129" s="617">
        <v>8.1</v>
      </c>
      <c r="H129" s="617">
        <v>0.81</v>
      </c>
      <c r="I129" s="617">
        <v>57.1</v>
      </c>
      <c r="J129" s="617">
        <v>1.4</v>
      </c>
      <c r="K129" s="618">
        <v>2</v>
      </c>
      <c r="L129" s="618">
        <v>18</v>
      </c>
      <c r="M129" s="618">
        <v>1900</v>
      </c>
      <c r="N129" s="618">
        <v>10</v>
      </c>
      <c r="O129" s="618">
        <v>2300</v>
      </c>
      <c r="P129" s="617"/>
      <c r="Q129" s="717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11.61</v>
      </c>
      <c r="AG129" s="102">
        <v>99</v>
      </c>
      <c r="AH129" s="102">
        <v>8.1</v>
      </c>
      <c r="AI129" s="102">
        <v>0.81</v>
      </c>
      <c r="AJ129" s="102">
        <v>57.1</v>
      </c>
      <c r="AK129" s="102">
        <v>1.4</v>
      </c>
      <c r="AL129" s="102">
        <v>2</v>
      </c>
      <c r="AM129" s="102">
        <v>18</v>
      </c>
      <c r="AN129" s="102">
        <v>1900</v>
      </c>
      <c r="AO129" s="102">
        <v>10</v>
      </c>
      <c r="AP129" s="102">
        <v>2300</v>
      </c>
      <c r="AQ129" s="102">
        <f t="shared" si="3"/>
        <v>0</v>
      </c>
    </row>
    <row r="130" spans="1:43" s="102" customFormat="1" ht="11.4">
      <c r="A130" s="117"/>
      <c r="B130" s="411"/>
      <c r="C130" s="619"/>
      <c r="D130" s="620"/>
      <c r="E130" s="620"/>
      <c r="F130" s="621"/>
      <c r="G130" s="620"/>
      <c r="H130" s="620"/>
      <c r="I130" s="620"/>
      <c r="J130" s="622"/>
      <c r="K130" s="622"/>
      <c r="L130" s="622"/>
      <c r="M130" s="622"/>
      <c r="N130" s="622"/>
      <c r="O130" s="622"/>
      <c r="P130" s="620"/>
      <c r="Q130" s="620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260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9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260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9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260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9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260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9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260</v>
      </c>
      <c r="C135" s="206">
        <v>46154</v>
      </c>
      <c r="D135" s="222">
        <v>10.1</v>
      </c>
      <c r="E135" s="222">
        <v>8.4</v>
      </c>
      <c r="F135" s="218">
        <v>75</v>
      </c>
      <c r="G135" s="222">
        <v>7.6</v>
      </c>
      <c r="H135" s="222">
        <v>4.5999999999999996</v>
      </c>
      <c r="I135" s="222">
        <v>70.400000000000006</v>
      </c>
      <c r="J135" s="102">
        <v>4.2</v>
      </c>
      <c r="K135" s="218">
        <v>41</v>
      </c>
      <c r="L135" s="218">
        <v>100</v>
      </c>
      <c r="M135" s="218">
        <v>1300</v>
      </c>
      <c r="N135" s="218">
        <v>310</v>
      </c>
      <c r="O135" s="218">
        <v>2200</v>
      </c>
      <c r="P135" s="222" t="s">
        <v>18</v>
      </c>
      <c r="Q135" s="222" t="s">
        <v>18</v>
      </c>
      <c r="R135" s="609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>
        <v>10.1</v>
      </c>
      <c r="AF135" s="102">
        <v>8.4</v>
      </c>
      <c r="AG135" s="102">
        <v>75</v>
      </c>
      <c r="AH135" s="102">
        <v>7.6</v>
      </c>
      <c r="AI135" s="102">
        <v>4.5999999999999996</v>
      </c>
      <c r="AJ135" s="102">
        <v>70.400000000000006</v>
      </c>
      <c r="AK135" s="102">
        <v>4.2</v>
      </c>
      <c r="AL135" s="102">
        <v>41</v>
      </c>
      <c r="AM135" s="102">
        <v>100</v>
      </c>
      <c r="AN135" s="102">
        <v>1300</v>
      </c>
      <c r="AO135" s="102">
        <v>310</v>
      </c>
      <c r="AP135" s="102">
        <v>2200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260</v>
      </c>
      <c r="C136" s="206">
        <v>46183</v>
      </c>
      <c r="D136" s="222">
        <v>15.5</v>
      </c>
      <c r="E136" s="222">
        <v>7.08</v>
      </c>
      <c r="F136" s="218">
        <v>71</v>
      </c>
      <c r="G136" s="222">
        <v>7.8</v>
      </c>
      <c r="H136" s="222">
        <v>1.6</v>
      </c>
      <c r="I136" s="222">
        <v>65.900000000000006</v>
      </c>
      <c r="J136" s="102">
        <v>1.6</v>
      </c>
      <c r="K136" s="218">
        <v>120</v>
      </c>
      <c r="L136" s="218">
        <v>170</v>
      </c>
      <c r="M136" s="218">
        <v>1200</v>
      </c>
      <c r="N136" s="218">
        <v>55</v>
      </c>
      <c r="O136" s="218">
        <v>2000</v>
      </c>
      <c r="P136" s="222" t="s">
        <v>18</v>
      </c>
      <c r="Q136" s="222" t="s">
        <v>18</v>
      </c>
      <c r="R136" s="609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>
        <v>15.5</v>
      </c>
      <c r="AF136" s="102">
        <v>7.08</v>
      </c>
      <c r="AG136" s="102">
        <v>71</v>
      </c>
      <c r="AH136" s="102">
        <v>7.8</v>
      </c>
      <c r="AI136" s="102">
        <v>1.6</v>
      </c>
      <c r="AJ136" s="102">
        <v>65.900000000000006</v>
      </c>
      <c r="AK136" s="102">
        <v>1.6</v>
      </c>
      <c r="AL136" s="102">
        <v>120</v>
      </c>
      <c r="AM136" s="102">
        <v>170</v>
      </c>
      <c r="AN136" s="102">
        <v>1200</v>
      </c>
      <c r="AO136" s="102">
        <v>55</v>
      </c>
      <c r="AP136" s="102">
        <v>2000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260</v>
      </c>
      <c r="C137" s="206" t="s">
        <v>18</v>
      </c>
      <c r="D137" s="222" t="s">
        <v>18</v>
      </c>
      <c r="E137" s="222" t="s">
        <v>18</v>
      </c>
      <c r="F137" s="218" t="s">
        <v>18</v>
      </c>
      <c r="G137" s="222" t="s">
        <v>18</v>
      </c>
      <c r="H137" s="222" t="s">
        <v>18</v>
      </c>
      <c r="I137" s="222" t="s">
        <v>18</v>
      </c>
      <c r="J137" s="102" t="s">
        <v>18</v>
      </c>
      <c r="K137" s="218" t="s">
        <v>18</v>
      </c>
      <c r="L137" s="218" t="s">
        <v>18</v>
      </c>
      <c r="M137" s="218" t="s">
        <v>18</v>
      </c>
      <c r="N137" s="218" t="s">
        <v>18</v>
      </c>
      <c r="O137" s="218" t="s">
        <v>18</v>
      </c>
      <c r="P137" s="222" t="s">
        <v>18</v>
      </c>
      <c r="Q137" s="222" t="s">
        <v>18</v>
      </c>
      <c r="R137" s="609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 t="s">
        <v>18</v>
      </c>
      <c r="AF137" s="102" t="s">
        <v>18</v>
      </c>
      <c r="AG137" s="102" t="s">
        <v>18</v>
      </c>
      <c r="AH137" s="102" t="s">
        <v>18</v>
      </c>
      <c r="AI137" s="102" t="s">
        <v>18</v>
      </c>
      <c r="AJ137" s="102" t="s">
        <v>18</v>
      </c>
      <c r="AK137" s="102" t="s">
        <v>18</v>
      </c>
      <c r="AL137" s="102" t="s">
        <v>18</v>
      </c>
      <c r="AM137" s="102" t="s">
        <v>18</v>
      </c>
      <c r="AN137" s="102" t="s">
        <v>18</v>
      </c>
      <c r="AO137" s="102" t="s">
        <v>18</v>
      </c>
      <c r="AP137" s="102" t="s">
        <v>18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260</v>
      </c>
      <c r="C138" s="206" t="s">
        <v>18</v>
      </c>
      <c r="D138" s="222" t="s">
        <v>18</v>
      </c>
      <c r="E138" s="222" t="s">
        <v>18</v>
      </c>
      <c r="F138" s="218" t="s">
        <v>18</v>
      </c>
      <c r="G138" s="222" t="s">
        <v>18</v>
      </c>
      <c r="H138" s="222" t="s">
        <v>18</v>
      </c>
      <c r="I138" s="222" t="s">
        <v>18</v>
      </c>
      <c r="J138" s="102" t="s">
        <v>18</v>
      </c>
      <c r="K138" s="218" t="s">
        <v>18</v>
      </c>
      <c r="L138" s="218" t="s">
        <v>18</v>
      </c>
      <c r="M138" s="218" t="s">
        <v>18</v>
      </c>
      <c r="N138" s="218" t="s">
        <v>18</v>
      </c>
      <c r="O138" s="218" t="s">
        <v>18</v>
      </c>
      <c r="P138" s="222" t="s">
        <v>18</v>
      </c>
      <c r="Q138" s="222" t="s">
        <v>18</v>
      </c>
      <c r="R138" s="609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 t="s">
        <v>18</v>
      </c>
      <c r="AF138" s="102" t="s">
        <v>18</v>
      </c>
      <c r="AG138" s="102" t="s">
        <v>18</v>
      </c>
      <c r="AH138" s="102" t="s">
        <v>18</v>
      </c>
      <c r="AI138" s="102" t="s">
        <v>18</v>
      </c>
      <c r="AJ138" s="102" t="s">
        <v>18</v>
      </c>
      <c r="AK138" s="102" t="s">
        <v>18</v>
      </c>
      <c r="AL138" s="102" t="s">
        <v>18</v>
      </c>
      <c r="AM138" s="102" t="s">
        <v>18</v>
      </c>
      <c r="AN138" s="102" t="s">
        <v>18</v>
      </c>
      <c r="AO138" s="102" t="s">
        <v>18</v>
      </c>
      <c r="AP138" s="102" t="s">
        <v>18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260</v>
      </c>
      <c r="C139" s="206" t="s">
        <v>18</v>
      </c>
      <c r="D139" s="222" t="s">
        <v>18</v>
      </c>
      <c r="E139" s="222" t="s">
        <v>18</v>
      </c>
      <c r="F139" s="218" t="s">
        <v>18</v>
      </c>
      <c r="G139" s="222" t="s">
        <v>18</v>
      </c>
      <c r="H139" s="222" t="s">
        <v>18</v>
      </c>
      <c r="I139" s="222" t="s">
        <v>18</v>
      </c>
      <c r="J139" s="102" t="s">
        <v>18</v>
      </c>
      <c r="K139" s="218" t="s">
        <v>18</v>
      </c>
      <c r="L139" s="218" t="s">
        <v>18</v>
      </c>
      <c r="M139" s="218" t="s">
        <v>18</v>
      </c>
      <c r="N139" s="218" t="s">
        <v>18</v>
      </c>
      <c r="O139" s="218" t="s">
        <v>18</v>
      </c>
      <c r="P139" s="222" t="s">
        <v>18</v>
      </c>
      <c r="Q139" s="222" t="s">
        <v>18</v>
      </c>
      <c r="R139" s="609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 t="s">
        <v>18</v>
      </c>
      <c r="AF139" s="102" t="s">
        <v>18</v>
      </c>
      <c r="AG139" s="102" t="s">
        <v>18</v>
      </c>
      <c r="AH139" s="102" t="s">
        <v>18</v>
      </c>
      <c r="AI139" s="102" t="s">
        <v>18</v>
      </c>
      <c r="AJ139" s="102" t="s">
        <v>18</v>
      </c>
      <c r="AK139" s="102" t="s">
        <v>18</v>
      </c>
      <c r="AL139" s="102" t="s">
        <v>18</v>
      </c>
      <c r="AM139" s="102" t="s">
        <v>18</v>
      </c>
      <c r="AN139" s="102" t="s">
        <v>18</v>
      </c>
      <c r="AO139" s="102" t="s">
        <v>18</v>
      </c>
      <c r="AP139" s="102" t="s">
        <v>18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260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9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260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9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260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9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10" t="s">
        <v>150</v>
      </c>
      <c r="D143" s="611">
        <v>7.1499999999999995</v>
      </c>
      <c r="E143" s="611">
        <v>11.416666666666666</v>
      </c>
      <c r="F143" s="612">
        <v>92.833333333333329</v>
      </c>
      <c r="G143" s="611">
        <v>7.916666666666667</v>
      </c>
      <c r="H143" s="611">
        <v>2.25</v>
      </c>
      <c r="I143" s="611">
        <v>70.283333333333317</v>
      </c>
      <c r="J143" s="611">
        <v>2.2166666666666663</v>
      </c>
      <c r="K143" s="612">
        <v>42.449999999999996</v>
      </c>
      <c r="L143" s="612">
        <v>77.5</v>
      </c>
      <c r="M143" s="612">
        <v>4116.666666666667</v>
      </c>
      <c r="N143" s="612">
        <v>108.5</v>
      </c>
      <c r="O143" s="612">
        <v>4566.666666666667</v>
      </c>
      <c r="P143" s="611"/>
      <c r="Q143" s="715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7.1499999999999995</v>
      </c>
      <c r="AF143" s="102">
        <v>11.416666666666666</v>
      </c>
      <c r="AG143" s="102">
        <v>92.833333333333329</v>
      </c>
      <c r="AH143" s="102">
        <v>7.916666666666667</v>
      </c>
      <c r="AI143" s="102">
        <v>2.25</v>
      </c>
      <c r="AJ143" s="102">
        <v>70.283333333333317</v>
      </c>
      <c r="AK143" s="102">
        <v>2.2166666666666663</v>
      </c>
      <c r="AL143" s="102">
        <v>42.449999999999996</v>
      </c>
      <c r="AM143" s="102">
        <v>77.5</v>
      </c>
      <c r="AN143" s="102">
        <v>4116.666666666667</v>
      </c>
      <c r="AO143" s="102">
        <v>108.5</v>
      </c>
      <c r="AP143" s="102">
        <v>4566.666666666667</v>
      </c>
      <c r="AQ143" s="102">
        <f t="shared" si="4"/>
        <v>0</v>
      </c>
    </row>
    <row r="144" spans="1:43" s="102" customFormat="1" ht="11.4">
      <c r="A144" s="117"/>
      <c r="C144" s="613" t="s">
        <v>151</v>
      </c>
      <c r="D144" s="614">
        <v>15.5</v>
      </c>
      <c r="E144" s="614">
        <v>13.86</v>
      </c>
      <c r="F144" s="615">
        <v>121</v>
      </c>
      <c r="G144" s="614">
        <v>8.1999999999999993</v>
      </c>
      <c r="H144" s="614">
        <v>4.5999999999999996</v>
      </c>
      <c r="I144" s="614">
        <v>77.3</v>
      </c>
      <c r="J144" s="614">
        <v>4.2</v>
      </c>
      <c r="K144" s="615">
        <v>120</v>
      </c>
      <c r="L144" s="615">
        <v>170</v>
      </c>
      <c r="M144" s="615">
        <v>7000</v>
      </c>
      <c r="N144" s="615">
        <v>310</v>
      </c>
      <c r="O144" s="615">
        <v>6800</v>
      </c>
      <c r="P144" s="614"/>
      <c r="Q144" s="716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15.5</v>
      </c>
      <c r="AF144" s="102">
        <v>13.86</v>
      </c>
      <c r="AG144" s="102">
        <v>121</v>
      </c>
      <c r="AH144" s="102">
        <v>8.1999999999999993</v>
      </c>
      <c r="AI144" s="102">
        <v>4.5999999999999996</v>
      </c>
      <c r="AJ144" s="102">
        <v>77.3</v>
      </c>
      <c r="AK144" s="102">
        <v>4.2</v>
      </c>
      <c r="AL144" s="102">
        <v>120</v>
      </c>
      <c r="AM144" s="102">
        <v>170</v>
      </c>
      <c r="AN144" s="102">
        <v>7000</v>
      </c>
      <c r="AO144" s="102">
        <v>310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6" t="s">
        <v>152</v>
      </c>
      <c r="D145" s="617">
        <v>0</v>
      </c>
      <c r="E145" s="617">
        <v>7.08</v>
      </c>
      <c r="F145" s="618">
        <v>71</v>
      </c>
      <c r="G145" s="617">
        <v>7.6</v>
      </c>
      <c r="H145" s="617">
        <v>1</v>
      </c>
      <c r="I145" s="617">
        <v>65.900000000000006</v>
      </c>
      <c r="J145" s="617">
        <v>1.4</v>
      </c>
      <c r="K145" s="618">
        <v>6.7</v>
      </c>
      <c r="L145" s="618">
        <v>27</v>
      </c>
      <c r="M145" s="618">
        <v>1200</v>
      </c>
      <c r="N145" s="618">
        <v>20</v>
      </c>
      <c r="O145" s="618">
        <v>2000</v>
      </c>
      <c r="P145" s="617"/>
      <c r="Q145" s="717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7.08</v>
      </c>
      <c r="AG145" s="102">
        <v>71</v>
      </c>
      <c r="AH145" s="102">
        <v>7.6</v>
      </c>
      <c r="AI145" s="102">
        <v>1</v>
      </c>
      <c r="AJ145" s="102">
        <v>65.900000000000006</v>
      </c>
      <c r="AK145" s="102">
        <v>1.4</v>
      </c>
      <c r="AL145" s="102">
        <v>6.7</v>
      </c>
      <c r="AM145" s="102">
        <v>27</v>
      </c>
      <c r="AN145" s="102">
        <v>1200</v>
      </c>
      <c r="AO145" s="102">
        <v>20</v>
      </c>
      <c r="AP145" s="102">
        <v>2000</v>
      </c>
      <c r="AQ145" s="102">
        <f t="shared" si="4"/>
        <v>0</v>
      </c>
    </row>
    <row r="146" spans="1:43" s="102" customFormat="1" ht="11.4">
      <c r="A146" s="117"/>
      <c r="B146" s="411"/>
      <c r="C146" s="619"/>
      <c r="D146" s="620"/>
      <c r="E146" s="620"/>
      <c r="F146" s="621"/>
      <c r="G146" s="620"/>
      <c r="H146" s="620"/>
      <c r="I146" s="620"/>
      <c r="J146" s="622"/>
      <c r="K146" s="622"/>
      <c r="L146" s="622"/>
      <c r="M146" s="622"/>
      <c r="N146" s="622"/>
      <c r="O146" s="622"/>
      <c r="P146" s="620"/>
      <c r="Q146" s="620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267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9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267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9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267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9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267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9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267</v>
      </c>
      <c r="C151" s="206">
        <v>46154</v>
      </c>
      <c r="D151" s="222">
        <v>8.9</v>
      </c>
      <c r="E151" s="222">
        <v>10.7</v>
      </c>
      <c r="F151" s="218">
        <v>93</v>
      </c>
      <c r="G151" s="222">
        <v>7.8</v>
      </c>
      <c r="H151" s="222">
        <v>3</v>
      </c>
      <c r="I151" s="222">
        <v>67.8</v>
      </c>
      <c r="J151" s="102">
        <v>3.9</v>
      </c>
      <c r="K151" s="218">
        <v>40</v>
      </c>
      <c r="L151" s="218">
        <v>88</v>
      </c>
      <c r="M151" s="218">
        <v>1700</v>
      </c>
      <c r="N151" s="218">
        <v>430</v>
      </c>
      <c r="O151" s="218">
        <v>2400</v>
      </c>
      <c r="P151" s="222" t="s">
        <v>18</v>
      </c>
      <c r="Q151" s="222" t="s">
        <v>18</v>
      </c>
      <c r="R151" s="609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>
        <v>8.9</v>
      </c>
      <c r="AF151" s="102">
        <v>10.7</v>
      </c>
      <c r="AG151" s="102">
        <v>93</v>
      </c>
      <c r="AH151" s="102">
        <v>7.8</v>
      </c>
      <c r="AI151" s="102">
        <v>3</v>
      </c>
      <c r="AJ151" s="102">
        <v>67.8</v>
      </c>
      <c r="AK151" s="102">
        <v>3.9</v>
      </c>
      <c r="AL151" s="102">
        <v>40</v>
      </c>
      <c r="AM151" s="102">
        <v>88</v>
      </c>
      <c r="AN151" s="102">
        <v>1700</v>
      </c>
      <c r="AO151" s="102">
        <v>430</v>
      </c>
      <c r="AP151" s="102">
        <v>2400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267</v>
      </c>
      <c r="C152" s="206">
        <v>46183</v>
      </c>
      <c r="D152" s="222">
        <v>15.5</v>
      </c>
      <c r="E152" s="222">
        <v>8.84</v>
      </c>
      <c r="F152" s="218">
        <v>89</v>
      </c>
      <c r="G152" s="222">
        <v>7.9</v>
      </c>
      <c r="H152" s="222">
        <v>1.8</v>
      </c>
      <c r="I152" s="222">
        <v>62.6</v>
      </c>
      <c r="J152" s="102">
        <v>2</v>
      </c>
      <c r="K152" s="218">
        <v>91</v>
      </c>
      <c r="L152" s="218">
        <v>150</v>
      </c>
      <c r="M152" s="218">
        <v>1200</v>
      </c>
      <c r="N152" s="218">
        <v>460</v>
      </c>
      <c r="O152" s="218">
        <v>2200</v>
      </c>
      <c r="P152" s="222" t="s">
        <v>18</v>
      </c>
      <c r="Q152" s="222" t="s">
        <v>18</v>
      </c>
      <c r="R152" s="609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>
        <v>15.5</v>
      </c>
      <c r="AF152" s="102">
        <v>8.84</v>
      </c>
      <c r="AG152" s="102">
        <v>89</v>
      </c>
      <c r="AH152" s="102">
        <v>7.9</v>
      </c>
      <c r="AI152" s="102">
        <v>1.8</v>
      </c>
      <c r="AJ152" s="102">
        <v>62.6</v>
      </c>
      <c r="AK152" s="102">
        <v>2</v>
      </c>
      <c r="AL152" s="102">
        <v>91</v>
      </c>
      <c r="AM152" s="102">
        <v>150</v>
      </c>
      <c r="AN152" s="102">
        <v>1200</v>
      </c>
      <c r="AO152" s="102">
        <v>460</v>
      </c>
      <c r="AP152" s="102">
        <v>2200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267</v>
      </c>
      <c r="C153" s="206" t="s">
        <v>18</v>
      </c>
      <c r="D153" s="222" t="s">
        <v>18</v>
      </c>
      <c r="E153" s="222" t="s">
        <v>18</v>
      </c>
      <c r="F153" s="218" t="s">
        <v>18</v>
      </c>
      <c r="G153" s="222" t="s">
        <v>18</v>
      </c>
      <c r="H153" s="222" t="s">
        <v>18</v>
      </c>
      <c r="I153" s="222" t="s">
        <v>18</v>
      </c>
      <c r="J153" s="102" t="s">
        <v>18</v>
      </c>
      <c r="K153" s="218" t="s">
        <v>18</v>
      </c>
      <c r="L153" s="218" t="s">
        <v>18</v>
      </c>
      <c r="M153" s="218" t="s">
        <v>18</v>
      </c>
      <c r="N153" s="218" t="s">
        <v>18</v>
      </c>
      <c r="O153" s="218" t="s">
        <v>18</v>
      </c>
      <c r="P153" s="222" t="s">
        <v>18</v>
      </c>
      <c r="Q153" s="222" t="s">
        <v>18</v>
      </c>
      <c r="R153" s="609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 t="s">
        <v>18</v>
      </c>
      <c r="AF153" s="102" t="s">
        <v>18</v>
      </c>
      <c r="AG153" s="102" t="s">
        <v>18</v>
      </c>
      <c r="AH153" s="102" t="s">
        <v>18</v>
      </c>
      <c r="AI153" s="102" t="s">
        <v>18</v>
      </c>
      <c r="AJ153" s="102" t="s">
        <v>18</v>
      </c>
      <c r="AK153" s="102" t="s">
        <v>18</v>
      </c>
      <c r="AL153" s="102" t="s">
        <v>18</v>
      </c>
      <c r="AM153" s="102" t="s">
        <v>18</v>
      </c>
      <c r="AN153" s="102" t="s">
        <v>18</v>
      </c>
      <c r="AO153" s="102" t="s">
        <v>18</v>
      </c>
      <c r="AP153" s="102" t="s">
        <v>18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267</v>
      </c>
      <c r="C154" s="206" t="s">
        <v>18</v>
      </c>
      <c r="D154" s="222" t="s">
        <v>18</v>
      </c>
      <c r="E154" s="222" t="s">
        <v>18</v>
      </c>
      <c r="F154" s="218" t="s">
        <v>18</v>
      </c>
      <c r="G154" s="222" t="s">
        <v>18</v>
      </c>
      <c r="H154" s="222" t="s">
        <v>18</v>
      </c>
      <c r="I154" s="222" t="s">
        <v>18</v>
      </c>
      <c r="J154" s="102" t="s">
        <v>18</v>
      </c>
      <c r="K154" s="218" t="s">
        <v>18</v>
      </c>
      <c r="L154" s="218" t="s">
        <v>18</v>
      </c>
      <c r="M154" s="218" t="s">
        <v>18</v>
      </c>
      <c r="N154" s="218" t="s">
        <v>18</v>
      </c>
      <c r="O154" s="218" t="s">
        <v>18</v>
      </c>
      <c r="P154" s="222" t="s">
        <v>18</v>
      </c>
      <c r="Q154" s="222" t="s">
        <v>18</v>
      </c>
      <c r="R154" s="609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 t="s">
        <v>18</v>
      </c>
      <c r="AF154" s="102" t="s">
        <v>18</v>
      </c>
      <c r="AG154" s="102" t="s">
        <v>18</v>
      </c>
      <c r="AH154" s="102" t="s">
        <v>18</v>
      </c>
      <c r="AI154" s="102" t="s">
        <v>18</v>
      </c>
      <c r="AJ154" s="102" t="s">
        <v>18</v>
      </c>
      <c r="AK154" s="102" t="s">
        <v>18</v>
      </c>
      <c r="AL154" s="102" t="s">
        <v>18</v>
      </c>
      <c r="AM154" s="102" t="s">
        <v>18</v>
      </c>
      <c r="AN154" s="102" t="s">
        <v>18</v>
      </c>
      <c r="AO154" s="102" t="s">
        <v>18</v>
      </c>
      <c r="AP154" s="102" t="s">
        <v>18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267</v>
      </c>
      <c r="C155" s="206" t="s">
        <v>18</v>
      </c>
      <c r="D155" s="222" t="s">
        <v>18</v>
      </c>
      <c r="E155" s="222" t="s">
        <v>18</v>
      </c>
      <c r="F155" s="218" t="s">
        <v>18</v>
      </c>
      <c r="G155" s="222" t="s">
        <v>18</v>
      </c>
      <c r="H155" s="222" t="s">
        <v>18</v>
      </c>
      <c r="I155" s="222" t="s">
        <v>18</v>
      </c>
      <c r="J155" s="102" t="s">
        <v>18</v>
      </c>
      <c r="K155" s="218" t="s">
        <v>18</v>
      </c>
      <c r="L155" s="218" t="s">
        <v>18</v>
      </c>
      <c r="M155" s="218" t="s">
        <v>18</v>
      </c>
      <c r="N155" s="218" t="s">
        <v>18</v>
      </c>
      <c r="O155" s="218" t="s">
        <v>18</v>
      </c>
      <c r="P155" s="222" t="s">
        <v>18</v>
      </c>
      <c r="Q155" s="222" t="s">
        <v>18</v>
      </c>
      <c r="R155" s="609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 t="s">
        <v>18</v>
      </c>
      <c r="AF155" s="102" t="s">
        <v>18</v>
      </c>
      <c r="AG155" s="102" t="s">
        <v>18</v>
      </c>
      <c r="AH155" s="102" t="s">
        <v>18</v>
      </c>
      <c r="AI155" s="102" t="s">
        <v>18</v>
      </c>
      <c r="AJ155" s="102" t="s">
        <v>18</v>
      </c>
      <c r="AK155" s="102" t="s">
        <v>18</v>
      </c>
      <c r="AL155" s="102" t="s">
        <v>18</v>
      </c>
      <c r="AM155" s="102" t="s">
        <v>18</v>
      </c>
      <c r="AN155" s="102" t="s">
        <v>18</v>
      </c>
      <c r="AO155" s="102" t="s">
        <v>18</v>
      </c>
      <c r="AP155" s="102" t="s">
        <v>18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267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9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267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9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267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9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10" t="s">
        <v>150</v>
      </c>
      <c r="D159" s="611">
        <v>7.25</v>
      </c>
      <c r="E159" s="611">
        <v>12.576666666666668</v>
      </c>
      <c r="F159" s="612">
        <v>103.16666666666667</v>
      </c>
      <c r="G159" s="611">
        <v>8.0499999999999989</v>
      </c>
      <c r="H159" s="611">
        <v>2.0666666666666669</v>
      </c>
      <c r="I159" s="611">
        <v>67.833333333333343</v>
      </c>
      <c r="J159" s="611">
        <v>2.8166666666666664</v>
      </c>
      <c r="K159" s="612">
        <v>39.116666666666667</v>
      </c>
      <c r="L159" s="612">
        <v>80.333333333333329</v>
      </c>
      <c r="M159" s="612">
        <v>4250</v>
      </c>
      <c r="N159" s="612">
        <v>301.66666666666669</v>
      </c>
      <c r="O159" s="612">
        <v>4683.333333333333</v>
      </c>
      <c r="P159" s="611"/>
      <c r="Q159" s="715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7.25</v>
      </c>
      <c r="AF159" s="102">
        <v>12.576666666666668</v>
      </c>
      <c r="AG159" s="102">
        <v>103.16666666666667</v>
      </c>
      <c r="AH159" s="102">
        <v>8.0499999999999989</v>
      </c>
      <c r="AI159" s="102">
        <v>2.0666666666666669</v>
      </c>
      <c r="AJ159" s="102">
        <v>67.833333333333343</v>
      </c>
      <c r="AK159" s="102">
        <v>2.8166666666666664</v>
      </c>
      <c r="AL159" s="102">
        <v>39.116666666666667</v>
      </c>
      <c r="AM159" s="102">
        <v>80.333333333333329</v>
      </c>
      <c r="AN159" s="102">
        <v>4250</v>
      </c>
      <c r="AO159" s="102">
        <v>301.66666666666669</v>
      </c>
      <c r="AP159" s="102">
        <v>4683.333333333333</v>
      </c>
      <c r="AQ159" s="102">
        <f t="shared" si="4"/>
        <v>0</v>
      </c>
    </row>
    <row r="160" spans="1:43" s="102" customFormat="1" ht="11.4">
      <c r="A160" s="117"/>
      <c r="C160" s="613" t="s">
        <v>151</v>
      </c>
      <c r="D160" s="614">
        <v>15.5</v>
      </c>
      <c r="E160" s="614">
        <v>14.3</v>
      </c>
      <c r="F160" s="615">
        <v>127</v>
      </c>
      <c r="G160" s="614">
        <v>8.4</v>
      </c>
      <c r="H160" s="614">
        <v>3</v>
      </c>
      <c r="I160" s="614">
        <v>73.7</v>
      </c>
      <c r="J160" s="614">
        <v>3.9</v>
      </c>
      <c r="K160" s="615">
        <v>91</v>
      </c>
      <c r="L160" s="615">
        <v>150</v>
      </c>
      <c r="M160" s="615">
        <v>7200</v>
      </c>
      <c r="N160" s="615">
        <v>460</v>
      </c>
      <c r="O160" s="615">
        <v>6800</v>
      </c>
      <c r="P160" s="614"/>
      <c r="Q160" s="716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15.5</v>
      </c>
      <c r="AF160" s="102">
        <v>14.3</v>
      </c>
      <c r="AG160" s="102">
        <v>127</v>
      </c>
      <c r="AH160" s="102">
        <v>8.4</v>
      </c>
      <c r="AI160" s="102">
        <v>3</v>
      </c>
      <c r="AJ160" s="102">
        <v>73.7</v>
      </c>
      <c r="AK160" s="102">
        <v>3.9</v>
      </c>
      <c r="AL160" s="102">
        <v>91</v>
      </c>
      <c r="AM160" s="102">
        <v>150</v>
      </c>
      <c r="AN160" s="102">
        <v>7200</v>
      </c>
      <c r="AO160" s="102">
        <v>460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6" t="s">
        <v>152</v>
      </c>
      <c r="D161" s="617">
        <v>0.9</v>
      </c>
      <c r="E161" s="617">
        <v>8.84</v>
      </c>
      <c r="F161" s="618">
        <v>89</v>
      </c>
      <c r="G161" s="617">
        <v>7.8</v>
      </c>
      <c r="H161" s="617">
        <v>1.2</v>
      </c>
      <c r="I161" s="617">
        <v>62.6</v>
      </c>
      <c r="J161" s="617">
        <v>2</v>
      </c>
      <c r="K161" s="618">
        <v>9.6999999999999993</v>
      </c>
      <c r="L161" s="618">
        <v>35</v>
      </c>
      <c r="M161" s="618">
        <v>1200</v>
      </c>
      <c r="N161" s="618">
        <v>110</v>
      </c>
      <c r="O161" s="618">
        <v>2200</v>
      </c>
      <c r="P161" s="617"/>
      <c r="Q161" s="717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8.84</v>
      </c>
      <c r="AG161" s="102">
        <v>89</v>
      </c>
      <c r="AH161" s="102">
        <v>7.8</v>
      </c>
      <c r="AI161" s="102">
        <v>1.2</v>
      </c>
      <c r="AJ161" s="102">
        <v>62.6</v>
      </c>
      <c r="AK161" s="102">
        <v>2</v>
      </c>
      <c r="AL161" s="102">
        <v>9.6999999999999993</v>
      </c>
      <c r="AM161" s="102">
        <v>35</v>
      </c>
      <c r="AN161" s="102">
        <v>1200</v>
      </c>
      <c r="AO161" s="102">
        <v>110</v>
      </c>
      <c r="AP161" s="102">
        <v>2200</v>
      </c>
      <c r="AQ161" s="102">
        <f t="shared" si="4"/>
        <v>0</v>
      </c>
    </row>
    <row r="162" spans="1:43" s="102" customFormat="1" ht="11.4">
      <c r="A162" s="117"/>
      <c r="B162" s="411"/>
      <c r="C162" s="619"/>
      <c r="D162" s="620"/>
      <c r="E162" s="620"/>
      <c r="F162" s="621"/>
      <c r="G162" s="620"/>
      <c r="H162" s="622"/>
      <c r="I162" s="620"/>
      <c r="J162" s="622"/>
      <c r="K162" s="622"/>
      <c r="L162" s="622"/>
      <c r="M162" s="622"/>
      <c r="N162" s="622"/>
      <c r="O162" s="622"/>
      <c r="P162" s="620"/>
      <c r="Q162" s="620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261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9" t="s">
        <v>288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261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9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261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148</v>
      </c>
      <c r="O165" s="218">
        <v>7600</v>
      </c>
      <c r="P165" s="222" t="s">
        <v>18</v>
      </c>
      <c r="Q165" s="222" t="s">
        <v>18</v>
      </c>
      <c r="R165" s="609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9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>
        <f>RS!E115</f>
        <v>46154</v>
      </c>
      <c r="D167" s="222">
        <f>RS!F115</f>
        <v>8.9</v>
      </c>
      <c r="E167" s="222">
        <f>RS!G115</f>
        <v>10.4</v>
      </c>
      <c r="F167" s="218">
        <f>RS!H115</f>
        <v>90</v>
      </c>
      <c r="G167" s="222">
        <f>RS!I115</f>
        <v>7.9</v>
      </c>
      <c r="H167" s="222">
        <f>RS!J115</f>
        <v>2.9</v>
      </c>
      <c r="I167" s="222">
        <f>RS!K115</f>
        <v>54.7</v>
      </c>
      <c r="J167" s="102">
        <f>RS!L115</f>
        <v>2.6</v>
      </c>
      <c r="K167" s="218">
        <f>RS!M115</f>
        <v>37</v>
      </c>
      <c r="L167" s="218">
        <f>RS!N115</f>
        <v>76</v>
      </c>
      <c r="M167" s="218">
        <f>RS!O115</f>
        <v>1600</v>
      </c>
      <c r="N167" s="218">
        <f>RS!P115</f>
        <v>46</v>
      </c>
      <c r="O167" s="218">
        <f>RS!Q115</f>
        <v>2100</v>
      </c>
      <c r="P167" s="222" t="str">
        <f>RS!R115</f>
        <v/>
      </c>
      <c r="Q167" s="222" t="str">
        <f>RS!S115</f>
        <v/>
      </c>
      <c r="R167" s="609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>
        <f t="shared" si="6"/>
        <v>8.9</v>
      </c>
      <c r="AF167" s="102">
        <f t="shared" si="7"/>
        <v>10.4</v>
      </c>
      <c r="AG167" s="102">
        <f t="shared" si="8"/>
        <v>90</v>
      </c>
      <c r="AH167" s="102">
        <f t="shared" si="9"/>
        <v>7.9</v>
      </c>
      <c r="AI167" s="102">
        <f t="shared" si="10"/>
        <v>2.9</v>
      </c>
      <c r="AJ167" s="102">
        <f t="shared" si="11"/>
        <v>54.7</v>
      </c>
      <c r="AK167" s="102">
        <f t="shared" si="12"/>
        <v>2.6</v>
      </c>
      <c r="AL167" s="102">
        <f t="shared" si="13"/>
        <v>37</v>
      </c>
      <c r="AM167" s="102">
        <f t="shared" si="14"/>
        <v>76</v>
      </c>
      <c r="AN167" s="102">
        <f t="shared" si="15"/>
        <v>1600</v>
      </c>
      <c r="AO167" s="102">
        <f t="shared" si="16"/>
        <v>46</v>
      </c>
      <c r="AP167" s="102">
        <f t="shared" si="17"/>
        <v>2100</v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>
        <f>RS!E116</f>
        <v>46183</v>
      </c>
      <c r="D168" s="222">
        <f>RS!F116</f>
        <v>14.6</v>
      </c>
      <c r="E168" s="222">
        <f>RS!G116</f>
        <v>9.49</v>
      </c>
      <c r="F168" s="218">
        <f>RS!H116</f>
        <v>94</v>
      </c>
      <c r="G168" s="222">
        <f>RS!I116</f>
        <v>8</v>
      </c>
      <c r="H168" s="222">
        <f>RS!J116</f>
        <v>1.4</v>
      </c>
      <c r="I168" s="222">
        <f>RS!K116</f>
        <v>55</v>
      </c>
      <c r="J168" s="102">
        <f>RS!L116</f>
        <v>1.4</v>
      </c>
      <c r="K168" s="218">
        <f>RS!M116</f>
        <v>130</v>
      </c>
      <c r="L168" s="218">
        <f>RS!N116</f>
        <v>160</v>
      </c>
      <c r="M168" s="218">
        <f>RS!O116</f>
        <v>520</v>
      </c>
      <c r="N168" s="218">
        <f>RS!P116</f>
        <v>37</v>
      </c>
      <c r="O168" s="218">
        <f>RS!Q116</f>
        <v>1000</v>
      </c>
      <c r="P168" s="222" t="str">
        <f>RS!R116</f>
        <v/>
      </c>
      <c r="Q168" s="222" t="str">
        <f>RS!S116</f>
        <v/>
      </c>
      <c r="R168" s="609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>
        <f t="shared" si="6"/>
        <v>14.6</v>
      </c>
      <c r="AF168" s="102">
        <f t="shared" si="7"/>
        <v>9.49</v>
      </c>
      <c r="AG168" s="102">
        <f t="shared" si="8"/>
        <v>94</v>
      </c>
      <c r="AH168" s="102">
        <f t="shared" si="9"/>
        <v>8</v>
      </c>
      <c r="AI168" s="102">
        <f t="shared" si="10"/>
        <v>1.4</v>
      </c>
      <c r="AJ168" s="102">
        <f t="shared" si="11"/>
        <v>55</v>
      </c>
      <c r="AK168" s="102">
        <f t="shared" si="12"/>
        <v>1.4</v>
      </c>
      <c r="AL168" s="102">
        <f t="shared" si="13"/>
        <v>130</v>
      </c>
      <c r="AM168" s="102">
        <f t="shared" si="14"/>
        <v>160</v>
      </c>
      <c r="AN168" s="102">
        <f t="shared" si="15"/>
        <v>520</v>
      </c>
      <c r="AO168" s="102">
        <f t="shared" si="16"/>
        <v>37</v>
      </c>
      <c r="AP168" s="102">
        <f t="shared" si="17"/>
        <v>1000</v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 t="str">
        <f>RS!E117</f>
        <v/>
      </c>
      <c r="D169" s="222" t="str">
        <f>RS!F117</f>
        <v/>
      </c>
      <c r="E169" s="222" t="str">
        <f>RS!G117</f>
        <v/>
      </c>
      <c r="F169" s="218" t="str">
        <f>RS!H117</f>
        <v/>
      </c>
      <c r="G169" s="222" t="str">
        <f>RS!I117</f>
        <v/>
      </c>
      <c r="H169" s="222" t="str">
        <f>RS!J117</f>
        <v/>
      </c>
      <c r="I169" s="222" t="str">
        <f>RS!K117</f>
        <v/>
      </c>
      <c r="J169" s="102" t="str">
        <f>RS!L117</f>
        <v/>
      </c>
      <c r="K169" s="218" t="str">
        <f>RS!M117</f>
        <v/>
      </c>
      <c r="L169" s="218" t="str">
        <f>RS!N117</f>
        <v/>
      </c>
      <c r="M169" s="218" t="str">
        <f>RS!O117</f>
        <v/>
      </c>
      <c r="N169" s="218" t="str">
        <f>RS!P117</f>
        <v/>
      </c>
      <c r="O169" s="218" t="str">
        <f>RS!Q117</f>
        <v/>
      </c>
      <c r="P169" s="222" t="str">
        <f>RS!R117</f>
        <v/>
      </c>
      <c r="Q169" s="222" t="str">
        <f>RS!S117</f>
        <v/>
      </c>
      <c r="R169" s="609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 t="str">
        <f t="shared" si="6"/>
        <v/>
      </c>
      <c r="AF169" s="102" t="str">
        <f t="shared" si="7"/>
        <v/>
      </c>
      <c r="AG169" s="102" t="str">
        <f t="shared" si="8"/>
        <v/>
      </c>
      <c r="AH169" s="102" t="str">
        <f t="shared" si="9"/>
        <v/>
      </c>
      <c r="AI169" s="102" t="str">
        <f t="shared" si="10"/>
        <v/>
      </c>
      <c r="AJ169" s="102" t="str">
        <f t="shared" si="11"/>
        <v/>
      </c>
      <c r="AK169" s="102" t="str">
        <f t="shared" si="12"/>
        <v/>
      </c>
      <c r="AL169" s="102" t="str">
        <f t="shared" si="13"/>
        <v/>
      </c>
      <c r="AM169" s="102" t="str">
        <f t="shared" si="14"/>
        <v/>
      </c>
      <c r="AN169" s="102" t="str">
        <f t="shared" si="15"/>
        <v/>
      </c>
      <c r="AO169" s="102" t="str">
        <f t="shared" si="16"/>
        <v/>
      </c>
      <c r="AP169" s="102" t="str">
        <f t="shared" si="17"/>
        <v/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 t="str">
        <f>RS!E118</f>
        <v/>
      </c>
      <c r="D170" s="222" t="str">
        <f>RS!F118</f>
        <v/>
      </c>
      <c r="E170" s="222" t="str">
        <f>RS!G118</f>
        <v/>
      </c>
      <c r="F170" s="218" t="str">
        <f>RS!H118</f>
        <v/>
      </c>
      <c r="G170" s="222" t="str">
        <f>RS!I118</f>
        <v/>
      </c>
      <c r="H170" s="222" t="str">
        <f>RS!J118</f>
        <v/>
      </c>
      <c r="I170" s="222" t="str">
        <f>RS!K118</f>
        <v/>
      </c>
      <c r="J170" s="102" t="str">
        <f>RS!L118</f>
        <v/>
      </c>
      <c r="K170" s="218" t="str">
        <f>RS!M118</f>
        <v/>
      </c>
      <c r="L170" s="218" t="str">
        <f>RS!N118</f>
        <v/>
      </c>
      <c r="M170" s="218" t="str">
        <f>RS!O118</f>
        <v/>
      </c>
      <c r="N170" s="218" t="str">
        <f>RS!P118</f>
        <v/>
      </c>
      <c r="O170" s="218" t="str">
        <f>RS!Q118</f>
        <v/>
      </c>
      <c r="P170" s="222" t="str">
        <f>RS!R118</f>
        <v/>
      </c>
      <c r="Q170" s="222" t="str">
        <f>RS!S118</f>
        <v/>
      </c>
      <c r="R170" s="609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 t="str">
        <f t="shared" si="6"/>
        <v/>
      </c>
      <c r="AF170" s="102" t="str">
        <f t="shared" si="7"/>
        <v/>
      </c>
      <c r="AG170" s="102" t="str">
        <f t="shared" si="8"/>
        <v/>
      </c>
      <c r="AH170" s="102" t="str">
        <f t="shared" si="9"/>
        <v/>
      </c>
      <c r="AI170" s="102" t="str">
        <f t="shared" si="10"/>
        <v/>
      </c>
      <c r="AJ170" s="102" t="str">
        <f t="shared" si="11"/>
        <v/>
      </c>
      <c r="AK170" s="102" t="str">
        <f t="shared" si="12"/>
        <v/>
      </c>
      <c r="AL170" s="102" t="str">
        <f t="shared" si="13"/>
        <v/>
      </c>
      <c r="AM170" s="102" t="str">
        <f t="shared" si="14"/>
        <v/>
      </c>
      <c r="AN170" s="102" t="str">
        <f t="shared" si="15"/>
        <v/>
      </c>
      <c r="AO170" s="102" t="str">
        <f t="shared" si="16"/>
        <v/>
      </c>
      <c r="AP170" s="102" t="str">
        <f t="shared" si="17"/>
        <v/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 t="str">
        <f>RS!E119</f>
        <v/>
      </c>
      <c r="D171" s="222" t="str">
        <f>RS!F119</f>
        <v/>
      </c>
      <c r="E171" s="222" t="str">
        <f>RS!G119</f>
        <v/>
      </c>
      <c r="F171" s="218" t="str">
        <f>RS!H119</f>
        <v/>
      </c>
      <c r="G171" s="222" t="str">
        <f>RS!I119</f>
        <v/>
      </c>
      <c r="H171" s="222" t="str">
        <f>RS!J119</f>
        <v/>
      </c>
      <c r="I171" s="222" t="str">
        <f>RS!K119</f>
        <v/>
      </c>
      <c r="J171" s="102" t="str">
        <f>RS!L119</f>
        <v/>
      </c>
      <c r="K171" s="218" t="str">
        <f>RS!M119</f>
        <v/>
      </c>
      <c r="L171" s="218" t="str">
        <f>RS!N119</f>
        <v/>
      </c>
      <c r="M171" s="218" t="str">
        <f>RS!O119</f>
        <v/>
      </c>
      <c r="N171" s="218" t="str">
        <f>RS!P119</f>
        <v/>
      </c>
      <c r="O171" s="218" t="str">
        <f>RS!Q119</f>
        <v/>
      </c>
      <c r="P171" s="222" t="str">
        <f>RS!R119</f>
        <v/>
      </c>
      <c r="Q171" s="222" t="str">
        <f>RS!S119</f>
        <v/>
      </c>
      <c r="R171" s="609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 t="str">
        <f t="shared" si="6"/>
        <v/>
      </c>
      <c r="AF171" s="102" t="str">
        <f t="shared" si="7"/>
        <v/>
      </c>
      <c r="AG171" s="102" t="str">
        <f t="shared" si="8"/>
        <v/>
      </c>
      <c r="AH171" s="102" t="str">
        <f t="shared" si="9"/>
        <v/>
      </c>
      <c r="AI171" s="102" t="str">
        <f t="shared" si="10"/>
        <v/>
      </c>
      <c r="AJ171" s="102" t="str">
        <f t="shared" si="11"/>
        <v/>
      </c>
      <c r="AK171" s="102" t="str">
        <f t="shared" si="12"/>
        <v/>
      </c>
      <c r="AL171" s="102" t="str">
        <f t="shared" si="13"/>
        <v/>
      </c>
      <c r="AM171" s="102" t="str">
        <f t="shared" si="14"/>
        <v/>
      </c>
      <c r="AN171" s="102" t="str">
        <f t="shared" si="15"/>
        <v/>
      </c>
      <c r="AO171" s="102" t="str">
        <f t="shared" si="16"/>
        <v/>
      </c>
      <c r="AP171" s="102" t="str">
        <f t="shared" si="17"/>
        <v/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9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9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9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10" t="s">
        <v>150</v>
      </c>
      <c r="D175" s="611">
        <f t="shared" ref="D175:O175" si="18">AVERAGE(AE163:AE174)</f>
        <v>7.166666666666667</v>
      </c>
      <c r="E175" s="611">
        <f t="shared" si="18"/>
        <v>12.473333333333334</v>
      </c>
      <c r="F175" s="612">
        <f t="shared" si="18"/>
        <v>102.33333333333333</v>
      </c>
      <c r="G175" s="611">
        <f t="shared" si="18"/>
        <v>8.0666666666666664</v>
      </c>
      <c r="H175" s="611">
        <f t="shared" si="18"/>
        <v>2.1166666666666667</v>
      </c>
      <c r="I175" s="611">
        <f t="shared" si="18"/>
        <v>66.149999999999991</v>
      </c>
      <c r="J175" s="611">
        <f t="shared" si="18"/>
        <v>2.6333333333333333</v>
      </c>
      <c r="K175" s="612">
        <f t="shared" si="18"/>
        <v>45.416666666666664</v>
      </c>
      <c r="L175" s="612">
        <f t="shared" si="18"/>
        <v>88.833333333333329</v>
      </c>
      <c r="M175" s="612">
        <f t="shared" si="18"/>
        <v>3770</v>
      </c>
      <c r="N175" s="612">
        <f t="shared" si="18"/>
        <v>145.33333333333334</v>
      </c>
      <c r="O175" s="612">
        <f t="shared" si="18"/>
        <v>4216.666666666667</v>
      </c>
      <c r="P175" s="611"/>
      <c r="Q175" s="715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7.166666666666667</v>
      </c>
      <c r="AF175" s="102">
        <f t="shared" si="7"/>
        <v>12.473333333333334</v>
      </c>
      <c r="AG175" s="102">
        <f t="shared" si="8"/>
        <v>102.33333333333333</v>
      </c>
      <c r="AH175" s="102">
        <f t="shared" si="9"/>
        <v>8.0666666666666664</v>
      </c>
      <c r="AI175" s="102">
        <f t="shared" si="10"/>
        <v>2.1166666666666667</v>
      </c>
      <c r="AJ175" s="102">
        <f t="shared" si="11"/>
        <v>66.149999999999991</v>
      </c>
      <c r="AK175" s="102">
        <f t="shared" si="12"/>
        <v>2.6333333333333333</v>
      </c>
      <c r="AL175" s="102">
        <f t="shared" si="13"/>
        <v>45.416666666666664</v>
      </c>
      <c r="AM175" s="102">
        <f t="shared" si="14"/>
        <v>88.833333333333329</v>
      </c>
      <c r="AN175" s="102">
        <f t="shared" si="15"/>
        <v>3770</v>
      </c>
      <c r="AO175" s="102">
        <f t="shared" si="16"/>
        <v>145.33333333333334</v>
      </c>
      <c r="AP175" s="102">
        <f t="shared" si="17"/>
        <v>4216.666666666667</v>
      </c>
      <c r="AQ175" s="102">
        <f t="shared" si="5"/>
        <v>0</v>
      </c>
    </row>
    <row r="176" spans="1:43" s="102" customFormat="1" ht="11.4">
      <c r="A176" s="117"/>
      <c r="C176" s="613" t="s">
        <v>151</v>
      </c>
      <c r="D176" s="614">
        <f t="shared" ref="D176:O176" si="19">MAX(AE163:AE174)</f>
        <v>14.6</v>
      </c>
      <c r="E176" s="614">
        <f t="shared" si="19"/>
        <v>14.23</v>
      </c>
      <c r="F176" s="615">
        <f t="shared" si="19"/>
        <v>124</v>
      </c>
      <c r="G176" s="614">
        <f t="shared" si="19"/>
        <v>8.4</v>
      </c>
      <c r="H176" s="614">
        <f t="shared" si="19"/>
        <v>5.0999999999999996</v>
      </c>
      <c r="I176" s="614">
        <f t="shared" si="19"/>
        <v>126</v>
      </c>
      <c r="J176" s="614">
        <f t="shared" si="19"/>
        <v>6</v>
      </c>
      <c r="K176" s="615">
        <f t="shared" si="19"/>
        <v>130</v>
      </c>
      <c r="L176" s="615">
        <f t="shared" si="19"/>
        <v>200</v>
      </c>
      <c r="M176" s="615">
        <f t="shared" si="19"/>
        <v>8000</v>
      </c>
      <c r="N176" s="615">
        <f t="shared" si="19"/>
        <v>700</v>
      </c>
      <c r="O176" s="615">
        <f t="shared" si="19"/>
        <v>7600</v>
      </c>
      <c r="P176" s="614"/>
      <c r="Q176" s="716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14.6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130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6" t="s">
        <v>152</v>
      </c>
      <c r="D177" s="617">
        <f t="shared" ref="D177:O177" si="20">MIN(AE163:AE174)</f>
        <v>0.1</v>
      </c>
      <c r="E177" s="617">
        <f t="shared" si="20"/>
        <v>9.49</v>
      </c>
      <c r="F177" s="618">
        <f t="shared" si="20"/>
        <v>90</v>
      </c>
      <c r="G177" s="617">
        <f t="shared" si="20"/>
        <v>7.8</v>
      </c>
      <c r="H177" s="617">
        <f t="shared" si="20"/>
        <v>0.9</v>
      </c>
      <c r="I177" s="617">
        <f t="shared" si="20"/>
        <v>51.8</v>
      </c>
      <c r="J177" s="617">
        <f t="shared" si="20"/>
        <v>1.4</v>
      </c>
      <c r="K177" s="618">
        <f t="shared" si="20"/>
        <v>3.5</v>
      </c>
      <c r="L177" s="618">
        <f t="shared" si="20"/>
        <v>14</v>
      </c>
      <c r="M177" s="618">
        <f t="shared" si="20"/>
        <v>520</v>
      </c>
      <c r="N177" s="618">
        <f t="shared" si="20"/>
        <v>10</v>
      </c>
      <c r="O177" s="618">
        <f t="shared" si="20"/>
        <v>1000</v>
      </c>
      <c r="P177" s="617"/>
      <c r="Q177" s="717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9.49</v>
      </c>
      <c r="AG177" s="102">
        <f t="shared" si="8"/>
        <v>90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1.4</v>
      </c>
      <c r="AL177" s="102">
        <f t="shared" si="13"/>
        <v>3.5</v>
      </c>
      <c r="AM177" s="102">
        <f t="shared" si="14"/>
        <v>14</v>
      </c>
      <c r="AN177" s="102">
        <f t="shared" si="15"/>
        <v>520</v>
      </c>
      <c r="AO177" s="102">
        <f t="shared" si="16"/>
        <v>10</v>
      </c>
      <c r="AP177" s="102">
        <f t="shared" si="17"/>
        <v>1000</v>
      </c>
      <c r="AQ177" s="102">
        <f t="shared" si="5"/>
        <v>0</v>
      </c>
    </row>
    <row r="178" spans="1:43" s="102" customFormat="1" ht="11.4">
      <c r="A178" s="117"/>
      <c r="B178" s="411"/>
      <c r="C178" s="619"/>
      <c r="D178" s="620"/>
      <c r="E178" s="620"/>
      <c r="F178" s="621"/>
      <c r="G178" s="620"/>
      <c r="H178" s="622"/>
      <c r="I178" s="620"/>
      <c r="J178" s="622"/>
      <c r="K178" s="622"/>
      <c r="L178" s="622"/>
      <c r="M178" s="622"/>
      <c r="N178" s="622"/>
      <c r="O178" s="622"/>
      <c r="P178" s="620"/>
      <c r="Q178" s="620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9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9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>
        <f>RS!E125</f>
        <v>46153</v>
      </c>
      <c r="D181" s="222">
        <f>RS!F125</f>
        <v>9.1</v>
      </c>
      <c r="E181" s="222">
        <f>RS!G125</f>
        <v>9.5</v>
      </c>
      <c r="F181" s="218">
        <f>RS!H125</f>
        <v>83</v>
      </c>
      <c r="G181" s="222">
        <f>RS!I125</f>
        <v>7.9</v>
      </c>
      <c r="H181" s="222">
        <f>RS!J125</f>
        <v>2.2000000000000002</v>
      </c>
      <c r="I181" s="222">
        <f>RS!K125</f>
        <v>45.2</v>
      </c>
      <c r="J181" s="102">
        <f>RS!L125</f>
        <v>2.1</v>
      </c>
      <c r="K181" s="218">
        <f>RS!M125</f>
        <v>30</v>
      </c>
      <c r="L181" s="218">
        <f>RS!N125</f>
        <v>61</v>
      </c>
      <c r="M181" s="218">
        <f>RS!O125</f>
        <v>1100</v>
      </c>
      <c r="N181" s="218">
        <f>RS!P125</f>
        <v>32</v>
      </c>
      <c r="O181" s="218">
        <f>RS!Q125</f>
        <v>1600</v>
      </c>
      <c r="P181" s="222" t="str">
        <f>RS!R125</f>
        <v/>
      </c>
      <c r="Q181" s="222" t="str">
        <f>RS!S125</f>
        <v/>
      </c>
      <c r="R181" s="609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>
        <f t="shared" si="21"/>
        <v>9.1</v>
      </c>
      <c r="AF181" s="102">
        <f t="shared" si="22"/>
        <v>9.5</v>
      </c>
      <c r="AG181" s="102">
        <f t="shared" si="23"/>
        <v>83</v>
      </c>
      <c r="AH181" s="102">
        <f t="shared" si="24"/>
        <v>7.9</v>
      </c>
      <c r="AI181" s="102">
        <f t="shared" si="25"/>
        <v>2.2000000000000002</v>
      </c>
      <c r="AJ181" s="102">
        <f t="shared" si="26"/>
        <v>45.2</v>
      </c>
      <c r="AK181" s="102">
        <f t="shared" si="27"/>
        <v>2.1</v>
      </c>
      <c r="AL181" s="102">
        <f t="shared" si="28"/>
        <v>30</v>
      </c>
      <c r="AM181" s="102">
        <f t="shared" si="29"/>
        <v>61</v>
      </c>
      <c r="AN181" s="102">
        <f t="shared" si="30"/>
        <v>1100</v>
      </c>
      <c r="AO181" s="102">
        <f t="shared" si="31"/>
        <v>32</v>
      </c>
      <c r="AP181" s="102">
        <f t="shared" si="32"/>
        <v>1600</v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 t="str">
        <f>RS!E126</f>
        <v/>
      </c>
      <c r="D182" s="222" t="str">
        <f>RS!F126</f>
        <v/>
      </c>
      <c r="E182" s="222" t="str">
        <f>RS!G126</f>
        <v/>
      </c>
      <c r="F182" s="218" t="str">
        <f>RS!H126</f>
        <v/>
      </c>
      <c r="G182" s="222" t="str">
        <f>RS!I126</f>
        <v/>
      </c>
      <c r="H182" s="222" t="str">
        <f>RS!J126</f>
        <v/>
      </c>
      <c r="I182" s="222" t="str">
        <f>RS!K126</f>
        <v/>
      </c>
      <c r="J182" s="102" t="str">
        <f>RS!L126</f>
        <v/>
      </c>
      <c r="K182" s="218" t="str">
        <f>RS!M126</f>
        <v/>
      </c>
      <c r="L182" s="218" t="str">
        <f>RS!N126</f>
        <v/>
      </c>
      <c r="M182" s="218" t="str">
        <f>RS!O126</f>
        <v/>
      </c>
      <c r="N182" s="218" t="str">
        <f>RS!P126</f>
        <v/>
      </c>
      <c r="O182" s="218" t="str">
        <f>RS!Q126</f>
        <v/>
      </c>
      <c r="P182" s="222" t="str">
        <f>RS!R126</f>
        <v/>
      </c>
      <c r="Q182" s="222" t="str">
        <f>RS!S126</f>
        <v/>
      </c>
      <c r="R182" s="609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 t="str">
        <f t="shared" si="21"/>
        <v/>
      </c>
      <c r="AF182" s="102" t="str">
        <f t="shared" si="22"/>
        <v/>
      </c>
      <c r="AG182" s="102" t="str">
        <f t="shared" si="23"/>
        <v/>
      </c>
      <c r="AH182" s="102" t="str">
        <f t="shared" si="24"/>
        <v/>
      </c>
      <c r="AI182" s="102" t="str">
        <f t="shared" si="25"/>
        <v/>
      </c>
      <c r="AJ182" s="102" t="str">
        <f t="shared" si="26"/>
        <v/>
      </c>
      <c r="AK182" s="102" t="str">
        <f t="shared" si="27"/>
        <v/>
      </c>
      <c r="AL182" s="102" t="str">
        <f t="shared" si="28"/>
        <v/>
      </c>
      <c r="AM182" s="102" t="str">
        <f t="shared" si="29"/>
        <v/>
      </c>
      <c r="AN182" s="102" t="str">
        <f t="shared" si="30"/>
        <v/>
      </c>
      <c r="AO182" s="102" t="str">
        <f t="shared" si="31"/>
        <v/>
      </c>
      <c r="AP182" s="102" t="str">
        <f t="shared" si="32"/>
        <v/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 t="str">
        <f>RS!E127</f>
        <v/>
      </c>
      <c r="D183" s="222" t="str">
        <f>RS!F127</f>
        <v/>
      </c>
      <c r="E183" s="222" t="str">
        <f>RS!G127</f>
        <v/>
      </c>
      <c r="F183" s="218" t="str">
        <f>RS!H127</f>
        <v/>
      </c>
      <c r="G183" s="222" t="str">
        <f>RS!I127</f>
        <v/>
      </c>
      <c r="H183" s="222" t="str">
        <f>RS!J127</f>
        <v/>
      </c>
      <c r="I183" s="222" t="str">
        <f>RS!K127</f>
        <v/>
      </c>
      <c r="J183" s="102" t="str">
        <f>RS!L127</f>
        <v/>
      </c>
      <c r="K183" s="218" t="str">
        <f>RS!M127</f>
        <v/>
      </c>
      <c r="L183" s="218" t="str">
        <f>RS!N127</f>
        <v/>
      </c>
      <c r="M183" s="218" t="str">
        <f>RS!O127</f>
        <v/>
      </c>
      <c r="N183" s="218" t="str">
        <f>RS!P127</f>
        <v/>
      </c>
      <c r="O183" s="218" t="str">
        <f>RS!Q127</f>
        <v/>
      </c>
      <c r="P183" s="222" t="str">
        <f>RS!R127</f>
        <v/>
      </c>
      <c r="Q183" s="222" t="str">
        <f>RS!S127</f>
        <v/>
      </c>
      <c r="R183" s="609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 t="str">
        <f t="shared" si="21"/>
        <v/>
      </c>
      <c r="AF183" s="102" t="str">
        <f t="shared" si="22"/>
        <v/>
      </c>
      <c r="AG183" s="102" t="str">
        <f t="shared" si="23"/>
        <v/>
      </c>
      <c r="AH183" s="102" t="str">
        <f t="shared" si="24"/>
        <v/>
      </c>
      <c r="AI183" s="102" t="str">
        <f t="shared" si="25"/>
        <v/>
      </c>
      <c r="AJ183" s="102" t="str">
        <f t="shared" si="26"/>
        <v/>
      </c>
      <c r="AK183" s="102" t="str">
        <f t="shared" si="27"/>
        <v/>
      </c>
      <c r="AL183" s="102" t="str">
        <f t="shared" si="28"/>
        <v/>
      </c>
      <c r="AM183" s="102" t="str">
        <f t="shared" si="29"/>
        <v/>
      </c>
      <c r="AN183" s="102" t="str">
        <f t="shared" si="30"/>
        <v/>
      </c>
      <c r="AO183" s="102" t="str">
        <f t="shared" si="31"/>
        <v/>
      </c>
      <c r="AP183" s="102" t="str">
        <f t="shared" si="32"/>
        <v/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9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10" t="s">
        <v>150</v>
      </c>
      <c r="D185" s="611">
        <f t="shared" ref="D185:O185" si="34">AVERAGE(AE179:AE184)</f>
        <v>5.333333333333333</v>
      </c>
      <c r="E185" s="611">
        <f t="shared" si="34"/>
        <v>11.673333333333334</v>
      </c>
      <c r="F185" s="612">
        <f t="shared" si="34"/>
        <v>91.666666666666671</v>
      </c>
      <c r="G185" s="611">
        <f t="shared" si="34"/>
        <v>7.9333333333333336</v>
      </c>
      <c r="H185" s="611">
        <f t="shared" si="34"/>
        <v>1.6000000000000003</v>
      </c>
      <c r="I185" s="611">
        <f t="shared" si="34"/>
        <v>47.533333333333339</v>
      </c>
      <c r="J185" s="611">
        <f t="shared" si="34"/>
        <v>1.5333333333333332</v>
      </c>
      <c r="K185" s="612">
        <f t="shared" si="34"/>
        <v>32</v>
      </c>
      <c r="L185" s="612">
        <f t="shared" si="34"/>
        <v>49</v>
      </c>
      <c r="M185" s="612">
        <f t="shared" si="34"/>
        <v>4266.666666666667</v>
      </c>
      <c r="N185" s="612">
        <f t="shared" si="34"/>
        <v>33</v>
      </c>
      <c r="O185" s="612">
        <f t="shared" si="34"/>
        <v>4400</v>
      </c>
      <c r="P185" s="611"/>
      <c r="Q185" s="715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5.333333333333333</v>
      </c>
      <c r="AF185" s="102">
        <f t="shared" si="22"/>
        <v>11.673333333333334</v>
      </c>
      <c r="AG185" s="102">
        <f t="shared" si="23"/>
        <v>91.666666666666671</v>
      </c>
      <c r="AH185" s="102">
        <f t="shared" si="24"/>
        <v>7.9333333333333336</v>
      </c>
      <c r="AI185" s="102">
        <f t="shared" si="25"/>
        <v>1.6000000000000003</v>
      </c>
      <c r="AJ185" s="102">
        <f t="shared" si="26"/>
        <v>47.533333333333339</v>
      </c>
      <c r="AK185" s="102">
        <f t="shared" si="27"/>
        <v>1.5333333333333332</v>
      </c>
      <c r="AL185" s="102">
        <f t="shared" si="28"/>
        <v>32</v>
      </c>
      <c r="AM185" s="102">
        <f t="shared" si="29"/>
        <v>49</v>
      </c>
      <c r="AN185" s="102">
        <f t="shared" si="30"/>
        <v>4266.666666666667</v>
      </c>
      <c r="AO185" s="102">
        <f t="shared" si="31"/>
        <v>33</v>
      </c>
      <c r="AP185" s="102">
        <f t="shared" si="32"/>
        <v>4400</v>
      </c>
      <c r="AQ185" s="102">
        <f t="shared" si="33"/>
        <v>0</v>
      </c>
    </row>
    <row r="186" spans="1:43" s="102" customFormat="1" ht="11.4">
      <c r="A186" s="117"/>
      <c r="C186" s="613" t="s">
        <v>151</v>
      </c>
      <c r="D186" s="614">
        <f t="shared" ref="D186:O186" si="35">MAX(AE179:AE184)</f>
        <v>9.1</v>
      </c>
      <c r="E186" s="614">
        <f t="shared" si="35"/>
        <v>13.22</v>
      </c>
      <c r="F186" s="615">
        <f t="shared" si="35"/>
        <v>101</v>
      </c>
      <c r="G186" s="614">
        <f t="shared" si="35"/>
        <v>8</v>
      </c>
      <c r="H186" s="614">
        <f t="shared" si="35"/>
        <v>2.2000000000000002</v>
      </c>
      <c r="I186" s="614">
        <f t="shared" si="35"/>
        <v>52.1</v>
      </c>
      <c r="J186" s="614">
        <f t="shared" si="35"/>
        <v>2.1</v>
      </c>
      <c r="K186" s="615">
        <f t="shared" si="35"/>
        <v>41</v>
      </c>
      <c r="L186" s="615">
        <f t="shared" si="35"/>
        <v>61</v>
      </c>
      <c r="M186" s="615">
        <f t="shared" si="35"/>
        <v>6700</v>
      </c>
      <c r="N186" s="615">
        <f t="shared" si="35"/>
        <v>35</v>
      </c>
      <c r="O186" s="615">
        <f t="shared" si="35"/>
        <v>6400</v>
      </c>
      <c r="P186" s="614"/>
      <c r="Q186" s="716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9.1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2.2000000000000002</v>
      </c>
      <c r="AJ186" s="102">
        <f t="shared" si="26"/>
        <v>52.1</v>
      </c>
      <c r="AK186" s="102">
        <f t="shared" si="27"/>
        <v>2.1</v>
      </c>
      <c r="AL186" s="102">
        <f t="shared" si="28"/>
        <v>41</v>
      </c>
      <c r="AM186" s="102">
        <f t="shared" si="29"/>
        <v>61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6" t="s">
        <v>152</v>
      </c>
      <c r="D187" s="617">
        <f t="shared" ref="D187:O187" si="36">MIN(AE179:AE184)</f>
        <v>0.2</v>
      </c>
      <c r="E187" s="617">
        <f t="shared" si="36"/>
        <v>9.5</v>
      </c>
      <c r="F187" s="618">
        <f t="shared" si="36"/>
        <v>83</v>
      </c>
      <c r="G187" s="617">
        <f t="shared" si="36"/>
        <v>7.9</v>
      </c>
      <c r="H187" s="617">
        <f t="shared" si="36"/>
        <v>1</v>
      </c>
      <c r="I187" s="617">
        <f t="shared" si="36"/>
        <v>45.2</v>
      </c>
      <c r="J187" s="617">
        <f t="shared" si="36"/>
        <v>1.1000000000000001</v>
      </c>
      <c r="K187" s="618">
        <f t="shared" si="36"/>
        <v>25</v>
      </c>
      <c r="L187" s="618">
        <f t="shared" si="36"/>
        <v>42</v>
      </c>
      <c r="M187" s="618">
        <f t="shared" si="36"/>
        <v>1100</v>
      </c>
      <c r="N187" s="618">
        <f t="shared" si="36"/>
        <v>32</v>
      </c>
      <c r="O187" s="618">
        <f t="shared" si="36"/>
        <v>1600</v>
      </c>
      <c r="P187" s="617"/>
      <c r="Q187" s="717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9.5</v>
      </c>
      <c r="AG187" s="102">
        <f t="shared" si="23"/>
        <v>83</v>
      </c>
      <c r="AH187" s="102">
        <f t="shared" si="24"/>
        <v>7.9</v>
      </c>
      <c r="AI187" s="102">
        <f t="shared" si="25"/>
        <v>1</v>
      </c>
      <c r="AJ187" s="102">
        <f t="shared" si="26"/>
        <v>45.2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1100</v>
      </c>
      <c r="AO187" s="102">
        <f t="shared" si="31"/>
        <v>32</v>
      </c>
      <c r="AP187" s="102">
        <f t="shared" si="32"/>
        <v>1600</v>
      </c>
      <c r="AQ187" s="102">
        <f t="shared" si="33"/>
        <v>0</v>
      </c>
    </row>
    <row r="188" spans="1:43" s="102" customFormat="1" ht="11.4">
      <c r="A188" s="117"/>
      <c r="B188" s="411"/>
      <c r="C188" s="619"/>
      <c r="D188" s="620"/>
      <c r="E188" s="620"/>
      <c r="F188" s="621"/>
      <c r="G188" s="620"/>
      <c r="H188" s="620"/>
      <c r="I188" s="620"/>
      <c r="J188" s="622"/>
      <c r="K188" s="622"/>
      <c r="L188" s="622"/>
      <c r="M188" s="622"/>
      <c r="N188" s="622"/>
      <c r="O188" s="622"/>
      <c r="P188" s="620"/>
      <c r="Q188" s="620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9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9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>
        <f>RS!E131</f>
        <v>46154</v>
      </c>
      <c r="D191" s="222">
        <f>RS!F131</f>
        <v>8.6999999999999993</v>
      </c>
      <c r="E191" s="222">
        <f>RS!G131</f>
        <v>9.6999999999999993</v>
      </c>
      <c r="F191" s="218">
        <f>RS!H131</f>
        <v>84</v>
      </c>
      <c r="G191" s="222">
        <f>RS!I131</f>
        <v>7.7</v>
      </c>
      <c r="H191" s="222">
        <f>RS!J131</f>
        <v>5.2</v>
      </c>
      <c r="I191" s="222">
        <f>RS!K131</f>
        <v>63.5</v>
      </c>
      <c r="J191" s="102">
        <f>RS!L131</f>
        <v>2.6</v>
      </c>
      <c r="K191" s="218">
        <f>RS!M131</f>
        <v>25</v>
      </c>
      <c r="L191" s="218">
        <f>RS!N131</f>
        <v>59</v>
      </c>
      <c r="M191" s="218">
        <f>RS!O131</f>
        <v>1900</v>
      </c>
      <c r="N191" s="218">
        <f>RS!P131</f>
        <v>74</v>
      </c>
      <c r="O191" s="218">
        <f>RS!Q131</f>
        <v>2300</v>
      </c>
      <c r="P191" s="222" t="str">
        <f>RS!R131</f>
        <v/>
      </c>
      <c r="Q191" s="222" t="str">
        <f>RS!S131</f>
        <v/>
      </c>
      <c r="R191" s="609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>
        <f t="shared" si="21"/>
        <v>8.6999999999999993</v>
      </c>
      <c r="AF191" s="102">
        <f t="shared" si="22"/>
        <v>9.6999999999999993</v>
      </c>
      <c r="AG191" s="102">
        <f t="shared" si="23"/>
        <v>84</v>
      </c>
      <c r="AH191" s="102">
        <f t="shared" si="24"/>
        <v>7.7</v>
      </c>
      <c r="AI191" s="102">
        <f t="shared" si="25"/>
        <v>5.2</v>
      </c>
      <c r="AJ191" s="102">
        <f t="shared" si="26"/>
        <v>63.5</v>
      </c>
      <c r="AK191" s="102">
        <f t="shared" si="27"/>
        <v>2.6</v>
      </c>
      <c r="AL191" s="102">
        <f t="shared" si="28"/>
        <v>25</v>
      </c>
      <c r="AM191" s="102">
        <f t="shared" si="29"/>
        <v>59</v>
      </c>
      <c r="AN191" s="102">
        <f t="shared" si="30"/>
        <v>1900</v>
      </c>
      <c r="AO191" s="102">
        <f t="shared" si="31"/>
        <v>74</v>
      </c>
      <c r="AP191" s="102">
        <f t="shared" si="32"/>
        <v>2300</v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 t="str">
        <f>RS!E132</f>
        <v/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9" t="str">
        <f>RS!T132</f>
        <v/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 t="str">
        <f>RS!E133</f>
        <v/>
      </c>
      <c r="D193" s="222" t="str">
        <f>RS!F133</f>
        <v/>
      </c>
      <c r="E193" s="222" t="str">
        <f>RS!G133</f>
        <v/>
      </c>
      <c r="F193" s="218" t="str">
        <f>RS!H133</f>
        <v/>
      </c>
      <c r="G193" s="222" t="str">
        <f>RS!I133</f>
        <v/>
      </c>
      <c r="H193" s="222" t="str">
        <f>RS!J133</f>
        <v/>
      </c>
      <c r="I193" s="222" t="str">
        <f>RS!K133</f>
        <v/>
      </c>
      <c r="J193" s="102" t="str">
        <f>RS!L133</f>
        <v/>
      </c>
      <c r="K193" s="218" t="str">
        <f>RS!M133</f>
        <v/>
      </c>
      <c r="L193" s="218" t="str">
        <f>RS!N133</f>
        <v/>
      </c>
      <c r="M193" s="218" t="str">
        <f>RS!O133</f>
        <v/>
      </c>
      <c r="N193" s="218" t="str">
        <f>RS!P133</f>
        <v/>
      </c>
      <c r="O193" s="218" t="str">
        <f>RS!Q133</f>
        <v/>
      </c>
      <c r="P193" s="222" t="str">
        <f>RS!R133</f>
        <v/>
      </c>
      <c r="Q193" s="222" t="str">
        <f>RS!S133</f>
        <v/>
      </c>
      <c r="R193" s="609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 t="str">
        <f t="shared" si="21"/>
        <v/>
      </c>
      <c r="AF193" s="102" t="str">
        <f t="shared" si="22"/>
        <v/>
      </c>
      <c r="AG193" s="102" t="str">
        <f t="shared" si="23"/>
        <v/>
      </c>
      <c r="AH193" s="102" t="str">
        <f t="shared" si="24"/>
        <v/>
      </c>
      <c r="AI193" s="102" t="str">
        <f t="shared" si="25"/>
        <v/>
      </c>
      <c r="AJ193" s="102" t="str">
        <f t="shared" si="26"/>
        <v/>
      </c>
      <c r="AK193" s="102" t="str">
        <f t="shared" si="27"/>
        <v/>
      </c>
      <c r="AL193" s="102" t="str">
        <f t="shared" si="28"/>
        <v/>
      </c>
      <c r="AM193" s="102" t="str">
        <f t="shared" si="29"/>
        <v/>
      </c>
      <c r="AN193" s="102" t="str">
        <f t="shared" si="30"/>
        <v/>
      </c>
      <c r="AO193" s="102" t="str">
        <f t="shared" si="31"/>
        <v/>
      </c>
      <c r="AP193" s="102" t="str">
        <f t="shared" si="32"/>
        <v/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9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10" t="s">
        <v>150</v>
      </c>
      <c r="D195" s="611">
        <f t="shared" ref="D195:O195" si="37">AVERAGE(AE189:AE194)</f>
        <v>5.4666666666666659</v>
      </c>
      <c r="E195" s="611">
        <f t="shared" si="37"/>
        <v>12.12</v>
      </c>
      <c r="F195" s="612">
        <f t="shared" si="37"/>
        <v>95.666666666666671</v>
      </c>
      <c r="G195" s="611">
        <f t="shared" si="37"/>
        <v>7.8666666666666663</v>
      </c>
      <c r="H195" s="611">
        <f t="shared" si="37"/>
        <v>8.4666666666666668</v>
      </c>
      <c r="I195" s="611">
        <f t="shared" si="37"/>
        <v>70.3</v>
      </c>
      <c r="J195" s="611">
        <f t="shared" si="37"/>
        <v>2.6666666666666665</v>
      </c>
      <c r="K195" s="612">
        <f t="shared" si="37"/>
        <v>20</v>
      </c>
      <c r="L195" s="612">
        <f t="shared" si="37"/>
        <v>57.333333333333336</v>
      </c>
      <c r="M195" s="612">
        <f t="shared" si="37"/>
        <v>3633.3333333333335</v>
      </c>
      <c r="N195" s="612">
        <f t="shared" si="37"/>
        <v>371.33333333333331</v>
      </c>
      <c r="O195" s="612">
        <f t="shared" si="37"/>
        <v>3966.6666666666665</v>
      </c>
      <c r="P195" s="611"/>
      <c r="Q195" s="715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5.4666666666666659</v>
      </c>
      <c r="AF195" s="102">
        <f t="shared" si="22"/>
        <v>12.12</v>
      </c>
      <c r="AG195" s="102">
        <f t="shared" si="23"/>
        <v>95.666666666666671</v>
      </c>
      <c r="AH195" s="102">
        <f t="shared" si="24"/>
        <v>7.8666666666666663</v>
      </c>
      <c r="AI195" s="102">
        <f t="shared" si="25"/>
        <v>8.4666666666666668</v>
      </c>
      <c r="AJ195" s="102">
        <f t="shared" si="26"/>
        <v>70.3</v>
      </c>
      <c r="AK195" s="102">
        <f t="shared" si="27"/>
        <v>2.6666666666666665</v>
      </c>
      <c r="AL195" s="102">
        <f t="shared" si="28"/>
        <v>20</v>
      </c>
      <c r="AM195" s="102">
        <f t="shared" si="29"/>
        <v>57.333333333333336</v>
      </c>
      <c r="AN195" s="102">
        <f t="shared" si="30"/>
        <v>3633.3333333333335</v>
      </c>
      <c r="AO195" s="102">
        <f t="shared" si="31"/>
        <v>371.33333333333331</v>
      </c>
      <c r="AP195" s="102">
        <f t="shared" si="32"/>
        <v>3966.6666666666665</v>
      </c>
      <c r="AQ195" s="102">
        <f t="shared" si="33"/>
        <v>0</v>
      </c>
    </row>
    <row r="196" spans="1:43" s="102" customFormat="1" ht="11.4">
      <c r="A196" s="117"/>
      <c r="C196" s="613" t="s">
        <v>151</v>
      </c>
      <c r="D196" s="614">
        <f t="shared" ref="D196:O196" si="38">MAX(AE189:AE194)</f>
        <v>8.6999999999999993</v>
      </c>
      <c r="E196" s="614">
        <f t="shared" si="38"/>
        <v>13.56</v>
      </c>
      <c r="F196" s="615">
        <f t="shared" si="38"/>
        <v>112</v>
      </c>
      <c r="G196" s="614">
        <f t="shared" si="38"/>
        <v>8.1</v>
      </c>
      <c r="H196" s="614">
        <f t="shared" si="38"/>
        <v>18</v>
      </c>
      <c r="I196" s="614">
        <f t="shared" si="38"/>
        <v>76.7</v>
      </c>
      <c r="J196" s="614">
        <f t="shared" si="38"/>
        <v>3.4</v>
      </c>
      <c r="K196" s="615">
        <f t="shared" si="38"/>
        <v>25</v>
      </c>
      <c r="L196" s="615">
        <f t="shared" si="38"/>
        <v>86</v>
      </c>
      <c r="M196" s="615">
        <f t="shared" si="38"/>
        <v>4600</v>
      </c>
      <c r="N196" s="615">
        <f t="shared" si="38"/>
        <v>910</v>
      </c>
      <c r="O196" s="615">
        <f t="shared" si="38"/>
        <v>5100</v>
      </c>
      <c r="P196" s="614"/>
      <c r="Q196" s="716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8.6999999999999993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25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6" t="s">
        <v>152</v>
      </c>
      <c r="D197" s="617">
        <f t="shared" ref="D197:O197" si="39">MIN(AE189:AE194)</f>
        <v>0.7</v>
      </c>
      <c r="E197" s="617">
        <f t="shared" si="39"/>
        <v>9.6999999999999993</v>
      </c>
      <c r="F197" s="618">
        <f t="shared" si="39"/>
        <v>84</v>
      </c>
      <c r="G197" s="617">
        <f t="shared" si="39"/>
        <v>7.7</v>
      </c>
      <c r="H197" s="617">
        <f t="shared" si="39"/>
        <v>2.2000000000000002</v>
      </c>
      <c r="I197" s="617">
        <f t="shared" si="39"/>
        <v>63.5</v>
      </c>
      <c r="J197" s="617">
        <f t="shared" si="39"/>
        <v>2</v>
      </c>
      <c r="K197" s="618">
        <f t="shared" si="39"/>
        <v>11</v>
      </c>
      <c r="L197" s="618">
        <f t="shared" si="39"/>
        <v>27</v>
      </c>
      <c r="M197" s="618">
        <f t="shared" si="39"/>
        <v>1900</v>
      </c>
      <c r="N197" s="618">
        <f t="shared" si="39"/>
        <v>74</v>
      </c>
      <c r="O197" s="618">
        <f t="shared" si="39"/>
        <v>2300</v>
      </c>
      <c r="P197" s="617"/>
      <c r="Q197" s="717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9.6999999999999993</v>
      </c>
      <c r="AG197" s="102">
        <f t="shared" si="23"/>
        <v>84</v>
      </c>
      <c r="AH197" s="102">
        <f t="shared" si="24"/>
        <v>7.7</v>
      </c>
      <c r="AI197" s="102">
        <f t="shared" si="25"/>
        <v>2.2000000000000002</v>
      </c>
      <c r="AJ197" s="102">
        <f t="shared" si="26"/>
        <v>63.5</v>
      </c>
      <c r="AK197" s="102">
        <f t="shared" si="27"/>
        <v>2</v>
      </c>
      <c r="AL197" s="102">
        <f t="shared" si="28"/>
        <v>11</v>
      </c>
      <c r="AM197" s="102">
        <f t="shared" si="29"/>
        <v>27</v>
      </c>
      <c r="AN197" s="102">
        <f t="shared" si="30"/>
        <v>1900</v>
      </c>
      <c r="AO197" s="102">
        <f t="shared" si="31"/>
        <v>74</v>
      </c>
      <c r="AP197" s="102">
        <f t="shared" si="32"/>
        <v>2300</v>
      </c>
      <c r="AQ197" s="102">
        <f t="shared" si="33"/>
        <v>0</v>
      </c>
    </row>
    <row r="198" spans="1:43" s="102" customFormat="1" ht="11.4">
      <c r="A198" s="117"/>
      <c r="B198" s="411"/>
      <c r="C198" s="619"/>
      <c r="D198" s="620"/>
      <c r="E198" s="620"/>
      <c r="F198" s="621"/>
      <c r="G198" s="620"/>
      <c r="H198" s="620"/>
      <c r="I198" s="620"/>
      <c r="J198" s="622"/>
      <c r="K198" s="622"/>
      <c r="L198" s="622"/>
      <c r="M198" s="622"/>
      <c r="N198" s="622"/>
      <c r="O198" s="622"/>
      <c r="P198" s="620"/>
      <c r="Q198" s="620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9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9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>
        <f>RS!E137</f>
        <v>46154</v>
      </c>
      <c r="D201" s="222">
        <f>RS!F137</f>
        <v>9</v>
      </c>
      <c r="E201" s="222">
        <f>RS!G137</f>
        <v>10.4</v>
      </c>
      <c r="F201" s="218">
        <f>RS!H137</f>
        <v>90</v>
      </c>
      <c r="G201" s="222">
        <f>RS!I137</f>
        <v>7.8</v>
      </c>
      <c r="H201" s="222">
        <f>RS!J137</f>
        <v>5.5</v>
      </c>
      <c r="I201" s="222">
        <f>RS!K137</f>
        <v>64.599999999999994</v>
      </c>
      <c r="J201" s="102">
        <f>RS!L137</f>
        <v>2.6</v>
      </c>
      <c r="K201" s="218">
        <f>RS!M137</f>
        <v>25</v>
      </c>
      <c r="L201" s="218">
        <f>RS!N137</f>
        <v>62</v>
      </c>
      <c r="M201" s="218">
        <f>RS!O137</f>
        <v>1900</v>
      </c>
      <c r="N201" s="218">
        <f>RS!P137</f>
        <v>44</v>
      </c>
      <c r="O201" s="218">
        <f>RS!Q137</f>
        <v>2300</v>
      </c>
      <c r="P201" s="222" t="str">
        <f>RS!R137</f>
        <v/>
      </c>
      <c r="Q201" s="222" t="str">
        <f>RS!S137</f>
        <v/>
      </c>
      <c r="R201" s="609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>
        <f t="shared" si="21"/>
        <v>9</v>
      </c>
      <c r="AF201" s="102">
        <f t="shared" si="22"/>
        <v>10.4</v>
      </c>
      <c r="AG201" s="102">
        <f t="shared" si="23"/>
        <v>90</v>
      </c>
      <c r="AH201" s="102">
        <f t="shared" si="24"/>
        <v>7.8</v>
      </c>
      <c r="AI201" s="102">
        <f t="shared" si="25"/>
        <v>5.5</v>
      </c>
      <c r="AJ201" s="102">
        <f t="shared" si="26"/>
        <v>64.599999999999994</v>
      </c>
      <c r="AK201" s="102">
        <f t="shared" si="27"/>
        <v>2.6</v>
      </c>
      <c r="AL201" s="102">
        <f t="shared" si="28"/>
        <v>25</v>
      </c>
      <c r="AM201" s="102">
        <f t="shared" si="29"/>
        <v>62</v>
      </c>
      <c r="AN201" s="102">
        <f t="shared" si="30"/>
        <v>1900</v>
      </c>
      <c r="AO201" s="102">
        <f t="shared" si="31"/>
        <v>44</v>
      </c>
      <c r="AP201" s="102">
        <f t="shared" si="32"/>
        <v>2300</v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 t="str">
        <f>RS!E138</f>
        <v/>
      </c>
      <c r="D202" s="222" t="str">
        <f>RS!F138</f>
        <v/>
      </c>
      <c r="E202" s="222" t="str">
        <f>RS!G138</f>
        <v/>
      </c>
      <c r="F202" s="218" t="str">
        <f>RS!H138</f>
        <v/>
      </c>
      <c r="G202" s="222" t="str">
        <f>RS!I138</f>
        <v/>
      </c>
      <c r="H202" s="222" t="str">
        <f>RS!J138</f>
        <v/>
      </c>
      <c r="I202" s="222" t="str">
        <f>RS!K138</f>
        <v/>
      </c>
      <c r="J202" s="102" t="str">
        <f>RS!L138</f>
        <v/>
      </c>
      <c r="K202" s="218" t="str">
        <f>RS!M138</f>
        <v/>
      </c>
      <c r="L202" s="218" t="str">
        <f>RS!N138</f>
        <v/>
      </c>
      <c r="M202" s="218" t="str">
        <f>RS!O138</f>
        <v/>
      </c>
      <c r="N202" s="218" t="str">
        <f>RS!P138</f>
        <v/>
      </c>
      <c r="O202" s="218" t="str">
        <f>RS!Q138</f>
        <v/>
      </c>
      <c r="P202" s="222" t="str">
        <f>RS!R138</f>
        <v/>
      </c>
      <c r="Q202" s="222" t="str">
        <f>RS!S138</f>
        <v/>
      </c>
      <c r="R202" s="609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 t="str">
        <f t="shared" si="21"/>
        <v/>
      </c>
      <c r="AF202" s="102" t="str">
        <f t="shared" si="22"/>
        <v/>
      </c>
      <c r="AG202" s="102" t="str">
        <f t="shared" si="23"/>
        <v/>
      </c>
      <c r="AH202" s="102" t="str">
        <f t="shared" si="24"/>
        <v/>
      </c>
      <c r="AI202" s="102" t="str">
        <f t="shared" si="25"/>
        <v/>
      </c>
      <c r="AJ202" s="102" t="str">
        <f t="shared" si="26"/>
        <v/>
      </c>
      <c r="AK202" s="102" t="str">
        <f t="shared" si="27"/>
        <v/>
      </c>
      <c r="AL202" s="102" t="str">
        <f t="shared" si="28"/>
        <v/>
      </c>
      <c r="AM202" s="102" t="str">
        <f t="shared" si="29"/>
        <v/>
      </c>
      <c r="AN202" s="102" t="str">
        <f t="shared" si="30"/>
        <v/>
      </c>
      <c r="AO202" s="102" t="str">
        <f t="shared" si="31"/>
        <v/>
      </c>
      <c r="AP202" s="102" t="str">
        <f t="shared" si="32"/>
        <v/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 t="str">
        <f>RS!E139</f>
        <v/>
      </c>
      <c r="D203" s="222" t="str">
        <f>RS!F139</f>
        <v/>
      </c>
      <c r="E203" s="222" t="str">
        <f>RS!G139</f>
        <v/>
      </c>
      <c r="F203" s="218" t="str">
        <f>RS!H139</f>
        <v/>
      </c>
      <c r="G203" s="222" t="str">
        <f>RS!I139</f>
        <v/>
      </c>
      <c r="H203" s="222" t="str">
        <f>RS!J139</f>
        <v/>
      </c>
      <c r="I203" s="222" t="str">
        <f>RS!K139</f>
        <v/>
      </c>
      <c r="J203" s="102" t="str">
        <f>RS!L139</f>
        <v/>
      </c>
      <c r="K203" s="218" t="str">
        <f>RS!M139</f>
        <v/>
      </c>
      <c r="L203" s="218" t="str">
        <f>RS!N139</f>
        <v/>
      </c>
      <c r="M203" s="218" t="str">
        <f>RS!O139</f>
        <v/>
      </c>
      <c r="N203" s="218" t="str">
        <f>RS!P139</f>
        <v/>
      </c>
      <c r="O203" s="218" t="str">
        <f>RS!Q139</f>
        <v/>
      </c>
      <c r="P203" s="222" t="str">
        <f>RS!R139</f>
        <v/>
      </c>
      <c r="Q203" s="222" t="str">
        <f>RS!S139</f>
        <v/>
      </c>
      <c r="R203" s="609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 t="str">
        <f t="shared" si="21"/>
        <v/>
      </c>
      <c r="AF203" s="102" t="str">
        <f t="shared" si="22"/>
        <v/>
      </c>
      <c r="AG203" s="102" t="str">
        <f t="shared" si="23"/>
        <v/>
      </c>
      <c r="AH203" s="102" t="str">
        <f t="shared" si="24"/>
        <v/>
      </c>
      <c r="AI203" s="102" t="str">
        <f t="shared" si="25"/>
        <v/>
      </c>
      <c r="AJ203" s="102" t="str">
        <f t="shared" si="26"/>
        <v/>
      </c>
      <c r="AK203" s="102" t="str">
        <f t="shared" si="27"/>
        <v/>
      </c>
      <c r="AL203" s="102" t="str">
        <f t="shared" si="28"/>
        <v/>
      </c>
      <c r="AM203" s="102" t="str">
        <f t="shared" si="29"/>
        <v/>
      </c>
      <c r="AN203" s="102" t="str">
        <f t="shared" si="30"/>
        <v/>
      </c>
      <c r="AO203" s="102" t="str">
        <f t="shared" si="31"/>
        <v/>
      </c>
      <c r="AP203" s="102" t="str">
        <f t="shared" si="32"/>
        <v/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9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10" t="s">
        <v>150</v>
      </c>
      <c r="D205" s="611">
        <f t="shared" ref="D205:O205" si="40">AVERAGE(AE199:AE204)</f>
        <v>5.6000000000000005</v>
      </c>
      <c r="E205" s="611">
        <f t="shared" si="40"/>
        <v>12.6</v>
      </c>
      <c r="F205" s="612">
        <f t="shared" si="40"/>
        <v>99.666666666666671</v>
      </c>
      <c r="G205" s="611">
        <f t="shared" si="40"/>
        <v>8.0333333333333332</v>
      </c>
      <c r="H205" s="611">
        <f t="shared" si="40"/>
        <v>5.2</v>
      </c>
      <c r="I205" s="611">
        <f t="shared" si="40"/>
        <v>71.066666666666663</v>
      </c>
      <c r="J205" s="611">
        <f t="shared" si="40"/>
        <v>1.9000000000000001</v>
      </c>
      <c r="K205" s="612">
        <f t="shared" si="40"/>
        <v>20.666666666666668</v>
      </c>
      <c r="L205" s="612">
        <f t="shared" si="40"/>
        <v>44</v>
      </c>
      <c r="M205" s="612">
        <f t="shared" si="40"/>
        <v>3433.3333333333335</v>
      </c>
      <c r="N205" s="612">
        <f t="shared" si="40"/>
        <v>71.333333333333329</v>
      </c>
      <c r="O205" s="612">
        <f t="shared" si="40"/>
        <v>3633.3333333333335</v>
      </c>
      <c r="P205" s="611"/>
      <c r="Q205" s="715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5.6000000000000005</v>
      </c>
      <c r="AF205" s="102">
        <f t="shared" si="22"/>
        <v>12.6</v>
      </c>
      <c r="AG205" s="102">
        <f t="shared" si="23"/>
        <v>99.666666666666671</v>
      </c>
      <c r="AH205" s="102">
        <f t="shared" si="24"/>
        <v>8.0333333333333332</v>
      </c>
      <c r="AI205" s="102">
        <f t="shared" si="25"/>
        <v>5.2</v>
      </c>
      <c r="AJ205" s="102">
        <f t="shared" si="26"/>
        <v>71.066666666666663</v>
      </c>
      <c r="AK205" s="102">
        <f t="shared" si="27"/>
        <v>1.9000000000000001</v>
      </c>
      <c r="AL205" s="102">
        <f t="shared" si="28"/>
        <v>20.666666666666668</v>
      </c>
      <c r="AM205" s="102">
        <f t="shared" si="29"/>
        <v>44</v>
      </c>
      <c r="AN205" s="102">
        <f t="shared" si="30"/>
        <v>3433.3333333333335</v>
      </c>
      <c r="AO205" s="102">
        <f t="shared" si="31"/>
        <v>71.333333333333329</v>
      </c>
      <c r="AP205" s="102">
        <f t="shared" si="32"/>
        <v>3633.3333333333335</v>
      </c>
      <c r="AQ205" s="102">
        <f t="shared" si="33"/>
        <v>0</v>
      </c>
    </row>
    <row r="206" spans="1:43" s="102" customFormat="1" ht="11.4">
      <c r="A206" s="117"/>
      <c r="C206" s="613" t="s">
        <v>151</v>
      </c>
      <c r="D206" s="614">
        <f t="shared" ref="D206:O206" si="41">MAX(AE199:AE204)</f>
        <v>9</v>
      </c>
      <c r="E206" s="614">
        <f t="shared" si="41"/>
        <v>14.1</v>
      </c>
      <c r="F206" s="615">
        <f t="shared" si="41"/>
        <v>116</v>
      </c>
      <c r="G206" s="614">
        <f t="shared" si="41"/>
        <v>8.3000000000000007</v>
      </c>
      <c r="H206" s="614">
        <f t="shared" si="41"/>
        <v>8.6999999999999993</v>
      </c>
      <c r="I206" s="614">
        <f t="shared" si="41"/>
        <v>79.099999999999994</v>
      </c>
      <c r="J206" s="614">
        <f t="shared" si="41"/>
        <v>2.6</v>
      </c>
      <c r="K206" s="615">
        <f t="shared" si="41"/>
        <v>28</v>
      </c>
      <c r="L206" s="615">
        <f t="shared" si="41"/>
        <v>62</v>
      </c>
      <c r="M206" s="615">
        <f t="shared" si="41"/>
        <v>4300</v>
      </c>
      <c r="N206" s="615">
        <f t="shared" si="41"/>
        <v>160</v>
      </c>
      <c r="O206" s="615">
        <f t="shared" si="41"/>
        <v>4400</v>
      </c>
      <c r="P206" s="614"/>
      <c r="Q206" s="716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9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2.6</v>
      </c>
      <c r="AL206" s="102">
        <f t="shared" si="28"/>
        <v>28</v>
      </c>
      <c r="AM206" s="102">
        <f t="shared" si="29"/>
        <v>62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6" t="s">
        <v>152</v>
      </c>
      <c r="D207" s="617">
        <f t="shared" ref="D207:O207" si="42">MIN(AE199:AE204)</f>
        <v>1</v>
      </c>
      <c r="E207" s="617">
        <f t="shared" si="42"/>
        <v>10.4</v>
      </c>
      <c r="F207" s="618">
        <f t="shared" si="42"/>
        <v>90</v>
      </c>
      <c r="G207" s="617">
        <f t="shared" si="42"/>
        <v>7.8</v>
      </c>
      <c r="H207" s="617">
        <f t="shared" si="42"/>
        <v>1.4</v>
      </c>
      <c r="I207" s="617">
        <f t="shared" si="42"/>
        <v>64.599999999999994</v>
      </c>
      <c r="J207" s="617">
        <f t="shared" si="42"/>
        <v>1.5</v>
      </c>
      <c r="K207" s="618">
        <f t="shared" si="42"/>
        <v>9</v>
      </c>
      <c r="L207" s="618">
        <f t="shared" si="42"/>
        <v>20</v>
      </c>
      <c r="M207" s="618">
        <f t="shared" si="42"/>
        <v>1900</v>
      </c>
      <c r="N207" s="618">
        <f t="shared" si="42"/>
        <v>10</v>
      </c>
      <c r="O207" s="618">
        <f t="shared" si="42"/>
        <v>2300</v>
      </c>
      <c r="P207" s="617"/>
      <c r="Q207" s="717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10.4</v>
      </c>
      <c r="AG207" s="102">
        <f t="shared" si="23"/>
        <v>90</v>
      </c>
      <c r="AH207" s="102">
        <f t="shared" si="24"/>
        <v>7.8</v>
      </c>
      <c r="AI207" s="102">
        <f t="shared" si="25"/>
        <v>1.4</v>
      </c>
      <c r="AJ207" s="102">
        <f t="shared" si="26"/>
        <v>64.599999999999994</v>
      </c>
      <c r="AK207" s="102">
        <f t="shared" si="27"/>
        <v>1.5</v>
      </c>
      <c r="AL207" s="102">
        <f t="shared" si="28"/>
        <v>9</v>
      </c>
      <c r="AM207" s="102">
        <f t="shared" si="29"/>
        <v>20</v>
      </c>
      <c r="AN207" s="102">
        <f t="shared" si="30"/>
        <v>1900</v>
      </c>
      <c r="AO207" s="102">
        <f t="shared" si="31"/>
        <v>10</v>
      </c>
      <c r="AP207" s="102">
        <f t="shared" si="32"/>
        <v>2300</v>
      </c>
      <c r="AQ207" s="102">
        <f t="shared" si="33"/>
        <v>0</v>
      </c>
    </row>
    <row r="208" spans="1:43" s="102" customFormat="1" ht="11.4">
      <c r="A208" s="117"/>
      <c r="B208" s="411"/>
      <c r="C208" s="619"/>
      <c r="D208" s="620"/>
      <c r="E208" s="620"/>
      <c r="F208" s="621"/>
      <c r="G208" s="620"/>
      <c r="H208" s="620"/>
      <c r="I208" s="620"/>
      <c r="J208" s="622"/>
      <c r="K208" s="622"/>
      <c r="L208" s="622"/>
      <c r="M208" s="622"/>
      <c r="N208" s="622"/>
      <c r="O208" s="622"/>
      <c r="P208" s="620"/>
      <c r="Q208" s="620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9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9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9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9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>
        <f>RS!E145</f>
        <v>46153</v>
      </c>
      <c r="D213" s="222">
        <f>RS!F145</f>
        <v>10.1</v>
      </c>
      <c r="E213" s="222">
        <f>RS!G145</f>
        <v>8.92</v>
      </c>
      <c r="F213" s="218">
        <f>RS!H145</f>
        <v>79</v>
      </c>
      <c r="G213" s="222">
        <f>RS!I145</f>
        <v>7.8</v>
      </c>
      <c r="H213" s="222">
        <f>RS!J145</f>
        <v>4.0999999999999996</v>
      </c>
      <c r="I213" s="222">
        <f>RS!K145</f>
        <v>42.4</v>
      </c>
      <c r="J213" s="102">
        <f>RS!L145</f>
        <v>2</v>
      </c>
      <c r="K213" s="218">
        <f>RS!M145</f>
        <v>9.8000000000000007</v>
      </c>
      <c r="L213" s="218">
        <f>RS!N145</f>
        <v>58</v>
      </c>
      <c r="M213" s="218">
        <f>RS!O145</f>
        <v>320</v>
      </c>
      <c r="N213" s="218">
        <f>RS!P145</f>
        <v>24</v>
      </c>
      <c r="O213" s="218">
        <f>RS!Q145</f>
        <v>930</v>
      </c>
      <c r="P213" s="222" t="str">
        <f>RS!R145</f>
        <v/>
      </c>
      <c r="Q213" s="222" t="str">
        <f>RS!S145</f>
        <v/>
      </c>
      <c r="R213" s="609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>
        <f t="shared" si="21"/>
        <v>10.1</v>
      </c>
      <c r="AF213" s="102">
        <f t="shared" si="22"/>
        <v>8.92</v>
      </c>
      <c r="AG213" s="102">
        <f t="shared" si="23"/>
        <v>79</v>
      </c>
      <c r="AH213" s="102">
        <f t="shared" si="24"/>
        <v>7.8</v>
      </c>
      <c r="AI213" s="102">
        <f t="shared" si="25"/>
        <v>4.0999999999999996</v>
      </c>
      <c r="AJ213" s="102">
        <f t="shared" si="26"/>
        <v>42.4</v>
      </c>
      <c r="AK213" s="102">
        <f t="shared" si="27"/>
        <v>2</v>
      </c>
      <c r="AL213" s="102">
        <f t="shared" si="28"/>
        <v>9.8000000000000007</v>
      </c>
      <c r="AM213" s="102">
        <f t="shared" si="29"/>
        <v>58</v>
      </c>
      <c r="AN213" s="102">
        <f t="shared" si="30"/>
        <v>320</v>
      </c>
      <c r="AO213" s="102">
        <f t="shared" si="31"/>
        <v>24</v>
      </c>
      <c r="AP213" s="102">
        <f t="shared" si="32"/>
        <v>930</v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>
        <f>RS!E146</f>
        <v>46183</v>
      </c>
      <c r="D214" s="222">
        <f>RS!F146</f>
        <v>14.6</v>
      </c>
      <c r="E214" s="222">
        <f>RS!G146</f>
        <v>8.26</v>
      </c>
      <c r="F214" s="218">
        <f>RS!H146</f>
        <v>81</v>
      </c>
      <c r="G214" s="222">
        <f>RS!I146</f>
        <v>7.9</v>
      </c>
      <c r="H214" s="222">
        <f>RS!J146</f>
        <v>11</v>
      </c>
      <c r="I214" s="222">
        <f>RS!K146</f>
        <v>42.7</v>
      </c>
      <c r="J214" s="102">
        <f>RS!L146</f>
        <v>1.8</v>
      </c>
      <c r="K214" s="218">
        <f>RS!M146</f>
        <v>34</v>
      </c>
      <c r="L214" s="218">
        <f>RS!N146</f>
        <v>96</v>
      </c>
      <c r="M214" s="218">
        <f>RS!O146</f>
        <v>83</v>
      </c>
      <c r="N214" s="218">
        <f>RS!P146</f>
        <v>45</v>
      </c>
      <c r="O214" s="218">
        <f>RS!Q146</f>
        <v>940</v>
      </c>
      <c r="P214" s="222" t="str">
        <f>RS!R146</f>
        <v/>
      </c>
      <c r="Q214" s="222" t="str">
        <f>RS!S146</f>
        <v/>
      </c>
      <c r="R214" s="609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>
        <f t="shared" si="21"/>
        <v>14.6</v>
      </c>
      <c r="AF214" s="102">
        <f t="shared" si="22"/>
        <v>8.26</v>
      </c>
      <c r="AG214" s="102">
        <f t="shared" si="23"/>
        <v>81</v>
      </c>
      <c r="AH214" s="102">
        <f t="shared" si="24"/>
        <v>7.9</v>
      </c>
      <c r="AI214" s="102">
        <f t="shared" si="25"/>
        <v>11</v>
      </c>
      <c r="AJ214" s="102">
        <f t="shared" si="26"/>
        <v>42.7</v>
      </c>
      <c r="AK214" s="102">
        <f t="shared" si="27"/>
        <v>1.8</v>
      </c>
      <c r="AL214" s="102">
        <f t="shared" si="28"/>
        <v>34</v>
      </c>
      <c r="AM214" s="102">
        <f t="shared" si="29"/>
        <v>96</v>
      </c>
      <c r="AN214" s="102">
        <f t="shared" si="30"/>
        <v>83</v>
      </c>
      <c r="AO214" s="102">
        <f t="shared" si="31"/>
        <v>45</v>
      </c>
      <c r="AP214" s="102">
        <f t="shared" si="32"/>
        <v>940</v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 t="str">
        <f>RS!E147</f>
        <v/>
      </c>
      <c r="D215" s="222" t="str">
        <f>RS!F147</f>
        <v/>
      </c>
      <c r="E215" s="222" t="str">
        <f>RS!G147</f>
        <v/>
      </c>
      <c r="F215" s="218" t="str">
        <f>RS!H147</f>
        <v/>
      </c>
      <c r="G215" s="222" t="str">
        <f>RS!I147</f>
        <v/>
      </c>
      <c r="H215" s="222" t="str">
        <f>RS!J147</f>
        <v/>
      </c>
      <c r="I215" s="222" t="str">
        <f>RS!K147</f>
        <v/>
      </c>
      <c r="J215" s="102" t="str">
        <f>RS!L147</f>
        <v/>
      </c>
      <c r="K215" s="218" t="str">
        <f>RS!M147</f>
        <v/>
      </c>
      <c r="L215" s="218" t="str">
        <f>RS!N147</f>
        <v/>
      </c>
      <c r="M215" s="218" t="str">
        <f>RS!O147</f>
        <v/>
      </c>
      <c r="N215" s="218" t="str">
        <f>RS!P147</f>
        <v/>
      </c>
      <c r="O215" s="218" t="str">
        <f>RS!Q147</f>
        <v/>
      </c>
      <c r="P215" s="222" t="str">
        <f>RS!R147</f>
        <v/>
      </c>
      <c r="Q215" s="222" t="str">
        <f>RS!S147</f>
        <v/>
      </c>
      <c r="R215" s="609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 t="str">
        <f t="shared" si="21"/>
        <v/>
      </c>
      <c r="AF215" s="102" t="str">
        <f t="shared" si="22"/>
        <v/>
      </c>
      <c r="AG215" s="102" t="str">
        <f t="shared" si="23"/>
        <v/>
      </c>
      <c r="AH215" s="102" t="str">
        <f t="shared" si="24"/>
        <v/>
      </c>
      <c r="AI215" s="102" t="str">
        <f t="shared" si="25"/>
        <v/>
      </c>
      <c r="AJ215" s="102" t="str">
        <f t="shared" si="26"/>
        <v/>
      </c>
      <c r="AK215" s="102" t="str">
        <f t="shared" si="27"/>
        <v/>
      </c>
      <c r="AL215" s="102" t="str">
        <f t="shared" si="28"/>
        <v/>
      </c>
      <c r="AM215" s="102" t="str">
        <f t="shared" si="29"/>
        <v/>
      </c>
      <c r="AN215" s="102" t="str">
        <f t="shared" si="30"/>
        <v/>
      </c>
      <c r="AO215" s="102" t="str">
        <f t="shared" si="31"/>
        <v/>
      </c>
      <c r="AP215" s="102" t="str">
        <f t="shared" si="32"/>
        <v/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 t="str">
        <f>RS!E148</f>
        <v/>
      </c>
      <c r="D216" s="222" t="str">
        <f>RS!F148</f>
        <v/>
      </c>
      <c r="E216" s="222" t="str">
        <f>RS!G148</f>
        <v/>
      </c>
      <c r="F216" s="218" t="str">
        <f>RS!H148</f>
        <v/>
      </c>
      <c r="G216" s="222" t="str">
        <f>RS!I148</f>
        <v/>
      </c>
      <c r="H216" s="222" t="str">
        <f>RS!J148</f>
        <v/>
      </c>
      <c r="I216" s="222" t="str">
        <f>RS!K148</f>
        <v/>
      </c>
      <c r="J216" s="102" t="str">
        <f>RS!L148</f>
        <v/>
      </c>
      <c r="K216" s="218" t="str">
        <f>RS!M148</f>
        <v/>
      </c>
      <c r="L216" s="218" t="str">
        <f>RS!N148</f>
        <v/>
      </c>
      <c r="M216" s="218" t="str">
        <f>RS!O148</f>
        <v/>
      </c>
      <c r="N216" s="218" t="str">
        <f>RS!P148</f>
        <v/>
      </c>
      <c r="O216" s="218" t="str">
        <f>RS!Q148</f>
        <v/>
      </c>
      <c r="P216" s="222" t="str">
        <f>RS!R148</f>
        <v/>
      </c>
      <c r="Q216" s="222" t="str">
        <f>RS!S148</f>
        <v/>
      </c>
      <c r="R216" s="609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 t="str">
        <f t="shared" si="21"/>
        <v/>
      </c>
      <c r="AF216" s="102" t="str">
        <f t="shared" si="22"/>
        <v/>
      </c>
      <c r="AG216" s="102" t="str">
        <f t="shared" si="23"/>
        <v/>
      </c>
      <c r="AH216" s="102" t="str">
        <f t="shared" si="24"/>
        <v/>
      </c>
      <c r="AI216" s="102" t="str">
        <f t="shared" si="25"/>
        <v/>
      </c>
      <c r="AJ216" s="102" t="str">
        <f t="shared" si="26"/>
        <v/>
      </c>
      <c r="AK216" s="102" t="str">
        <f t="shared" si="27"/>
        <v/>
      </c>
      <c r="AL216" s="102" t="str">
        <f t="shared" si="28"/>
        <v/>
      </c>
      <c r="AM216" s="102" t="str">
        <f t="shared" si="29"/>
        <v/>
      </c>
      <c r="AN216" s="102" t="str">
        <f t="shared" si="30"/>
        <v/>
      </c>
      <c r="AO216" s="102" t="str">
        <f t="shared" si="31"/>
        <v/>
      </c>
      <c r="AP216" s="102" t="str">
        <f t="shared" si="32"/>
        <v/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 t="str">
        <f>RS!E149</f>
        <v/>
      </c>
      <c r="D217" s="222" t="str">
        <f>RS!F149</f>
        <v/>
      </c>
      <c r="E217" s="222" t="str">
        <f>RS!G149</f>
        <v/>
      </c>
      <c r="F217" s="218" t="str">
        <f>RS!H149</f>
        <v/>
      </c>
      <c r="G217" s="222" t="str">
        <f>RS!I149</f>
        <v/>
      </c>
      <c r="H217" s="222" t="str">
        <f>RS!J149</f>
        <v/>
      </c>
      <c r="I217" s="222" t="str">
        <f>RS!K149</f>
        <v/>
      </c>
      <c r="J217" s="102" t="str">
        <f>RS!L149</f>
        <v/>
      </c>
      <c r="K217" s="218" t="str">
        <f>RS!M149</f>
        <v/>
      </c>
      <c r="L217" s="218" t="str">
        <f>RS!N149</f>
        <v/>
      </c>
      <c r="M217" s="218" t="str">
        <f>RS!O149</f>
        <v/>
      </c>
      <c r="N217" s="218" t="str">
        <f>RS!P149</f>
        <v/>
      </c>
      <c r="O217" s="218" t="str">
        <f>RS!Q149</f>
        <v/>
      </c>
      <c r="P217" s="222" t="str">
        <f>RS!R149</f>
        <v/>
      </c>
      <c r="Q217" s="222" t="str">
        <f>RS!S149</f>
        <v/>
      </c>
      <c r="R217" s="609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 t="str">
        <f t="shared" si="21"/>
        <v/>
      </c>
      <c r="AF217" s="102" t="str">
        <f t="shared" si="22"/>
        <v/>
      </c>
      <c r="AG217" s="102" t="str">
        <f t="shared" si="23"/>
        <v/>
      </c>
      <c r="AH217" s="102" t="str">
        <f t="shared" si="24"/>
        <v/>
      </c>
      <c r="AI217" s="102" t="str">
        <f t="shared" si="25"/>
        <v/>
      </c>
      <c r="AJ217" s="102" t="str">
        <f t="shared" si="26"/>
        <v/>
      </c>
      <c r="AK217" s="102" t="str">
        <f t="shared" si="27"/>
        <v/>
      </c>
      <c r="AL217" s="102" t="str">
        <f t="shared" si="28"/>
        <v/>
      </c>
      <c r="AM217" s="102" t="str">
        <f t="shared" si="29"/>
        <v/>
      </c>
      <c r="AN217" s="102" t="str">
        <f t="shared" si="30"/>
        <v/>
      </c>
      <c r="AO217" s="102" t="str">
        <f t="shared" si="31"/>
        <v/>
      </c>
      <c r="AP217" s="102" t="str">
        <f t="shared" si="32"/>
        <v/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9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9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9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10" t="s">
        <v>150</v>
      </c>
      <c r="D221" s="611">
        <f t="shared" ref="D221:O221" si="43">AVERAGE(AE209:AE220)</f>
        <v>6.95</v>
      </c>
      <c r="E221" s="611">
        <f t="shared" si="43"/>
        <v>10.958333333333334</v>
      </c>
      <c r="F221" s="612">
        <f t="shared" si="43"/>
        <v>88.5</v>
      </c>
      <c r="G221" s="611">
        <f t="shared" si="43"/>
        <v>7.8666666666666663</v>
      </c>
      <c r="H221" s="611">
        <f t="shared" si="43"/>
        <v>5.25</v>
      </c>
      <c r="I221" s="611">
        <f t="shared" si="43"/>
        <v>43.033333333333331</v>
      </c>
      <c r="J221" s="611">
        <f t="shared" si="43"/>
        <v>1.7166666666666668</v>
      </c>
      <c r="K221" s="612">
        <f t="shared" si="43"/>
        <v>17.233333333333334</v>
      </c>
      <c r="L221" s="612">
        <f t="shared" si="43"/>
        <v>57.666666666666664</v>
      </c>
      <c r="M221" s="612">
        <f t="shared" si="43"/>
        <v>657.16666666666663</v>
      </c>
      <c r="N221" s="612">
        <f t="shared" si="43"/>
        <v>48.833333333333336</v>
      </c>
      <c r="O221" s="612">
        <f t="shared" si="43"/>
        <v>1245</v>
      </c>
      <c r="P221" s="611"/>
      <c r="Q221" s="715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6.95</v>
      </c>
      <c r="AF221" s="102">
        <f t="shared" si="22"/>
        <v>10.958333333333334</v>
      </c>
      <c r="AG221" s="102">
        <f t="shared" si="23"/>
        <v>88.5</v>
      </c>
      <c r="AH221" s="102">
        <f t="shared" si="24"/>
        <v>7.8666666666666663</v>
      </c>
      <c r="AI221" s="102">
        <f t="shared" si="25"/>
        <v>5.25</v>
      </c>
      <c r="AJ221" s="102">
        <f t="shared" si="26"/>
        <v>43.033333333333331</v>
      </c>
      <c r="AK221" s="102">
        <f t="shared" si="27"/>
        <v>1.7166666666666668</v>
      </c>
      <c r="AL221" s="102">
        <f t="shared" si="28"/>
        <v>17.233333333333334</v>
      </c>
      <c r="AM221" s="102">
        <f t="shared" si="29"/>
        <v>57.666666666666664</v>
      </c>
      <c r="AN221" s="102">
        <f t="shared" si="30"/>
        <v>657.16666666666663</v>
      </c>
      <c r="AO221" s="102">
        <f t="shared" si="31"/>
        <v>48.833333333333336</v>
      </c>
      <c r="AP221" s="102">
        <f t="shared" si="32"/>
        <v>1245</v>
      </c>
      <c r="AQ221" s="102">
        <f t="shared" si="33"/>
        <v>0</v>
      </c>
    </row>
    <row r="222" spans="1:43" s="102" customFormat="1" ht="11.4">
      <c r="A222" s="117"/>
      <c r="C222" s="613" t="s">
        <v>151</v>
      </c>
      <c r="D222" s="614">
        <f t="shared" ref="D222:O222" si="44">MAX(AE209:AE220)</f>
        <v>14.6</v>
      </c>
      <c r="E222" s="614">
        <f t="shared" si="44"/>
        <v>13.47</v>
      </c>
      <c r="F222" s="615">
        <f t="shared" si="44"/>
        <v>96</v>
      </c>
      <c r="G222" s="614">
        <f t="shared" si="44"/>
        <v>7.9</v>
      </c>
      <c r="H222" s="614">
        <f t="shared" si="44"/>
        <v>11</v>
      </c>
      <c r="I222" s="614">
        <f t="shared" si="44"/>
        <v>45.9</v>
      </c>
      <c r="J222" s="614">
        <f t="shared" si="44"/>
        <v>2</v>
      </c>
      <c r="K222" s="615">
        <f t="shared" si="44"/>
        <v>34</v>
      </c>
      <c r="L222" s="615">
        <f t="shared" si="44"/>
        <v>96</v>
      </c>
      <c r="M222" s="615">
        <f t="shared" si="44"/>
        <v>1200</v>
      </c>
      <c r="N222" s="615">
        <f t="shared" si="44"/>
        <v>110</v>
      </c>
      <c r="O222" s="615">
        <f t="shared" si="44"/>
        <v>1600</v>
      </c>
      <c r="P222" s="614"/>
      <c r="Q222" s="716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14.6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11</v>
      </c>
      <c r="AJ222" s="102">
        <f t="shared" si="26"/>
        <v>45.9</v>
      </c>
      <c r="AK222" s="102">
        <f t="shared" si="27"/>
        <v>2</v>
      </c>
      <c r="AL222" s="102">
        <f t="shared" si="28"/>
        <v>34</v>
      </c>
      <c r="AM222" s="102">
        <f t="shared" si="29"/>
        <v>96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6" t="s">
        <v>152</v>
      </c>
      <c r="D223" s="617">
        <f t="shared" ref="D223:O223" si="45">MIN(AE209:AE220)</f>
        <v>0.2</v>
      </c>
      <c r="E223" s="617">
        <f t="shared" si="45"/>
        <v>8.26</v>
      </c>
      <c r="F223" s="618">
        <f t="shared" si="45"/>
        <v>79</v>
      </c>
      <c r="G223" s="617">
        <f t="shared" si="45"/>
        <v>7.8</v>
      </c>
      <c r="H223" s="617">
        <f t="shared" si="45"/>
        <v>3.5</v>
      </c>
      <c r="I223" s="617">
        <f t="shared" si="45"/>
        <v>42.1</v>
      </c>
      <c r="J223" s="617">
        <f t="shared" si="45"/>
        <v>1.1000000000000001</v>
      </c>
      <c r="K223" s="618">
        <f t="shared" si="45"/>
        <v>6</v>
      </c>
      <c r="L223" s="618">
        <f t="shared" si="45"/>
        <v>40</v>
      </c>
      <c r="M223" s="618">
        <f t="shared" si="45"/>
        <v>83</v>
      </c>
      <c r="N223" s="618">
        <f t="shared" si="45"/>
        <v>15</v>
      </c>
      <c r="O223" s="618">
        <f t="shared" si="45"/>
        <v>930</v>
      </c>
      <c r="P223" s="617"/>
      <c r="Q223" s="717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8.26</v>
      </c>
      <c r="AG223" s="102">
        <f t="shared" si="23"/>
        <v>79</v>
      </c>
      <c r="AH223" s="102">
        <f t="shared" si="24"/>
        <v>7.8</v>
      </c>
      <c r="AI223" s="102">
        <f t="shared" si="25"/>
        <v>3.5</v>
      </c>
      <c r="AJ223" s="102">
        <f t="shared" si="26"/>
        <v>42.1</v>
      </c>
      <c r="AK223" s="102">
        <f t="shared" si="27"/>
        <v>1.1000000000000001</v>
      </c>
      <c r="AL223" s="102">
        <f t="shared" si="28"/>
        <v>6</v>
      </c>
      <c r="AM223" s="102">
        <f t="shared" si="29"/>
        <v>40</v>
      </c>
      <c r="AN223" s="102">
        <f t="shared" si="30"/>
        <v>83</v>
      </c>
      <c r="AO223" s="102">
        <f t="shared" si="31"/>
        <v>15</v>
      </c>
      <c r="AP223" s="102">
        <f t="shared" si="32"/>
        <v>930</v>
      </c>
      <c r="AQ223" s="102">
        <f t="shared" si="33"/>
        <v>0</v>
      </c>
    </row>
    <row r="224" spans="1:43" s="102" customFormat="1" ht="11.4">
      <c r="A224" s="117"/>
      <c r="B224" s="411"/>
      <c r="C224" s="619"/>
      <c r="D224" s="620"/>
      <c r="E224" s="620"/>
      <c r="F224" s="621"/>
      <c r="G224" s="620"/>
      <c r="H224" s="620"/>
      <c r="I224" s="620"/>
      <c r="J224" s="622"/>
      <c r="K224" s="622"/>
      <c r="L224" s="622"/>
      <c r="M224" s="622"/>
      <c r="N224" s="622"/>
      <c r="O224" s="622"/>
      <c r="P224" s="620"/>
      <c r="Q224" s="620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9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9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>
        <f>RS!E155</f>
        <v>46153</v>
      </c>
      <c r="D227" s="222">
        <f>RS!F155</f>
        <v>13.6</v>
      </c>
      <c r="E227" s="222">
        <f>RS!G155</f>
        <v>9.83</v>
      </c>
      <c r="F227" s="218">
        <f>RS!H155</f>
        <v>95</v>
      </c>
      <c r="G227" s="222">
        <f>RS!I155</f>
        <v>8.1999999999999993</v>
      </c>
      <c r="H227" s="222">
        <f>RS!J155</f>
        <v>6.9</v>
      </c>
      <c r="I227" s="222">
        <f>RS!K155</f>
        <v>35.700000000000003</v>
      </c>
      <c r="J227" s="102">
        <f>RS!L155</f>
        <v>3.1</v>
      </c>
      <c r="K227" s="218" t="str">
        <f>RS!M155</f>
        <v>&lt;2</v>
      </c>
      <c r="L227" s="218">
        <f>RS!N155</f>
        <v>58</v>
      </c>
      <c r="M227" s="218">
        <f>RS!O155</f>
        <v>410</v>
      </c>
      <c r="N227" s="218">
        <f>RS!P155</f>
        <v>51</v>
      </c>
      <c r="O227" s="218">
        <f>RS!Q155</f>
        <v>1400</v>
      </c>
      <c r="P227" s="222" t="str">
        <f>RS!R155</f>
        <v/>
      </c>
      <c r="Q227" s="222" t="str">
        <f>RS!S155</f>
        <v/>
      </c>
      <c r="R227" s="609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>
        <f t="shared" si="46"/>
        <v>13.6</v>
      </c>
      <c r="AF227" s="102">
        <f t="shared" si="47"/>
        <v>9.83</v>
      </c>
      <c r="AG227" s="102">
        <f t="shared" si="48"/>
        <v>95</v>
      </c>
      <c r="AH227" s="102">
        <f t="shared" si="49"/>
        <v>8.1999999999999993</v>
      </c>
      <c r="AI227" s="102">
        <f t="shared" si="50"/>
        <v>6.9</v>
      </c>
      <c r="AJ227" s="102">
        <f t="shared" si="51"/>
        <v>35.700000000000003</v>
      </c>
      <c r="AK227" s="102">
        <f t="shared" si="52"/>
        <v>3.1</v>
      </c>
      <c r="AL227" s="102">
        <f t="shared" si="53"/>
        <v>2</v>
      </c>
      <c r="AM227" s="102">
        <f t="shared" si="54"/>
        <v>58</v>
      </c>
      <c r="AN227" s="102">
        <f t="shared" si="55"/>
        <v>410</v>
      </c>
      <c r="AO227" s="102">
        <f t="shared" si="56"/>
        <v>51</v>
      </c>
      <c r="AP227" s="102">
        <f t="shared" si="57"/>
        <v>1400</v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 t="str">
        <f>RS!E156</f>
        <v/>
      </c>
      <c r="D228" s="222" t="str">
        <f>RS!F156</f>
        <v/>
      </c>
      <c r="E228" s="222" t="str">
        <f>RS!G156</f>
        <v/>
      </c>
      <c r="F228" s="218" t="str">
        <f>RS!H156</f>
        <v/>
      </c>
      <c r="G228" s="222" t="str">
        <f>RS!I156</f>
        <v/>
      </c>
      <c r="H228" s="222" t="str">
        <f>RS!J156</f>
        <v/>
      </c>
      <c r="I228" s="222" t="str">
        <f>RS!K156</f>
        <v/>
      </c>
      <c r="J228" s="102" t="str">
        <f>RS!L156</f>
        <v/>
      </c>
      <c r="K228" s="218" t="str">
        <f>RS!M156</f>
        <v/>
      </c>
      <c r="L228" s="218" t="str">
        <f>RS!N156</f>
        <v/>
      </c>
      <c r="M228" s="218" t="str">
        <f>RS!O156</f>
        <v/>
      </c>
      <c r="N228" s="218" t="str">
        <f>RS!P156</f>
        <v/>
      </c>
      <c r="O228" s="218" t="str">
        <f>RS!Q156</f>
        <v/>
      </c>
      <c r="P228" s="222" t="str">
        <f>RS!R156</f>
        <v/>
      </c>
      <c r="Q228" s="222" t="str">
        <f>RS!S156</f>
        <v/>
      </c>
      <c r="R228" s="609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 t="str">
        <f t="shared" si="46"/>
        <v/>
      </c>
      <c r="AF228" s="102" t="str">
        <f t="shared" si="47"/>
        <v/>
      </c>
      <c r="AG228" s="102" t="str">
        <f t="shared" si="48"/>
        <v/>
      </c>
      <c r="AH228" s="102" t="str">
        <f t="shared" si="49"/>
        <v/>
      </c>
      <c r="AI228" s="102" t="str">
        <f t="shared" si="50"/>
        <v/>
      </c>
      <c r="AJ228" s="102" t="str">
        <f t="shared" si="51"/>
        <v/>
      </c>
      <c r="AK228" s="102" t="str">
        <f t="shared" si="52"/>
        <v/>
      </c>
      <c r="AL228" s="102" t="str">
        <f t="shared" si="53"/>
        <v/>
      </c>
      <c r="AM228" s="102" t="str">
        <f t="shared" si="54"/>
        <v/>
      </c>
      <c r="AN228" s="102" t="str">
        <f t="shared" si="55"/>
        <v/>
      </c>
      <c r="AO228" s="102" t="str">
        <f t="shared" si="56"/>
        <v/>
      </c>
      <c r="AP228" s="102" t="str">
        <f t="shared" si="57"/>
        <v/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 t="str">
        <f>RS!E157</f>
        <v/>
      </c>
      <c r="D229" s="222" t="str">
        <f>RS!F157</f>
        <v/>
      </c>
      <c r="E229" s="222" t="str">
        <f>RS!G157</f>
        <v/>
      </c>
      <c r="F229" s="218" t="str">
        <f>RS!H157</f>
        <v/>
      </c>
      <c r="G229" s="222" t="str">
        <f>RS!I157</f>
        <v/>
      </c>
      <c r="H229" s="222" t="str">
        <f>RS!J157</f>
        <v/>
      </c>
      <c r="I229" s="222" t="str">
        <f>RS!K157</f>
        <v/>
      </c>
      <c r="J229" s="102" t="str">
        <f>RS!L157</f>
        <v/>
      </c>
      <c r="K229" s="218" t="str">
        <f>RS!M157</f>
        <v/>
      </c>
      <c r="L229" s="218" t="str">
        <f>RS!N157</f>
        <v/>
      </c>
      <c r="M229" s="218" t="str">
        <f>RS!O157</f>
        <v/>
      </c>
      <c r="N229" s="218" t="str">
        <f>RS!P157</f>
        <v/>
      </c>
      <c r="O229" s="218" t="str">
        <f>RS!Q157</f>
        <v/>
      </c>
      <c r="P229" s="222" t="str">
        <f>RS!R157</f>
        <v/>
      </c>
      <c r="Q229" s="222" t="str">
        <f>RS!S157</f>
        <v/>
      </c>
      <c r="R229" s="609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 t="str">
        <f t="shared" si="46"/>
        <v/>
      </c>
      <c r="AF229" s="102" t="str">
        <f t="shared" si="47"/>
        <v/>
      </c>
      <c r="AG229" s="102" t="str">
        <f t="shared" si="48"/>
        <v/>
      </c>
      <c r="AH229" s="102" t="str">
        <f t="shared" si="49"/>
        <v/>
      </c>
      <c r="AI229" s="102" t="str">
        <f t="shared" si="50"/>
        <v/>
      </c>
      <c r="AJ229" s="102" t="str">
        <f t="shared" si="51"/>
        <v/>
      </c>
      <c r="AK229" s="102" t="str">
        <f t="shared" si="52"/>
        <v/>
      </c>
      <c r="AL229" s="102" t="str">
        <f t="shared" si="53"/>
        <v/>
      </c>
      <c r="AM229" s="102" t="str">
        <f t="shared" si="54"/>
        <v/>
      </c>
      <c r="AN229" s="102" t="str">
        <f t="shared" si="55"/>
        <v/>
      </c>
      <c r="AO229" s="102" t="str">
        <f t="shared" si="56"/>
        <v/>
      </c>
      <c r="AP229" s="102" t="str">
        <f t="shared" si="57"/>
        <v/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9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10" t="s">
        <v>150</v>
      </c>
      <c r="D231" s="611">
        <f t="shared" ref="D231:O231" si="59">AVERAGE(AE225:AE230)</f>
        <v>6.666666666666667</v>
      </c>
      <c r="E231" s="611">
        <f t="shared" si="59"/>
        <v>13.043333333333331</v>
      </c>
      <c r="F231" s="612">
        <f t="shared" si="59"/>
        <v>104.66666666666667</v>
      </c>
      <c r="G231" s="611">
        <f t="shared" si="59"/>
        <v>8.2333333333333325</v>
      </c>
      <c r="H231" s="611">
        <f t="shared" si="59"/>
        <v>3.7000000000000006</v>
      </c>
      <c r="I231" s="611">
        <f t="shared" si="59"/>
        <v>34.033333333333339</v>
      </c>
      <c r="J231" s="611">
        <f t="shared" si="59"/>
        <v>2.5666666666666664</v>
      </c>
      <c r="K231" s="612">
        <f t="shared" si="59"/>
        <v>3.6999999999999997</v>
      </c>
      <c r="L231" s="612">
        <f t="shared" si="59"/>
        <v>38.333333333333336</v>
      </c>
      <c r="M231" s="612">
        <f t="shared" si="59"/>
        <v>433.33333333333331</v>
      </c>
      <c r="N231" s="612">
        <f t="shared" si="59"/>
        <v>55</v>
      </c>
      <c r="O231" s="612">
        <f t="shared" si="59"/>
        <v>1300</v>
      </c>
      <c r="P231" s="611"/>
      <c r="Q231" s="715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6.666666666666667</v>
      </c>
      <c r="AF231" s="102">
        <f t="shared" si="47"/>
        <v>13.043333333333331</v>
      </c>
      <c r="AG231" s="102">
        <f t="shared" si="48"/>
        <v>104.66666666666667</v>
      </c>
      <c r="AH231" s="102">
        <f t="shared" si="49"/>
        <v>8.2333333333333325</v>
      </c>
      <c r="AI231" s="102">
        <f t="shared" si="50"/>
        <v>3.7000000000000006</v>
      </c>
      <c r="AJ231" s="102">
        <f t="shared" si="51"/>
        <v>34.033333333333339</v>
      </c>
      <c r="AK231" s="102">
        <f t="shared" si="52"/>
        <v>2.5666666666666664</v>
      </c>
      <c r="AL231" s="102">
        <f t="shared" si="53"/>
        <v>3.6999999999999997</v>
      </c>
      <c r="AM231" s="102">
        <f t="shared" si="54"/>
        <v>38.333333333333336</v>
      </c>
      <c r="AN231" s="102">
        <f t="shared" si="55"/>
        <v>433.33333333333331</v>
      </c>
      <c r="AO231" s="102">
        <f t="shared" si="56"/>
        <v>55</v>
      </c>
      <c r="AP231" s="102">
        <f t="shared" si="57"/>
        <v>1300</v>
      </c>
      <c r="AQ231" s="102">
        <f t="shared" si="58"/>
        <v>0</v>
      </c>
    </row>
    <row r="232" spans="1:43" s="102" customFormat="1" ht="11.4">
      <c r="A232" s="117"/>
      <c r="C232" s="613" t="s">
        <v>151</v>
      </c>
      <c r="D232" s="614">
        <f t="shared" ref="D232:O232" si="60">MAX(AE225:AE230)</f>
        <v>13.6</v>
      </c>
      <c r="E232" s="614">
        <f t="shared" si="60"/>
        <v>15.1</v>
      </c>
      <c r="F232" s="615">
        <f t="shared" si="60"/>
        <v>121</v>
      </c>
      <c r="G232" s="614">
        <f t="shared" si="60"/>
        <v>8.3000000000000007</v>
      </c>
      <c r="H232" s="614">
        <f t="shared" si="60"/>
        <v>6.9</v>
      </c>
      <c r="I232" s="614">
        <f t="shared" si="60"/>
        <v>35.700000000000003</v>
      </c>
      <c r="J232" s="614">
        <f t="shared" si="60"/>
        <v>3.1</v>
      </c>
      <c r="K232" s="615">
        <f t="shared" si="60"/>
        <v>7.1</v>
      </c>
      <c r="L232" s="615">
        <f t="shared" si="60"/>
        <v>58</v>
      </c>
      <c r="M232" s="615">
        <f t="shared" si="60"/>
        <v>460</v>
      </c>
      <c r="N232" s="615">
        <f t="shared" si="60"/>
        <v>88</v>
      </c>
      <c r="O232" s="615">
        <f t="shared" si="60"/>
        <v>1400</v>
      </c>
      <c r="P232" s="614"/>
      <c r="Q232" s="716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13.6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6.9</v>
      </c>
      <c r="AJ232" s="102">
        <f t="shared" si="51"/>
        <v>35.700000000000003</v>
      </c>
      <c r="AK232" s="102">
        <f t="shared" si="52"/>
        <v>3.1</v>
      </c>
      <c r="AL232" s="102">
        <f t="shared" si="53"/>
        <v>7.1</v>
      </c>
      <c r="AM232" s="102">
        <f t="shared" si="54"/>
        <v>58</v>
      </c>
      <c r="AN232" s="102">
        <f t="shared" si="55"/>
        <v>460</v>
      </c>
      <c r="AO232" s="102">
        <f t="shared" si="56"/>
        <v>88</v>
      </c>
      <c r="AP232" s="102">
        <f t="shared" si="57"/>
        <v>1400</v>
      </c>
      <c r="AQ232" s="102">
        <f t="shared" si="58"/>
        <v>0</v>
      </c>
    </row>
    <row r="233" spans="1:43" s="102" customFormat="1" ht="11.4">
      <c r="A233" s="117"/>
      <c r="C233" s="616" t="s">
        <v>152</v>
      </c>
      <c r="D233" s="617">
        <f t="shared" ref="D233:O233" si="61">MIN(AE225:AE230)</f>
        <v>0.5</v>
      </c>
      <c r="E233" s="617">
        <f t="shared" si="61"/>
        <v>9.83</v>
      </c>
      <c r="F233" s="618">
        <f t="shared" si="61"/>
        <v>95</v>
      </c>
      <c r="G233" s="617">
        <f t="shared" si="61"/>
        <v>8.1999999999999993</v>
      </c>
      <c r="H233" s="617">
        <f t="shared" si="61"/>
        <v>1.8</v>
      </c>
      <c r="I233" s="617">
        <f t="shared" si="61"/>
        <v>32.5</v>
      </c>
      <c r="J233" s="617">
        <f t="shared" si="61"/>
        <v>1.7</v>
      </c>
      <c r="K233" s="618">
        <f t="shared" si="61"/>
        <v>2</v>
      </c>
      <c r="L233" s="618">
        <f t="shared" si="61"/>
        <v>25</v>
      </c>
      <c r="M233" s="618">
        <f t="shared" si="61"/>
        <v>410</v>
      </c>
      <c r="N233" s="618">
        <f t="shared" si="61"/>
        <v>26</v>
      </c>
      <c r="O233" s="618">
        <f t="shared" si="61"/>
        <v>1200</v>
      </c>
      <c r="P233" s="617"/>
      <c r="Q233" s="717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9.83</v>
      </c>
      <c r="AG233" s="102">
        <f t="shared" si="48"/>
        <v>95</v>
      </c>
      <c r="AH233" s="102">
        <f t="shared" si="49"/>
        <v>8.1999999999999993</v>
      </c>
      <c r="AI233" s="102">
        <f t="shared" si="50"/>
        <v>1.8</v>
      </c>
      <c r="AJ233" s="102">
        <f t="shared" si="51"/>
        <v>32.5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410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9"/>
      <c r="D234" s="620"/>
      <c r="E234" s="620"/>
      <c r="F234" s="621"/>
      <c r="G234" s="620"/>
      <c r="H234" s="620"/>
      <c r="I234" s="620"/>
      <c r="J234" s="622"/>
      <c r="K234" s="622"/>
      <c r="L234" s="622"/>
      <c r="M234" s="622"/>
      <c r="N234" s="622"/>
      <c r="O234" s="622"/>
      <c r="P234" s="620"/>
      <c r="Q234" s="620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9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9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9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9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>
        <f>RS!E163</f>
        <v>46153</v>
      </c>
      <c r="D239" s="222">
        <f>RS!F163</f>
        <v>13</v>
      </c>
      <c r="E239" s="222">
        <f>RS!G163</f>
        <v>10.1</v>
      </c>
      <c r="F239" s="218">
        <f>RS!H163</f>
        <v>96</v>
      </c>
      <c r="G239" s="222">
        <f>RS!I163</f>
        <v>8.1</v>
      </c>
      <c r="H239" s="222">
        <f>RS!J163</f>
        <v>3.5</v>
      </c>
      <c r="I239" s="222">
        <f>RS!K163</f>
        <v>43.3</v>
      </c>
      <c r="J239" s="102" t="str">
        <f>RS!L163</f>
        <v/>
      </c>
      <c r="K239" s="218" t="str">
        <f>RS!M163</f>
        <v>&lt;2</v>
      </c>
      <c r="L239" s="218">
        <f>RS!N163</f>
        <v>25</v>
      </c>
      <c r="M239" s="218">
        <f>RS!O163</f>
        <v>1300</v>
      </c>
      <c r="N239" s="218">
        <f>RS!P163</f>
        <v>68</v>
      </c>
      <c r="O239" s="218">
        <f>RS!Q163</f>
        <v>1800</v>
      </c>
      <c r="P239" s="222">
        <f>RS!R163</f>
        <v>6.3</v>
      </c>
      <c r="Q239" s="222">
        <f>RS!S163</f>
        <v>3</v>
      </c>
      <c r="R239" s="609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>
        <f t="shared" si="46"/>
        <v>13</v>
      </c>
      <c r="AF239" s="102">
        <f t="shared" si="47"/>
        <v>10.1</v>
      </c>
      <c r="AG239" s="102">
        <f t="shared" si="48"/>
        <v>96</v>
      </c>
      <c r="AH239" s="102">
        <f t="shared" si="49"/>
        <v>8.1</v>
      </c>
      <c r="AI239" s="102">
        <f t="shared" si="50"/>
        <v>3.5</v>
      </c>
      <c r="AJ239" s="102">
        <f t="shared" si="51"/>
        <v>43.3</v>
      </c>
      <c r="AK239" s="102" t="str">
        <f t="shared" si="52"/>
        <v/>
      </c>
      <c r="AL239" s="102">
        <f t="shared" si="53"/>
        <v>2</v>
      </c>
      <c r="AM239" s="102">
        <f t="shared" si="54"/>
        <v>25</v>
      </c>
      <c r="AN239" s="102">
        <f t="shared" si="55"/>
        <v>1300</v>
      </c>
      <c r="AO239" s="102">
        <f t="shared" si="56"/>
        <v>68</v>
      </c>
      <c r="AP239" s="102">
        <f t="shared" si="57"/>
        <v>1800</v>
      </c>
      <c r="AQ239" s="102">
        <f t="shared" si="58"/>
        <v>3</v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>
        <f>RS!E164</f>
        <v>46183</v>
      </c>
      <c r="D240" s="222">
        <f>RS!F164</f>
        <v>17.600000000000001</v>
      </c>
      <c r="E240" s="222">
        <f>RS!G164</f>
        <v>10.199999999999999</v>
      </c>
      <c r="F240" s="218">
        <f>RS!H164</f>
        <v>107</v>
      </c>
      <c r="G240" s="222">
        <f>RS!I164</f>
        <v>8.4</v>
      </c>
      <c r="H240" s="222">
        <f>RS!J164</f>
        <v>1.6</v>
      </c>
      <c r="I240" s="222">
        <f>RS!K164</f>
        <v>41.8</v>
      </c>
      <c r="J240" s="102" t="str">
        <f>RS!L164</f>
        <v/>
      </c>
      <c r="K240" s="218" t="str">
        <f>RS!M164</f>
        <v>&lt;2</v>
      </c>
      <c r="L240" s="218">
        <f>RS!N164</f>
        <v>23</v>
      </c>
      <c r="M240" s="218">
        <f>RS!O164</f>
        <v>1000</v>
      </c>
      <c r="N240" s="218">
        <f>RS!P164</f>
        <v>51</v>
      </c>
      <c r="O240" s="218">
        <f>RS!Q164</f>
        <v>1500</v>
      </c>
      <c r="P240" s="222">
        <f>RS!R164</f>
        <v>9.6999999999999993</v>
      </c>
      <c r="Q240" s="222">
        <f>RS!S164</f>
        <v>3.2</v>
      </c>
      <c r="R240" s="609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>
        <f t="shared" si="46"/>
        <v>17.600000000000001</v>
      </c>
      <c r="AF240" s="102">
        <f t="shared" si="47"/>
        <v>10.199999999999999</v>
      </c>
      <c r="AG240" s="102">
        <f t="shared" si="48"/>
        <v>107</v>
      </c>
      <c r="AH240" s="102">
        <f t="shared" si="49"/>
        <v>8.4</v>
      </c>
      <c r="AI240" s="102">
        <f t="shared" si="50"/>
        <v>1.6</v>
      </c>
      <c r="AJ240" s="102">
        <f t="shared" si="51"/>
        <v>41.8</v>
      </c>
      <c r="AK240" s="102" t="str">
        <f t="shared" si="52"/>
        <v/>
      </c>
      <c r="AL240" s="102">
        <f t="shared" si="53"/>
        <v>2</v>
      </c>
      <c r="AM240" s="102">
        <f t="shared" si="54"/>
        <v>23</v>
      </c>
      <c r="AN240" s="102">
        <f t="shared" si="55"/>
        <v>1000</v>
      </c>
      <c r="AO240" s="102">
        <f t="shared" si="56"/>
        <v>51</v>
      </c>
      <c r="AP240" s="102">
        <f t="shared" si="57"/>
        <v>1500</v>
      </c>
      <c r="AQ240" s="102">
        <f t="shared" si="58"/>
        <v>3.2</v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 t="str">
        <f>RS!E165</f>
        <v/>
      </c>
      <c r="D241" s="222" t="str">
        <f>RS!F165</f>
        <v/>
      </c>
      <c r="E241" s="222" t="str">
        <f>RS!G165</f>
        <v/>
      </c>
      <c r="F241" s="218" t="str">
        <f>RS!H165</f>
        <v/>
      </c>
      <c r="G241" s="222" t="str">
        <f>RS!I165</f>
        <v/>
      </c>
      <c r="H241" s="222" t="str">
        <f>RS!J165</f>
        <v/>
      </c>
      <c r="I241" s="222" t="str">
        <f>RS!K165</f>
        <v/>
      </c>
      <c r="J241" s="102" t="str">
        <f>RS!L165</f>
        <v/>
      </c>
      <c r="K241" s="218" t="str">
        <f>RS!M165</f>
        <v/>
      </c>
      <c r="L241" s="218" t="str">
        <f>RS!N165</f>
        <v/>
      </c>
      <c r="M241" s="218" t="str">
        <f>RS!O165</f>
        <v/>
      </c>
      <c r="N241" s="218" t="str">
        <f>RS!P165</f>
        <v/>
      </c>
      <c r="O241" s="218" t="str">
        <f>RS!Q165</f>
        <v/>
      </c>
      <c r="P241" s="222" t="str">
        <f>RS!R165</f>
        <v/>
      </c>
      <c r="Q241" s="222" t="str">
        <f>RS!S165</f>
        <v/>
      </c>
      <c r="R241" s="609" t="str">
        <f>RS!T165</f>
        <v/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 t="str">
        <f t="shared" si="46"/>
        <v/>
      </c>
      <c r="AF241" s="102" t="str">
        <f t="shared" si="47"/>
        <v/>
      </c>
      <c r="AG241" s="102" t="str">
        <f t="shared" si="48"/>
        <v/>
      </c>
      <c r="AH241" s="102" t="str">
        <f t="shared" si="49"/>
        <v/>
      </c>
      <c r="AI241" s="102" t="str">
        <f t="shared" si="50"/>
        <v/>
      </c>
      <c r="AJ241" s="102" t="str">
        <f t="shared" si="51"/>
        <v/>
      </c>
      <c r="AK241" s="102" t="str">
        <f t="shared" si="52"/>
        <v/>
      </c>
      <c r="AL241" s="102" t="str">
        <f t="shared" si="53"/>
        <v/>
      </c>
      <c r="AM241" s="102" t="str">
        <f t="shared" si="54"/>
        <v/>
      </c>
      <c r="AN241" s="102" t="str">
        <f t="shared" si="55"/>
        <v/>
      </c>
      <c r="AO241" s="102" t="str">
        <f t="shared" si="56"/>
        <v/>
      </c>
      <c r="AP241" s="102" t="str">
        <f t="shared" si="57"/>
        <v/>
      </c>
      <c r="AQ241" s="102" t="str">
        <f t="shared" si="58"/>
        <v/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 t="str">
        <f>RS!E166</f>
        <v/>
      </c>
      <c r="D242" s="222" t="str">
        <f>RS!F166</f>
        <v/>
      </c>
      <c r="E242" s="222" t="str">
        <f>RS!G166</f>
        <v/>
      </c>
      <c r="F242" s="218" t="str">
        <f>RS!H166</f>
        <v/>
      </c>
      <c r="G242" s="222" t="str">
        <f>RS!I166</f>
        <v/>
      </c>
      <c r="H242" s="222" t="str">
        <f>RS!J166</f>
        <v/>
      </c>
      <c r="I242" s="222" t="str">
        <f>RS!K166</f>
        <v/>
      </c>
      <c r="J242" s="102" t="str">
        <f>RS!L166</f>
        <v/>
      </c>
      <c r="K242" s="218" t="str">
        <f>RS!M166</f>
        <v/>
      </c>
      <c r="L242" s="218" t="str">
        <f>RS!N166</f>
        <v/>
      </c>
      <c r="M242" s="218" t="str">
        <f>RS!O166</f>
        <v/>
      </c>
      <c r="N242" s="218" t="str">
        <f>RS!P166</f>
        <v/>
      </c>
      <c r="O242" s="218" t="str">
        <f>RS!Q166</f>
        <v/>
      </c>
      <c r="P242" s="222" t="str">
        <f>RS!R166</f>
        <v/>
      </c>
      <c r="Q242" s="222" t="str">
        <f>RS!S166</f>
        <v/>
      </c>
      <c r="R242" s="609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 t="str">
        <f t="shared" si="46"/>
        <v/>
      </c>
      <c r="AF242" s="102" t="str">
        <f t="shared" si="47"/>
        <v/>
      </c>
      <c r="AG242" s="102" t="str">
        <f t="shared" si="48"/>
        <v/>
      </c>
      <c r="AH242" s="102" t="str">
        <f t="shared" si="49"/>
        <v/>
      </c>
      <c r="AI242" s="102" t="str">
        <f t="shared" si="50"/>
        <v/>
      </c>
      <c r="AJ242" s="102" t="str">
        <f t="shared" si="51"/>
        <v/>
      </c>
      <c r="AK242" s="102" t="str">
        <f t="shared" si="52"/>
        <v/>
      </c>
      <c r="AL242" s="102" t="str">
        <f t="shared" si="53"/>
        <v/>
      </c>
      <c r="AM242" s="102" t="str">
        <f t="shared" si="54"/>
        <v/>
      </c>
      <c r="AN242" s="102" t="str">
        <f t="shared" si="55"/>
        <v/>
      </c>
      <c r="AO242" s="102" t="str">
        <f t="shared" si="56"/>
        <v/>
      </c>
      <c r="AP242" s="102" t="str">
        <f t="shared" si="57"/>
        <v/>
      </c>
      <c r="AQ242" s="102" t="str">
        <f t="shared" si="58"/>
        <v/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 t="str">
        <f>RS!E167</f>
        <v/>
      </c>
      <c r="D243" s="222" t="str">
        <f>RS!F167</f>
        <v/>
      </c>
      <c r="E243" s="222" t="str">
        <f>RS!G167</f>
        <v/>
      </c>
      <c r="F243" s="218" t="str">
        <f>RS!H167</f>
        <v/>
      </c>
      <c r="G243" s="222" t="str">
        <f>RS!I167</f>
        <v/>
      </c>
      <c r="H243" s="222" t="str">
        <f>RS!J167</f>
        <v/>
      </c>
      <c r="I243" s="222" t="str">
        <f>RS!K167</f>
        <v/>
      </c>
      <c r="J243" s="102" t="str">
        <f>RS!L167</f>
        <v/>
      </c>
      <c r="K243" s="218" t="str">
        <f>RS!M167</f>
        <v/>
      </c>
      <c r="L243" s="218" t="str">
        <f>RS!N167</f>
        <v/>
      </c>
      <c r="M243" s="218" t="str">
        <f>RS!O167</f>
        <v/>
      </c>
      <c r="N243" s="218" t="str">
        <f>RS!P167</f>
        <v/>
      </c>
      <c r="O243" s="218" t="str">
        <f>RS!Q167</f>
        <v/>
      </c>
      <c r="P243" s="222" t="str">
        <f>RS!R167</f>
        <v/>
      </c>
      <c r="Q243" s="222" t="str">
        <f>RS!S167</f>
        <v/>
      </c>
      <c r="R243" s="609" t="str">
        <f>RS!T167</f>
        <v/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 t="str">
        <f t="shared" si="46"/>
        <v/>
      </c>
      <c r="AF243" s="102" t="str">
        <f t="shared" si="47"/>
        <v/>
      </c>
      <c r="AG243" s="102" t="str">
        <f t="shared" si="48"/>
        <v/>
      </c>
      <c r="AH243" s="102" t="str">
        <f t="shared" si="49"/>
        <v/>
      </c>
      <c r="AI243" s="102" t="str">
        <f t="shared" si="50"/>
        <v/>
      </c>
      <c r="AJ243" s="102" t="str">
        <f t="shared" si="51"/>
        <v/>
      </c>
      <c r="AK243" s="102" t="str">
        <f t="shared" si="52"/>
        <v/>
      </c>
      <c r="AL243" s="102" t="str">
        <f t="shared" si="53"/>
        <v/>
      </c>
      <c r="AM243" s="102" t="str">
        <f t="shared" si="54"/>
        <v/>
      </c>
      <c r="AN243" s="102" t="str">
        <f t="shared" si="55"/>
        <v/>
      </c>
      <c r="AO243" s="102" t="str">
        <f t="shared" si="56"/>
        <v/>
      </c>
      <c r="AP243" s="102" t="str">
        <f t="shared" si="57"/>
        <v/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9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9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9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10" t="s">
        <v>150</v>
      </c>
      <c r="D247" s="611">
        <f t="shared" ref="D247:I247" si="62">AVERAGE(AE235:AE246)</f>
        <v>7.2333333333333343</v>
      </c>
      <c r="E247" s="611">
        <f t="shared" si="62"/>
        <v>13.463333333333333</v>
      </c>
      <c r="F247" s="612">
        <f t="shared" si="62"/>
        <v>109.16666666666667</v>
      </c>
      <c r="G247" s="611">
        <f t="shared" si="62"/>
        <v>8.35</v>
      </c>
      <c r="H247" s="611">
        <f t="shared" si="62"/>
        <v>3.0850000000000009</v>
      </c>
      <c r="I247" s="611">
        <f t="shared" si="62"/>
        <v>43.18333333333333</v>
      </c>
      <c r="J247" s="611"/>
      <c r="K247" s="612">
        <f>AVERAGE(AL235:AL246)</f>
        <v>19.833333333333332</v>
      </c>
      <c r="L247" s="612">
        <f>AVERAGE(AM235:AM246)</f>
        <v>44.5</v>
      </c>
      <c r="M247" s="612">
        <f>AVERAGE(AN235:AN246)</f>
        <v>1400</v>
      </c>
      <c r="N247" s="612">
        <f>AVERAGE(AO235:AO246)</f>
        <v>65.833333333333329</v>
      </c>
      <c r="O247" s="612">
        <f>AVERAGE(AP235:AP246)</f>
        <v>1966.6666666666667</v>
      </c>
      <c r="P247" s="611"/>
      <c r="Q247" s="715">
        <f>AVERAGE(AQ235:AQ246)</f>
        <v>2.56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7.2333333333333343</v>
      </c>
      <c r="AF247" s="102">
        <f t="shared" si="47"/>
        <v>13.463333333333333</v>
      </c>
      <c r="AG247" s="102">
        <f t="shared" si="48"/>
        <v>109.16666666666667</v>
      </c>
      <c r="AH247" s="102">
        <f t="shared" si="49"/>
        <v>8.35</v>
      </c>
      <c r="AI247" s="102">
        <f t="shared" si="50"/>
        <v>3.0850000000000009</v>
      </c>
      <c r="AJ247" s="102">
        <f t="shared" si="51"/>
        <v>43.18333333333333</v>
      </c>
      <c r="AK247" s="102">
        <f t="shared" si="52"/>
        <v>0</v>
      </c>
      <c r="AL247" s="102">
        <f t="shared" si="53"/>
        <v>19.833333333333332</v>
      </c>
      <c r="AM247" s="102">
        <f t="shared" si="54"/>
        <v>44.5</v>
      </c>
      <c r="AN247" s="102">
        <f t="shared" si="55"/>
        <v>1400</v>
      </c>
      <c r="AO247" s="102">
        <f t="shared" si="56"/>
        <v>65.833333333333329</v>
      </c>
      <c r="AP247" s="102">
        <f t="shared" si="57"/>
        <v>1966.6666666666667</v>
      </c>
      <c r="AQ247" s="102">
        <f t="shared" si="58"/>
        <v>2.56</v>
      </c>
    </row>
    <row r="248" spans="1:43" s="102" customFormat="1" ht="11.4">
      <c r="A248" s="117"/>
      <c r="C248" s="613" t="s">
        <v>151</v>
      </c>
      <c r="D248" s="614">
        <f t="shared" ref="D248:I248" si="63">MAX(AE235:AE246)</f>
        <v>17.600000000000001</v>
      </c>
      <c r="E248" s="614">
        <f t="shared" si="63"/>
        <v>18.899999999999999</v>
      </c>
      <c r="F248" s="615">
        <f t="shared" si="63"/>
        <v>146</v>
      </c>
      <c r="G248" s="614">
        <f t="shared" si="63"/>
        <v>8.9</v>
      </c>
      <c r="H248" s="614">
        <f t="shared" si="63"/>
        <v>8.4</v>
      </c>
      <c r="I248" s="614">
        <f t="shared" si="63"/>
        <v>44.7</v>
      </c>
      <c r="J248" s="614"/>
      <c r="K248" s="615">
        <f>MAX(AL235:AL246)</f>
        <v>60</v>
      </c>
      <c r="L248" s="615">
        <f>MAX(AM235:AM246)</f>
        <v>68</v>
      </c>
      <c r="M248" s="615">
        <f>MAX(AN235:AN246)</f>
        <v>1800</v>
      </c>
      <c r="N248" s="615">
        <f>MAX(AO235:AO246)</f>
        <v>130</v>
      </c>
      <c r="O248" s="615">
        <f>MAX(AP235:AP246)</f>
        <v>2400</v>
      </c>
      <c r="P248" s="614"/>
      <c r="Q248" s="716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17.600000000000001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60</v>
      </c>
      <c r="AM248" s="102">
        <f t="shared" si="54"/>
        <v>68</v>
      </c>
      <c r="AN248" s="102">
        <f t="shared" si="55"/>
        <v>1800</v>
      </c>
      <c r="AO248" s="102">
        <f t="shared" si="56"/>
        <v>130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6" t="s">
        <v>152</v>
      </c>
      <c r="D249" s="617">
        <f t="shared" ref="D249:I249" si="64">MIN(AE235:AE246)</f>
        <v>0.1</v>
      </c>
      <c r="E249" s="617">
        <f t="shared" si="64"/>
        <v>10.1</v>
      </c>
      <c r="F249" s="618">
        <f t="shared" si="64"/>
        <v>96</v>
      </c>
      <c r="G249" s="617">
        <f t="shared" si="64"/>
        <v>8.1</v>
      </c>
      <c r="H249" s="617">
        <f t="shared" si="64"/>
        <v>0.81</v>
      </c>
      <c r="I249" s="617">
        <f t="shared" si="64"/>
        <v>41.8</v>
      </c>
      <c r="J249" s="617"/>
      <c r="K249" s="618">
        <f>MIN(AL235:AL246)</f>
        <v>2</v>
      </c>
      <c r="L249" s="618">
        <f>MIN(AM235:AM246)</f>
        <v>23</v>
      </c>
      <c r="M249" s="618">
        <f>MIN(AN235:AN246)</f>
        <v>1000</v>
      </c>
      <c r="N249" s="618">
        <f>MIN(AO235:AO246)</f>
        <v>10</v>
      </c>
      <c r="O249" s="618">
        <f>MIN(AP235:AP246)</f>
        <v>1500</v>
      </c>
      <c r="P249" s="617"/>
      <c r="Q249" s="717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10.1</v>
      </c>
      <c r="AG249" s="102">
        <f t="shared" si="48"/>
        <v>96</v>
      </c>
      <c r="AH249" s="102">
        <f t="shared" si="49"/>
        <v>8.1</v>
      </c>
      <c r="AI249" s="102">
        <f t="shared" si="50"/>
        <v>0.81</v>
      </c>
      <c r="AJ249" s="102">
        <f t="shared" si="51"/>
        <v>41.8</v>
      </c>
      <c r="AK249" s="102">
        <f t="shared" si="52"/>
        <v>0</v>
      </c>
      <c r="AL249" s="102">
        <f t="shared" si="53"/>
        <v>2</v>
      </c>
      <c r="AM249" s="102">
        <f t="shared" si="54"/>
        <v>23</v>
      </c>
      <c r="AN249" s="102">
        <f t="shared" si="55"/>
        <v>1000</v>
      </c>
      <c r="AO249" s="102">
        <f t="shared" si="56"/>
        <v>10</v>
      </c>
      <c r="AP249" s="102">
        <f t="shared" si="57"/>
        <v>1500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8"/>
      <c r="Q250" s="718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9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9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9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9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>
        <f>RS!E175</f>
        <v>46153</v>
      </c>
      <c r="D255" s="222">
        <f>RS!F175</f>
        <v>11.7</v>
      </c>
      <c r="E255" s="222">
        <f>RS!G175</f>
        <v>5.04</v>
      </c>
      <c r="F255" s="218">
        <f>RS!H175</f>
        <v>47</v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>
        <f>RS!M175</f>
        <v>5.6</v>
      </c>
      <c r="L255" s="218">
        <f>RS!N175</f>
        <v>43</v>
      </c>
      <c r="M255" s="218">
        <f>RS!O175</f>
        <v>990</v>
      </c>
      <c r="N255" s="218">
        <f>RS!P175</f>
        <v>230</v>
      </c>
      <c r="O255" s="218">
        <f>RS!Q175</f>
        <v>1500</v>
      </c>
      <c r="P255" s="222" t="str">
        <f>RS!R175</f>
        <v/>
      </c>
      <c r="Q255" s="222" t="str">
        <f>RS!S175</f>
        <v/>
      </c>
      <c r="R255" s="609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>
        <f t="shared" si="65"/>
        <v>11.7</v>
      </c>
      <c r="AF255" s="102">
        <f t="shared" si="66"/>
        <v>5.04</v>
      </c>
      <c r="AG255" s="102">
        <f t="shared" si="67"/>
        <v>47</v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>
        <f t="shared" si="72"/>
        <v>5.6</v>
      </c>
      <c r="AM255" s="102">
        <f t="shared" si="73"/>
        <v>43</v>
      </c>
      <c r="AN255" s="102">
        <f t="shared" si="74"/>
        <v>990</v>
      </c>
      <c r="AO255" s="102">
        <f t="shared" si="75"/>
        <v>230</v>
      </c>
      <c r="AP255" s="102">
        <f t="shared" si="76"/>
        <v>1500</v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>
        <f>RS!E176</f>
        <v>46183</v>
      </c>
      <c r="D256" s="222">
        <f>RS!F176</f>
        <v>16.5</v>
      </c>
      <c r="E256" s="222">
        <f>RS!G176</f>
        <v>4.7</v>
      </c>
      <c r="F256" s="218">
        <f>RS!H176</f>
        <v>48</v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>
        <f>RS!M176</f>
        <v>24</v>
      </c>
      <c r="L256" s="218">
        <f>RS!N176</f>
        <v>84</v>
      </c>
      <c r="M256" s="218">
        <f>RS!O176</f>
        <v>700</v>
      </c>
      <c r="N256" s="218">
        <f>RS!P176</f>
        <v>360</v>
      </c>
      <c r="O256" s="218">
        <f>RS!Q176</f>
        <v>1800</v>
      </c>
      <c r="P256" s="222" t="str">
        <f>RS!R176</f>
        <v/>
      </c>
      <c r="Q256" s="222" t="str">
        <f>RS!S176</f>
        <v/>
      </c>
      <c r="R256" s="609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>
        <f t="shared" si="65"/>
        <v>16.5</v>
      </c>
      <c r="AF256" s="102">
        <f t="shared" si="66"/>
        <v>4.7</v>
      </c>
      <c r="AG256" s="102">
        <f t="shared" si="67"/>
        <v>48</v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>
        <f t="shared" si="72"/>
        <v>24</v>
      </c>
      <c r="AM256" s="102">
        <f t="shared" si="73"/>
        <v>84</v>
      </c>
      <c r="AN256" s="102">
        <f t="shared" si="74"/>
        <v>700</v>
      </c>
      <c r="AO256" s="102">
        <f t="shared" si="75"/>
        <v>360</v>
      </c>
      <c r="AP256" s="102">
        <f t="shared" si="76"/>
        <v>1800</v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 t="str">
        <f>RS!E177</f>
        <v/>
      </c>
      <c r="D257" s="222" t="str">
        <f>RS!F177</f>
        <v/>
      </c>
      <c r="E257" s="222" t="str">
        <f>RS!G177</f>
        <v/>
      </c>
      <c r="F257" s="218" t="str">
        <f>RS!H177</f>
        <v/>
      </c>
      <c r="G257" s="222" t="str">
        <f>RS!I177</f>
        <v/>
      </c>
      <c r="H257" s="222" t="str">
        <f>RS!J177</f>
        <v/>
      </c>
      <c r="I257" s="222" t="str">
        <f>RS!K177</f>
        <v/>
      </c>
      <c r="J257" s="102" t="str">
        <f>RS!L177</f>
        <v/>
      </c>
      <c r="K257" s="218" t="str">
        <f>RS!M177</f>
        <v/>
      </c>
      <c r="L257" s="218" t="str">
        <f>RS!N177</f>
        <v/>
      </c>
      <c r="M257" s="218" t="str">
        <f>RS!O177</f>
        <v/>
      </c>
      <c r="N257" s="218" t="str">
        <f>RS!P177</f>
        <v/>
      </c>
      <c r="O257" s="218" t="str">
        <f>RS!Q177</f>
        <v/>
      </c>
      <c r="P257" s="222" t="str">
        <f>RS!R177</f>
        <v/>
      </c>
      <c r="Q257" s="222" t="str">
        <f>RS!S177</f>
        <v/>
      </c>
      <c r="R257" s="609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 t="str">
        <f t="shared" si="65"/>
        <v/>
      </c>
      <c r="AF257" s="102" t="str">
        <f t="shared" si="66"/>
        <v/>
      </c>
      <c r="AG257" s="102" t="str">
        <f t="shared" si="67"/>
        <v/>
      </c>
      <c r="AH257" s="102" t="str">
        <f t="shared" si="68"/>
        <v/>
      </c>
      <c r="AI257" s="102" t="str">
        <f t="shared" si="69"/>
        <v/>
      </c>
      <c r="AJ257" s="102" t="str">
        <f t="shared" si="70"/>
        <v/>
      </c>
      <c r="AK257" s="102" t="str">
        <f t="shared" si="71"/>
        <v/>
      </c>
      <c r="AL257" s="102" t="str">
        <f t="shared" si="72"/>
        <v/>
      </c>
      <c r="AM257" s="102" t="str">
        <f t="shared" si="73"/>
        <v/>
      </c>
      <c r="AN257" s="102" t="str">
        <f t="shared" si="74"/>
        <v/>
      </c>
      <c r="AO257" s="102" t="str">
        <f t="shared" si="75"/>
        <v/>
      </c>
      <c r="AP257" s="102" t="str">
        <f t="shared" si="76"/>
        <v/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 t="str">
        <f>RS!E178</f>
        <v/>
      </c>
      <c r="D258" s="222" t="str">
        <f>RS!F178</f>
        <v/>
      </c>
      <c r="E258" s="222" t="str">
        <f>RS!G178</f>
        <v/>
      </c>
      <c r="F258" s="218" t="str">
        <f>RS!H178</f>
        <v/>
      </c>
      <c r="G258" s="222" t="str">
        <f>RS!I178</f>
        <v/>
      </c>
      <c r="H258" s="222" t="str">
        <f>RS!J178</f>
        <v/>
      </c>
      <c r="I258" s="222" t="str">
        <f>RS!K178</f>
        <v/>
      </c>
      <c r="J258" s="102" t="str">
        <f>RS!L178</f>
        <v/>
      </c>
      <c r="K258" s="218" t="str">
        <f>RS!M178</f>
        <v/>
      </c>
      <c r="L258" s="218" t="str">
        <f>RS!N178</f>
        <v/>
      </c>
      <c r="M258" s="218" t="str">
        <f>RS!O178</f>
        <v/>
      </c>
      <c r="N258" s="218" t="str">
        <f>RS!P178</f>
        <v/>
      </c>
      <c r="O258" s="218" t="str">
        <f>RS!Q178</f>
        <v/>
      </c>
      <c r="P258" s="222" t="str">
        <f>RS!R178</f>
        <v/>
      </c>
      <c r="Q258" s="222" t="str">
        <f>RS!S178</f>
        <v/>
      </c>
      <c r="R258" s="609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 t="str">
        <f t="shared" si="65"/>
        <v/>
      </c>
      <c r="AF258" s="102" t="str">
        <f t="shared" si="66"/>
        <v/>
      </c>
      <c r="AG258" s="102" t="str">
        <f t="shared" si="67"/>
        <v/>
      </c>
      <c r="AH258" s="102" t="str">
        <f t="shared" si="68"/>
        <v/>
      </c>
      <c r="AI258" s="102" t="str">
        <f t="shared" si="69"/>
        <v/>
      </c>
      <c r="AJ258" s="102" t="str">
        <f t="shared" si="70"/>
        <v/>
      </c>
      <c r="AK258" s="102" t="str">
        <f t="shared" si="71"/>
        <v/>
      </c>
      <c r="AL258" s="102" t="str">
        <f t="shared" si="72"/>
        <v/>
      </c>
      <c r="AM258" s="102" t="str">
        <f t="shared" si="73"/>
        <v/>
      </c>
      <c r="AN258" s="102" t="str">
        <f t="shared" si="74"/>
        <v/>
      </c>
      <c r="AO258" s="102" t="str">
        <f t="shared" si="75"/>
        <v/>
      </c>
      <c r="AP258" s="102" t="str">
        <f t="shared" si="76"/>
        <v/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9" t="str">
        <f>RS!T179</f>
        <v/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9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9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9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10" t="s">
        <v>150</v>
      </c>
      <c r="D263" s="611">
        <f t="shared" ref="D263:I263" si="78">AVERAGE(AE251:AE262)</f>
        <v>8.5400000000000009</v>
      </c>
      <c r="E263" s="611">
        <f t="shared" si="78"/>
        <v>10.767999999999999</v>
      </c>
      <c r="F263" s="612">
        <f t="shared" si="78"/>
        <v>87.6</v>
      </c>
      <c r="G263" s="611" t="e">
        <f t="shared" si="78"/>
        <v>#DIV/0!</v>
      </c>
      <c r="H263" s="611" t="e">
        <f t="shared" si="78"/>
        <v>#DIV/0!</v>
      </c>
      <c r="I263" s="611" t="e">
        <f t="shared" si="78"/>
        <v>#DIV/0!</v>
      </c>
      <c r="J263" s="611"/>
      <c r="K263" s="612">
        <f>AVERAGE(AL251:AL262)</f>
        <v>17.119999999999997</v>
      </c>
      <c r="L263" s="612">
        <f>AVERAGE(AM251:AM262)</f>
        <v>58.6</v>
      </c>
      <c r="M263" s="612">
        <f>AVERAGE(AN251:AN262)</f>
        <v>1278</v>
      </c>
      <c r="N263" s="612">
        <f>AVERAGE(AO251:AO262)</f>
        <v>154.6</v>
      </c>
      <c r="O263" s="612">
        <f>AVERAGE(AP251:AP262)</f>
        <v>2140</v>
      </c>
      <c r="P263" s="611"/>
      <c r="Q263" s="715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8.5400000000000009</v>
      </c>
      <c r="AF263" s="102">
        <f t="shared" si="66"/>
        <v>10.767999999999999</v>
      </c>
      <c r="AG263" s="102">
        <f t="shared" si="67"/>
        <v>87.6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17.119999999999997</v>
      </c>
      <c r="AM263" s="102">
        <f t="shared" si="73"/>
        <v>58.6</v>
      </c>
      <c r="AN263" s="102">
        <f t="shared" si="74"/>
        <v>1278</v>
      </c>
      <c r="AO263" s="102">
        <f t="shared" si="75"/>
        <v>154.6</v>
      </c>
      <c r="AP263" s="102">
        <f t="shared" si="76"/>
        <v>2140</v>
      </c>
      <c r="AQ263" s="102">
        <f t="shared" si="77"/>
        <v>0</v>
      </c>
    </row>
    <row r="264" spans="1:43" s="102" customFormat="1" ht="11.4">
      <c r="A264" s="117"/>
      <c r="C264" s="613" t="s">
        <v>151</v>
      </c>
      <c r="D264" s="614">
        <f t="shared" ref="D264:I264" si="79">MAX(AE251:AE262)</f>
        <v>16.5</v>
      </c>
      <c r="E264" s="614">
        <f t="shared" si="79"/>
        <v>17.899999999999999</v>
      </c>
      <c r="F264" s="615">
        <f t="shared" si="79"/>
        <v>139</v>
      </c>
      <c r="G264" s="614">
        <f t="shared" si="79"/>
        <v>0</v>
      </c>
      <c r="H264" s="614">
        <f t="shared" si="79"/>
        <v>0</v>
      </c>
      <c r="I264" s="614">
        <f t="shared" si="79"/>
        <v>0</v>
      </c>
      <c r="J264" s="614"/>
      <c r="K264" s="615">
        <f>MAX(AL251:AL262)</f>
        <v>52</v>
      </c>
      <c r="L264" s="615">
        <f>MAX(AM251:AM262)</f>
        <v>84</v>
      </c>
      <c r="M264" s="615">
        <f>MAX(AN251:AN262)</f>
        <v>1700</v>
      </c>
      <c r="N264" s="615">
        <f>MAX(AO251:AO262)</f>
        <v>360</v>
      </c>
      <c r="O264" s="615">
        <f>MAX(AP251:AP262)</f>
        <v>2700</v>
      </c>
      <c r="P264" s="614"/>
      <c r="Q264" s="716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16.5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52</v>
      </c>
      <c r="AM264" s="102">
        <f t="shared" si="73"/>
        <v>84</v>
      </c>
      <c r="AN264" s="102">
        <f t="shared" si="74"/>
        <v>1700</v>
      </c>
      <c r="AO264" s="102">
        <f t="shared" si="75"/>
        <v>360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6" t="s">
        <v>152</v>
      </c>
      <c r="D265" s="617">
        <f t="shared" ref="D265:I265" si="80">MIN(AE251:AE262)</f>
        <v>1</v>
      </c>
      <c r="E265" s="617">
        <f t="shared" si="80"/>
        <v>4.7</v>
      </c>
      <c r="F265" s="618">
        <f t="shared" si="80"/>
        <v>47</v>
      </c>
      <c r="G265" s="617">
        <f t="shared" si="80"/>
        <v>0</v>
      </c>
      <c r="H265" s="617">
        <f t="shared" si="80"/>
        <v>0</v>
      </c>
      <c r="I265" s="617">
        <f t="shared" si="80"/>
        <v>0</v>
      </c>
      <c r="J265" s="617"/>
      <c r="K265" s="618">
        <f>MIN(AL251:AL262)</f>
        <v>2</v>
      </c>
      <c r="L265" s="618">
        <f>MIN(AM251:AM262)</f>
        <v>35</v>
      </c>
      <c r="M265" s="618">
        <f>MIN(AN251:AN262)</f>
        <v>700</v>
      </c>
      <c r="N265" s="618">
        <f>MIN(AO251:AO262)</f>
        <v>17</v>
      </c>
      <c r="O265" s="618">
        <f>MIN(AP251:AP262)</f>
        <v>1500</v>
      </c>
      <c r="P265" s="617"/>
      <c r="Q265" s="717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4.7</v>
      </c>
      <c r="AG265" s="102">
        <f t="shared" si="67"/>
        <v>47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700</v>
      </c>
      <c r="AO265" s="102">
        <f t="shared" si="75"/>
        <v>17</v>
      </c>
      <c r="AP265" s="102">
        <f t="shared" si="76"/>
        <v>1500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8"/>
      <c r="Q266" s="718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8"/>
      <c r="Q267" s="718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8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8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8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8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8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8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8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8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8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8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8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8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8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8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8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8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8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8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8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8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8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8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8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8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8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8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8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8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8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8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8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8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8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8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8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8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8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8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8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8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8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8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8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8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8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8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8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8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8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8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8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8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8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8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8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8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8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8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8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8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8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8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8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8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8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8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8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8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8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8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8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8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8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8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8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8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8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8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8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8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8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8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8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8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8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8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8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8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8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8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8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8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8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8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8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8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8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8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8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8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8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8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8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8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8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8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8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8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8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8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8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8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8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8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8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8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8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8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8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8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8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8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8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8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8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8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8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8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8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8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8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8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8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8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8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8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8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8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8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8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8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8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8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8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8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8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8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8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8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8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8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8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8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8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8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8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8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8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8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8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8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8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8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8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8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8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8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8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8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8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8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8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8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8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8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8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8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8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8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8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8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8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8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8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8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8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8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8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8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8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8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8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8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8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8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8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8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8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8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8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8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8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8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8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8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8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8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8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8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8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8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8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8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8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8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Gfp3jPugIgxySAyqRVPRx6c/gcbD300rKPvg+YQzHD9R73S1lmNxfsJIHqsvfMSrz/NECsXAXdCuatA3FH133A==" saltValue="qc6RAXx+ZVXricSUl20ssQ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76" priority="275" stopIfTrue="1" operator="between">
      <formula>6.81</formula>
      <formula>14</formula>
    </cfRule>
    <cfRule type="cellIs" dxfId="75" priority="276" stopIfTrue="1" operator="between">
      <formula>6.5</formula>
      <formula>6.8</formula>
    </cfRule>
    <cfRule type="cellIs" dxfId="74" priority="277" stopIfTrue="1" operator="between">
      <formula>6.2</formula>
      <formula>6.49</formula>
    </cfRule>
    <cfRule type="cellIs" dxfId="73" priority="278" stopIfTrue="1" operator="between">
      <formula>5.6</formula>
      <formula>6.19</formula>
    </cfRule>
    <cfRule type="cellIs" dxfId="72" priority="279" stopIfTrue="1" operator="between">
      <formula>3</formula>
      <formula>5.59</formula>
    </cfRule>
  </conditionalFormatting>
  <conditionalFormatting sqref="E1:E1048576">
    <cfRule type="cellIs" dxfId="71" priority="280" stopIfTrue="1" operator="between">
      <formula>7</formula>
      <formula>30</formula>
    </cfRule>
    <cfRule type="cellIs" dxfId="70" priority="281" stopIfTrue="1" operator="between">
      <formula>5</formula>
      <formula>6.99</formula>
    </cfRule>
    <cfRule type="cellIs" dxfId="69" priority="282" stopIfTrue="1" operator="between">
      <formula>3</formula>
      <formula>4.99</formula>
    </cfRule>
    <cfRule type="cellIs" dxfId="68" priority="283" stopIfTrue="1" operator="between">
      <formula>1</formula>
      <formula>2.99</formula>
    </cfRule>
    <cfRule type="cellIs" dxfId="67" priority="284" stopIfTrue="1" operator="between">
      <formula>0.001</formula>
      <formula>0.99</formula>
    </cfRule>
  </conditionalFormatting>
  <conditionalFormatting sqref="L1:L1048576">
    <cfRule type="cellIs" dxfId="66" priority="285" stopIfTrue="1" operator="between">
      <formula>0.01</formula>
      <formula>12.5</formula>
    </cfRule>
    <cfRule type="cellIs" dxfId="65" priority="286" stopIfTrue="1" operator="between">
      <formula>12.6</formula>
      <formula>25</formula>
    </cfRule>
    <cfRule type="cellIs" dxfId="64" priority="287" stopIfTrue="1" operator="between">
      <formula>26</formula>
      <formula>50</formula>
    </cfRule>
    <cfRule type="cellIs" dxfId="63" priority="288" stopIfTrue="1" operator="between">
      <formula>51</formula>
      <formula>100</formula>
    </cfRule>
    <cfRule type="cellIs" dxfId="62" priority="289" stopIfTrue="1" operator="between">
      <formula>101</formula>
      <formula>2000</formula>
    </cfRule>
  </conditionalFormatting>
  <conditionalFormatting sqref="O1:O1048576">
    <cfRule type="cellIs" dxfId="61" priority="290" stopIfTrue="1" operator="between">
      <formula>0.01</formula>
      <formula>300</formula>
    </cfRule>
    <cfRule type="cellIs" dxfId="60" priority="291" stopIfTrue="1" operator="between">
      <formula>301</formula>
      <formula>625</formula>
    </cfRule>
    <cfRule type="cellIs" dxfId="59" priority="292" stopIfTrue="1" operator="between">
      <formula>626</formula>
      <formula>1250</formula>
    </cfRule>
    <cfRule type="cellIs" dxfId="58" priority="293" stopIfTrue="1" operator="between">
      <formula>1251</formula>
      <formula>5000</formula>
    </cfRule>
    <cfRule type="cellIs" dxfId="57" priority="294" stopIfTrue="1" operator="between">
      <formula>5001</formula>
      <formula>100000</formula>
    </cfRule>
  </conditionalFormatting>
  <conditionalFormatting sqref="H1:H1048576">
    <cfRule type="cellIs" dxfId="56" priority="295" stopIfTrue="1" operator="between">
      <formula>0.01</formula>
      <formula>0.5</formula>
    </cfRule>
    <cfRule type="cellIs" dxfId="55" priority="296" stopIfTrue="1" operator="between">
      <formula>0.51</formula>
      <formula>1</formula>
    </cfRule>
    <cfRule type="cellIs" dxfId="54" priority="297" stopIfTrue="1" operator="between">
      <formula>1.01</formula>
      <formula>2.5</formula>
    </cfRule>
    <cfRule type="cellIs" dxfId="53" priority="298" stopIfTrue="1" operator="between">
      <formula>2.51</formula>
      <formula>7</formula>
    </cfRule>
    <cfRule type="cellIs" dxfId="52" priority="299" stopIfTrue="1" operator="between">
      <formula>7.01</formula>
      <formula>300</formula>
    </cfRule>
  </conditionalFormatting>
  <conditionalFormatting sqref="P1:P1048576">
    <cfRule type="cellIs" dxfId="51" priority="300" stopIfTrue="1" operator="between">
      <formula>0.01</formula>
      <formula>2</formula>
    </cfRule>
    <cfRule type="cellIs" dxfId="50" priority="301" stopIfTrue="1" operator="between">
      <formula>2.01</formula>
      <formula>5</formula>
    </cfRule>
    <cfRule type="cellIs" dxfId="49" priority="302" stopIfTrue="1" operator="between">
      <formula>5.01</formula>
      <formula>12</formula>
    </cfRule>
    <cfRule type="cellIs" dxfId="48" priority="303" stopIfTrue="1" operator="between">
      <formula>12.01</formula>
      <formula>25</formula>
    </cfRule>
    <cfRule type="cellIs" dxfId="47" priority="304" stopIfTrue="1" operator="between">
      <formula>25.01</formula>
      <formula>300</formula>
    </cfRule>
  </conditionalFormatting>
  <conditionalFormatting sqref="Q1:Q1048576">
    <cfRule type="cellIs" dxfId="46" priority="305" stopIfTrue="1" operator="between">
      <formula>8</formula>
      <formula>100</formula>
    </cfRule>
    <cfRule type="cellIs" dxfId="45" priority="306" stopIfTrue="1" operator="between">
      <formula>5</formula>
      <formula>7.99</formula>
    </cfRule>
    <cfRule type="cellIs" dxfId="44" priority="307" stopIfTrue="1" operator="between">
      <formula>2.5</formula>
      <formula>4.99</formula>
    </cfRule>
    <cfRule type="cellIs" dxfId="43" priority="308" stopIfTrue="1" operator="between">
      <formula>1</formula>
      <formula>2.49</formula>
    </cfRule>
    <cfRule type="cellIs" dxfId="42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P16" sqref="P16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429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343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335</v>
      </c>
      <c r="E3" s="183" t="s">
        <v>336</v>
      </c>
      <c r="F3" s="184" t="s">
        <v>337</v>
      </c>
      <c r="G3" s="183" t="s">
        <v>330</v>
      </c>
      <c r="H3" s="183" t="s">
        <v>338</v>
      </c>
      <c r="I3" s="183" t="s">
        <v>339</v>
      </c>
      <c r="J3" s="183" t="s">
        <v>340</v>
      </c>
      <c r="K3" s="183" t="s">
        <v>331</v>
      </c>
      <c r="L3" s="183" t="s">
        <v>341</v>
      </c>
      <c r="M3" s="183" t="s">
        <v>342</v>
      </c>
      <c r="N3" s="183" t="s">
        <v>332</v>
      </c>
      <c r="O3" s="183" t="s">
        <v>334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169</v>
      </c>
      <c r="E4" s="177" t="s">
        <v>169</v>
      </c>
      <c r="F4" s="177" t="s">
        <v>169</v>
      </c>
      <c r="G4" s="177" t="s">
        <v>106</v>
      </c>
      <c r="H4" s="177" t="s">
        <v>169</v>
      </c>
      <c r="I4" s="177" t="s">
        <v>169</v>
      </c>
      <c r="J4" s="177" t="s">
        <v>333</v>
      </c>
      <c r="K4" s="177" t="s">
        <v>106</v>
      </c>
      <c r="L4" s="177" t="s">
        <v>169</v>
      </c>
      <c r="M4" s="177" t="s">
        <v>169</v>
      </c>
      <c r="N4" s="177" t="s">
        <v>106</v>
      </c>
      <c r="O4" s="177" t="s">
        <v>415</v>
      </c>
      <c r="P4" s="165"/>
    </row>
    <row r="5" spans="1:44" s="388" customFormat="1" ht="12" customHeight="1">
      <c r="A5" s="118">
        <v>3</v>
      </c>
      <c r="B5" s="102" t="s">
        <v>252</v>
      </c>
      <c r="C5" s="712">
        <v>46035</v>
      </c>
      <c r="D5" s="212">
        <v>0.7</v>
      </c>
      <c r="E5" s="701" t="s">
        <v>445</v>
      </c>
      <c r="F5" s="704" t="s">
        <v>446</v>
      </c>
      <c r="G5" s="195">
        <v>94</v>
      </c>
      <c r="H5" s="192">
        <v>0.56999999999999995</v>
      </c>
      <c r="I5" s="212">
        <v>9.1999999999999998E-2</v>
      </c>
      <c r="J5" s="194" t="s">
        <v>149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252</v>
      </c>
      <c r="C6" s="713">
        <v>46065</v>
      </c>
      <c r="D6" s="212">
        <v>0.65</v>
      </c>
      <c r="E6" s="701" t="s">
        <v>445</v>
      </c>
      <c r="F6" s="704" t="s">
        <v>446</v>
      </c>
      <c r="G6" s="195">
        <v>89</v>
      </c>
      <c r="H6" s="192">
        <v>0.98</v>
      </c>
      <c r="I6" s="212">
        <v>8.6999999999999994E-2</v>
      </c>
      <c r="J6" s="194" t="s">
        <v>149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252</v>
      </c>
      <c r="C7" s="713">
        <v>46093</v>
      </c>
      <c r="D7" s="212">
        <v>0.52</v>
      </c>
      <c r="E7" s="701" t="s">
        <v>445</v>
      </c>
      <c r="F7" s="704" t="s">
        <v>446</v>
      </c>
      <c r="G7" s="195">
        <v>92</v>
      </c>
      <c r="H7" s="192">
        <v>0.9</v>
      </c>
      <c r="I7" s="212">
        <v>7.5999999999999998E-2</v>
      </c>
      <c r="J7" s="194" t="s">
        <v>149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252</v>
      </c>
      <c r="C8" s="713">
        <v>46125</v>
      </c>
      <c r="D8" s="212">
        <v>0.64</v>
      </c>
      <c r="E8" s="701">
        <v>2.1000000000000001E-2</v>
      </c>
      <c r="F8" s="704" t="s">
        <v>446</v>
      </c>
      <c r="G8" s="195">
        <v>85</v>
      </c>
      <c r="H8" s="192">
        <v>0.72</v>
      </c>
      <c r="I8" s="212">
        <v>6.6000000000000003E-2</v>
      </c>
      <c r="J8" s="194" t="s">
        <v>149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252</v>
      </c>
      <c r="C9" s="713">
        <v>46154</v>
      </c>
      <c r="D9" s="212">
        <v>0.76</v>
      </c>
      <c r="E9" s="701">
        <v>2.9000000000000001E-2</v>
      </c>
      <c r="F9" s="704" t="s">
        <v>446</v>
      </c>
      <c r="G9" s="195">
        <v>66</v>
      </c>
      <c r="H9" s="192">
        <v>1.4</v>
      </c>
      <c r="I9" s="212">
        <v>0.19</v>
      </c>
      <c r="J9" s="194" t="s">
        <v>149</v>
      </c>
      <c r="K9" s="192">
        <v>5.5</v>
      </c>
      <c r="L9" s="212">
        <v>0.8</v>
      </c>
      <c r="M9" s="192">
        <v>3</v>
      </c>
      <c r="N9" s="192">
        <v>6.9</v>
      </c>
      <c r="O9" s="195">
        <v>10</v>
      </c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252</v>
      </c>
      <c r="C10" s="713">
        <v>46183</v>
      </c>
      <c r="D10" s="212">
        <v>1.7</v>
      </c>
      <c r="E10" s="701" t="s">
        <v>445</v>
      </c>
      <c r="F10" s="704" t="s">
        <v>446</v>
      </c>
      <c r="G10" s="195">
        <v>78</v>
      </c>
      <c r="H10" s="192">
        <v>0.85</v>
      </c>
      <c r="I10" s="212">
        <v>7.8E-2</v>
      </c>
      <c r="J10" s="194" t="s">
        <v>149</v>
      </c>
      <c r="K10" s="192">
        <v>6.7</v>
      </c>
      <c r="L10" s="212">
        <v>1</v>
      </c>
      <c r="M10" s="192">
        <v>1.4</v>
      </c>
      <c r="N10" s="192">
        <v>8.3000000000000007</v>
      </c>
      <c r="O10" s="195">
        <v>12</v>
      </c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252</v>
      </c>
      <c r="C11" s="713"/>
      <c r="D11" s="212"/>
      <c r="E11" s="701"/>
      <c r="F11" s="704"/>
      <c r="G11" s="195"/>
      <c r="H11" s="192"/>
      <c r="I11" s="212"/>
      <c r="J11" s="194"/>
      <c r="K11" s="192"/>
      <c r="L11" s="212"/>
      <c r="M11" s="192"/>
      <c r="N11" s="192"/>
      <c r="O11" s="195"/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252</v>
      </c>
      <c r="C12" s="713"/>
      <c r="D12" s="212"/>
      <c r="E12" s="701"/>
      <c r="F12" s="704"/>
      <c r="G12" s="195"/>
      <c r="H12" s="192"/>
      <c r="I12" s="212"/>
      <c r="J12" s="194"/>
      <c r="K12" s="192"/>
      <c r="L12" s="212"/>
      <c r="M12" s="192"/>
      <c r="N12" s="192"/>
      <c r="O12" s="195"/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252</v>
      </c>
      <c r="C13" s="713"/>
      <c r="D13" s="212"/>
      <c r="E13" s="701"/>
      <c r="F13" s="704"/>
      <c r="G13" s="195"/>
      <c r="H13" s="192"/>
      <c r="I13" s="212"/>
      <c r="J13" s="194"/>
      <c r="K13" s="192"/>
      <c r="L13" s="212"/>
      <c r="M13" s="192"/>
      <c r="N13" s="192"/>
      <c r="O13" s="195"/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252</v>
      </c>
      <c r="C14" s="713"/>
      <c r="D14" s="212"/>
      <c r="E14" s="701"/>
      <c r="F14" s="704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252</v>
      </c>
      <c r="C15" s="713"/>
      <c r="D15" s="212"/>
      <c r="E15" s="701"/>
      <c r="F15" s="704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252</v>
      </c>
      <c r="C16" s="713"/>
      <c r="D16" s="212"/>
      <c r="E16" s="701"/>
      <c r="F16" s="704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4"/>
      <c r="D17" s="700"/>
      <c r="E17" s="702"/>
      <c r="F17" s="705"/>
      <c r="G17" s="706"/>
      <c r="H17" s="394"/>
      <c r="I17" s="700"/>
      <c r="J17" s="392"/>
      <c r="K17" s="394"/>
      <c r="L17" s="703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256</v>
      </c>
      <c r="C18" s="712">
        <v>46034</v>
      </c>
      <c r="D18" s="212">
        <v>0.56000000000000005</v>
      </c>
      <c r="E18" s="701" t="s">
        <v>445</v>
      </c>
      <c r="F18" s="704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149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256</v>
      </c>
      <c r="C19" s="713">
        <v>46100</v>
      </c>
      <c r="D19" s="212">
        <v>0.42</v>
      </c>
      <c r="E19" s="701">
        <v>2.7E-2</v>
      </c>
      <c r="F19" s="704">
        <v>1.7999999999999999E-2</v>
      </c>
      <c r="G19" s="195">
        <v>89</v>
      </c>
      <c r="H19" s="192">
        <v>1.6</v>
      </c>
      <c r="I19" s="212">
        <v>0.11</v>
      </c>
      <c r="J19" s="194" t="s">
        <v>149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256</v>
      </c>
      <c r="C20" s="713">
        <v>46153</v>
      </c>
      <c r="D20" s="212">
        <v>0.6</v>
      </c>
      <c r="E20" s="701" t="s">
        <v>445</v>
      </c>
      <c r="F20" s="704">
        <v>1.0999999999999999E-2</v>
      </c>
      <c r="G20" s="195">
        <v>88</v>
      </c>
      <c r="H20" s="192">
        <v>0.86</v>
      </c>
      <c r="I20" s="212">
        <v>5.7000000000000002E-2</v>
      </c>
      <c r="J20" s="194" t="s">
        <v>149</v>
      </c>
      <c r="K20" s="192">
        <v>8.5</v>
      </c>
      <c r="L20" s="212">
        <v>1.3</v>
      </c>
      <c r="M20" s="192" t="s">
        <v>65</v>
      </c>
      <c r="N20" s="192">
        <v>4.9000000000000004</v>
      </c>
      <c r="O20" s="195">
        <v>14</v>
      </c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256</v>
      </c>
      <c r="C21" s="713"/>
      <c r="D21" s="212"/>
      <c r="E21" s="701"/>
      <c r="F21" s="704"/>
      <c r="G21" s="195"/>
      <c r="H21" s="192"/>
      <c r="I21" s="212"/>
      <c r="J21" s="194"/>
      <c r="K21" s="192"/>
      <c r="L21" s="212"/>
      <c r="M21" s="192"/>
      <c r="N21" s="192"/>
      <c r="O21" s="195"/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256</v>
      </c>
      <c r="C22" s="713"/>
      <c r="D22" s="212"/>
      <c r="E22" s="701"/>
      <c r="F22" s="704"/>
      <c r="G22" s="195"/>
      <c r="H22" s="192"/>
      <c r="I22" s="212"/>
      <c r="J22" s="194"/>
      <c r="K22" s="192"/>
      <c r="L22" s="212"/>
      <c r="M22" s="192"/>
      <c r="N22" s="192"/>
      <c r="O22" s="195"/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256</v>
      </c>
      <c r="C23" s="713"/>
      <c r="D23" s="212"/>
      <c r="E23" s="701"/>
      <c r="F23" s="704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4"/>
      <c r="D24" s="700"/>
      <c r="E24" s="702"/>
      <c r="F24" s="705"/>
      <c r="G24" s="706"/>
      <c r="H24" s="394"/>
      <c r="I24" s="700"/>
      <c r="J24" s="392"/>
      <c r="K24" s="394"/>
      <c r="L24" s="703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260</v>
      </c>
      <c r="C25" s="712">
        <v>46034</v>
      </c>
      <c r="D25" s="212">
        <v>0.44</v>
      </c>
      <c r="E25" s="701" t="s">
        <v>445</v>
      </c>
      <c r="F25" s="704" t="s">
        <v>446</v>
      </c>
      <c r="G25" s="195">
        <v>100</v>
      </c>
      <c r="H25" s="192">
        <v>1.1000000000000001</v>
      </c>
      <c r="I25" s="212">
        <v>9.9000000000000005E-2</v>
      </c>
      <c r="J25" s="194" t="s">
        <v>149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260</v>
      </c>
      <c r="C26" s="713">
        <v>46093</v>
      </c>
      <c r="D26" s="212">
        <v>0.31</v>
      </c>
      <c r="E26" s="701">
        <v>2.4E-2</v>
      </c>
      <c r="F26" s="704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149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260</v>
      </c>
      <c r="C27" s="713">
        <v>46154</v>
      </c>
      <c r="D27" s="212">
        <v>0.6</v>
      </c>
      <c r="E27" s="701">
        <v>9.0999999999999998E-2</v>
      </c>
      <c r="F27" s="704">
        <v>0.01</v>
      </c>
      <c r="G27" s="195">
        <v>51</v>
      </c>
      <c r="H27" s="192">
        <v>1.6</v>
      </c>
      <c r="I27" s="212">
        <v>0.18</v>
      </c>
      <c r="J27" s="194" t="s">
        <v>149</v>
      </c>
      <c r="K27" s="192">
        <v>5.4</v>
      </c>
      <c r="L27" s="212">
        <v>1</v>
      </c>
      <c r="M27" s="192">
        <v>4.4000000000000004</v>
      </c>
      <c r="N27" s="192">
        <v>6.9</v>
      </c>
      <c r="O27" s="195">
        <v>8.3000000000000007</v>
      </c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260</v>
      </c>
      <c r="C28" s="713"/>
      <c r="D28" s="212"/>
      <c r="E28" s="701"/>
      <c r="F28" s="704"/>
      <c r="G28" s="195"/>
      <c r="H28" s="192"/>
      <c r="I28" s="212"/>
      <c r="J28" s="194"/>
      <c r="K28" s="192"/>
      <c r="L28" s="212"/>
      <c r="M28" s="192"/>
      <c r="N28" s="192"/>
      <c r="O28" s="195"/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260</v>
      </c>
      <c r="C29" s="713"/>
      <c r="D29" s="212"/>
      <c r="E29" s="701"/>
      <c r="F29" s="704"/>
      <c r="G29" s="195"/>
      <c r="H29" s="192"/>
      <c r="I29" s="212"/>
      <c r="J29" s="194"/>
      <c r="K29" s="192"/>
      <c r="L29" s="212"/>
      <c r="M29" s="192"/>
      <c r="N29" s="192"/>
      <c r="O29" s="195"/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260</v>
      </c>
      <c r="C30" s="713"/>
      <c r="D30" s="212"/>
      <c r="E30" s="701"/>
      <c r="F30" s="704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4"/>
      <c r="D31" s="700"/>
      <c r="E31" s="702"/>
      <c r="F31" s="705"/>
      <c r="G31" s="706"/>
      <c r="H31" s="394"/>
      <c r="I31" s="700"/>
      <c r="J31" s="392"/>
      <c r="K31" s="394"/>
      <c r="L31" s="703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268</v>
      </c>
      <c r="C32" s="712">
        <v>46034</v>
      </c>
      <c r="D32" s="212">
        <v>0.45</v>
      </c>
      <c r="E32" s="701" t="s">
        <v>445</v>
      </c>
      <c r="F32" s="704">
        <v>1.7999999999999999E-2</v>
      </c>
      <c r="G32" s="195">
        <v>95</v>
      </c>
      <c r="H32" s="192">
        <v>1.4</v>
      </c>
      <c r="I32" s="212">
        <v>0.11</v>
      </c>
      <c r="J32" s="194" t="s">
        <v>149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268</v>
      </c>
      <c r="C33" s="713">
        <v>46093</v>
      </c>
      <c r="D33" s="212">
        <v>0.38</v>
      </c>
      <c r="E33" s="701">
        <v>2.5999999999999999E-2</v>
      </c>
      <c r="F33" s="704">
        <v>2.8000000000000001E-2</v>
      </c>
      <c r="G33" s="195">
        <v>79</v>
      </c>
      <c r="H33" s="192">
        <v>1.5</v>
      </c>
      <c r="I33" s="212">
        <v>0.1</v>
      </c>
      <c r="J33" s="194" t="s">
        <v>149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268</v>
      </c>
      <c r="C34" s="713">
        <v>46154</v>
      </c>
      <c r="D34" s="212">
        <v>0.65</v>
      </c>
      <c r="E34" s="701" t="s">
        <v>445</v>
      </c>
      <c r="F34" s="704">
        <v>1.2E-2</v>
      </c>
      <c r="G34" s="195">
        <v>80</v>
      </c>
      <c r="H34" s="192">
        <v>1.2</v>
      </c>
      <c r="I34" s="212">
        <v>6.5000000000000002E-2</v>
      </c>
      <c r="J34" s="194" t="s">
        <v>149</v>
      </c>
      <c r="K34" s="192">
        <v>4.9000000000000004</v>
      </c>
      <c r="L34" s="212">
        <v>0.64</v>
      </c>
      <c r="M34" s="192" t="s">
        <v>65</v>
      </c>
      <c r="N34" s="192">
        <v>6.8</v>
      </c>
      <c r="O34" s="195">
        <v>12</v>
      </c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268</v>
      </c>
      <c r="C35" s="713"/>
      <c r="D35" s="212"/>
      <c r="E35" s="701"/>
      <c r="F35" s="704"/>
      <c r="G35" s="195"/>
      <c r="H35" s="192"/>
      <c r="I35" s="212"/>
      <c r="J35" s="194"/>
      <c r="K35" s="192"/>
      <c r="L35" s="212"/>
      <c r="M35" s="192"/>
      <c r="N35" s="192"/>
      <c r="O35" s="195"/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268</v>
      </c>
      <c r="C36" s="713"/>
      <c r="D36" s="212"/>
      <c r="E36" s="701"/>
      <c r="F36" s="704"/>
      <c r="G36" s="195"/>
      <c r="H36" s="192"/>
      <c r="I36" s="212"/>
      <c r="J36" s="194"/>
      <c r="K36" s="192"/>
      <c r="L36" s="212"/>
      <c r="M36" s="192"/>
      <c r="N36" s="192"/>
      <c r="O36" s="195"/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268</v>
      </c>
      <c r="C37" s="713"/>
      <c r="D37" s="212"/>
      <c r="E37" s="701"/>
      <c r="F37" s="704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3K1TnIznBa3JbSiiZXJfl913UcCJEouuHr55IwqLC9p55SfdHrzbC5w2ZTy0gZDoJjR8fneYiSNNpIiEXi3E4A==" saltValue="1hB4YsxZ66etin4rsxeI0A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12" activePane="bottomLeft" state="frozen"/>
      <selection pane="bottomLeft" activeCell="AF52" sqref="AF52"/>
    </sheetView>
  </sheetViews>
  <sheetFormatPr defaultColWidth="9.109375" defaultRowHeight="13.2"/>
  <cols>
    <col min="1" max="1" width="2.44140625" style="166" customWidth="1"/>
    <col min="2" max="2" width="5.33203125" style="624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4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4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1" customFormat="1" ht="30.75" customHeight="1">
      <c r="B1" s="672"/>
      <c r="L1" s="672"/>
      <c r="V1" s="672"/>
    </row>
    <row r="2" spans="2:30" s="671" customFormat="1" ht="22.8">
      <c r="B2" s="693" t="s">
        <v>428</v>
      </c>
      <c r="C2" s="673"/>
      <c r="D2" s="674"/>
      <c r="L2" s="675"/>
      <c r="M2" s="674"/>
      <c r="N2" s="674"/>
      <c r="V2" s="675"/>
      <c r="W2" s="674"/>
      <c r="X2" s="674"/>
    </row>
    <row r="3" spans="2:30" s="671" customFormat="1" ht="22.8">
      <c r="B3" s="693" t="s">
        <v>351</v>
      </c>
      <c r="C3" s="673"/>
      <c r="D3" s="674"/>
      <c r="L3" s="675"/>
      <c r="M3" s="674"/>
      <c r="N3" s="674"/>
      <c r="V3" s="675"/>
      <c r="W3" s="674"/>
      <c r="X3" s="674"/>
    </row>
    <row r="4" spans="2:30" s="671" customFormat="1" ht="12.75" customHeight="1">
      <c r="B4" s="672"/>
      <c r="L4" s="672"/>
      <c r="V4" s="672"/>
    </row>
    <row r="5" spans="2:30" s="671" customFormat="1" ht="6.75" customHeight="1">
      <c r="B5" s="672"/>
      <c r="L5" s="672"/>
      <c r="V5" s="672"/>
    </row>
    <row r="7" spans="2:30">
      <c r="B7" s="676" t="s">
        <v>314</v>
      </c>
      <c r="C7" s="677"/>
      <c r="D7" s="678" t="s">
        <v>347</v>
      </c>
      <c r="E7" s="677"/>
      <c r="F7" s="679">
        <f>Resultat!$C24</f>
        <v>46034</v>
      </c>
      <c r="L7" s="676" t="s">
        <v>315</v>
      </c>
      <c r="M7" s="677"/>
      <c r="N7" s="678" t="s">
        <v>347</v>
      </c>
      <c r="P7" s="679">
        <f>Resultat!$C36</f>
        <v>46065</v>
      </c>
      <c r="V7" s="676" t="s">
        <v>316</v>
      </c>
      <c r="W7" s="677"/>
      <c r="X7" s="678" t="s">
        <v>347</v>
      </c>
      <c r="Z7" s="679">
        <f>Resultat!$C58</f>
        <v>46100</v>
      </c>
    </row>
    <row r="8" spans="2:30">
      <c r="B8" s="680" t="s">
        <v>344</v>
      </c>
      <c r="C8" s="681" t="s">
        <v>345</v>
      </c>
      <c r="D8" s="681" t="s">
        <v>346</v>
      </c>
      <c r="G8" s="682"/>
      <c r="H8" s="682"/>
      <c r="I8" s="682"/>
      <c r="J8" s="683"/>
      <c r="L8" s="680" t="s">
        <v>344</v>
      </c>
      <c r="M8" s="684" t="s">
        <v>345</v>
      </c>
      <c r="N8" s="684" t="s">
        <v>346</v>
      </c>
      <c r="O8" s="682"/>
      <c r="P8" s="682"/>
      <c r="Q8" s="682"/>
      <c r="R8" s="682"/>
      <c r="S8" s="682"/>
      <c r="T8" s="683"/>
      <c r="V8" s="680" t="s">
        <v>344</v>
      </c>
      <c r="W8" s="684" t="s">
        <v>345</v>
      </c>
      <c r="X8" s="684" t="s">
        <v>346</v>
      </c>
      <c r="Y8" s="682"/>
      <c r="Z8" s="682"/>
      <c r="AA8" s="682"/>
      <c r="AB8" s="682"/>
      <c r="AC8" s="682"/>
      <c r="AD8" s="683"/>
    </row>
    <row r="9" spans="2:30">
      <c r="B9" s="685" t="s">
        <v>348</v>
      </c>
      <c r="C9" s="686" t="s">
        <v>349</v>
      </c>
      <c r="D9" s="686" t="s">
        <v>350</v>
      </c>
      <c r="J9" s="687"/>
      <c r="L9" s="685" t="s">
        <v>348</v>
      </c>
      <c r="M9" s="686" t="s">
        <v>349</v>
      </c>
      <c r="N9" s="686" t="s">
        <v>350</v>
      </c>
      <c r="T9" s="687"/>
      <c r="V9" s="685" t="s">
        <v>348</v>
      </c>
      <c r="W9" s="686" t="s">
        <v>349</v>
      </c>
      <c r="X9" s="686" t="s">
        <v>350</v>
      </c>
      <c r="AD9" s="687"/>
    </row>
    <row r="10" spans="2:30" ht="9.9" customHeight="1">
      <c r="B10" s="688">
        <v>0.5</v>
      </c>
      <c r="C10" s="689">
        <f>IF(Resultat!$D24="",0,Resultat!$D24)</f>
        <v>0.6</v>
      </c>
      <c r="D10" s="689">
        <f>IF(Resultat!$E24="",0,Resultat!$E24)</f>
        <v>14.7</v>
      </c>
      <c r="J10" s="687"/>
      <c r="L10" s="688">
        <v>0.5</v>
      </c>
      <c r="M10" s="689">
        <f>IF(Resultat!$D36="",0,Resultat!$D36)</f>
        <v>0.1</v>
      </c>
      <c r="N10" s="689">
        <f>IF(Resultat!$E36="",0,Resultat!$E36)</f>
        <v>14.01</v>
      </c>
      <c r="T10" s="687"/>
      <c r="V10" s="688">
        <v>0.5</v>
      </c>
      <c r="W10" s="689">
        <f>IF(Resultat!$D58="",0,Resultat!$D58)</f>
        <v>4.5</v>
      </c>
      <c r="X10" s="689">
        <f>IF(Resultat!$E58="",0,Resultat!$E58)</f>
        <v>18.899999999999999</v>
      </c>
      <c r="AD10" s="687"/>
    </row>
    <row r="11" spans="2:30" ht="9.9" customHeight="1">
      <c r="B11" s="690">
        <v>1</v>
      </c>
      <c r="C11" s="669"/>
      <c r="D11" s="669"/>
      <c r="J11" s="687"/>
      <c r="L11" s="690">
        <v>1</v>
      </c>
      <c r="M11" s="669"/>
      <c r="N11" s="669"/>
      <c r="T11" s="687"/>
      <c r="V11" s="690">
        <v>1</v>
      </c>
      <c r="W11" s="669"/>
      <c r="X11" s="669"/>
      <c r="AD11" s="687"/>
    </row>
    <row r="12" spans="2:30" ht="9.9" customHeight="1">
      <c r="B12" s="690">
        <v>2</v>
      </c>
      <c r="C12" s="669"/>
      <c r="D12" s="669"/>
      <c r="J12" s="687"/>
      <c r="L12" s="690">
        <v>2</v>
      </c>
      <c r="M12" s="669"/>
      <c r="N12" s="669"/>
      <c r="T12" s="687"/>
      <c r="V12" s="690">
        <v>2</v>
      </c>
      <c r="W12" s="669"/>
      <c r="X12" s="669"/>
      <c r="AD12" s="687"/>
    </row>
    <row r="13" spans="2:30" ht="9.9" customHeight="1">
      <c r="B13" s="690">
        <v>3</v>
      </c>
      <c r="C13" s="669"/>
      <c r="D13" s="669"/>
      <c r="J13" s="687"/>
      <c r="L13" s="690">
        <v>3</v>
      </c>
      <c r="M13" s="669"/>
      <c r="N13" s="669"/>
      <c r="T13" s="687"/>
      <c r="V13" s="690">
        <v>3</v>
      </c>
      <c r="W13" s="669"/>
      <c r="X13" s="669"/>
      <c r="AD13" s="687"/>
    </row>
    <row r="14" spans="2:30" ht="9.9" customHeight="1">
      <c r="B14" s="690">
        <v>4</v>
      </c>
      <c r="C14" s="669"/>
      <c r="D14" s="669"/>
      <c r="J14" s="687"/>
      <c r="L14" s="690">
        <v>4</v>
      </c>
      <c r="M14" s="669"/>
      <c r="N14" s="669"/>
      <c r="T14" s="687"/>
      <c r="V14" s="690">
        <v>4</v>
      </c>
      <c r="W14" s="669"/>
      <c r="X14" s="669"/>
      <c r="AD14" s="687"/>
    </row>
    <row r="15" spans="2:30" ht="9.9" customHeight="1">
      <c r="B15" s="690">
        <v>5</v>
      </c>
      <c r="C15" s="669"/>
      <c r="D15" s="669"/>
      <c r="J15" s="687"/>
      <c r="L15" s="690">
        <v>5</v>
      </c>
      <c r="M15" s="669"/>
      <c r="N15" s="669"/>
      <c r="T15" s="687"/>
      <c r="V15" s="690">
        <v>5</v>
      </c>
      <c r="W15" s="669"/>
      <c r="X15" s="669"/>
      <c r="AD15" s="687"/>
    </row>
    <row r="16" spans="2:30" ht="9.9" customHeight="1">
      <c r="B16" s="690">
        <v>6</v>
      </c>
      <c r="C16" s="669"/>
      <c r="D16" s="669"/>
      <c r="J16" s="687"/>
      <c r="L16" s="690">
        <v>6</v>
      </c>
      <c r="M16" s="669">
        <v>1</v>
      </c>
      <c r="N16" s="669">
        <v>13.7</v>
      </c>
      <c r="T16" s="687"/>
      <c r="V16" s="690">
        <v>6</v>
      </c>
      <c r="W16" s="669"/>
      <c r="X16" s="669"/>
      <c r="AD16" s="687"/>
    </row>
    <row r="17" spans="2:30" ht="9.9" customHeight="1">
      <c r="B17" s="690">
        <v>7</v>
      </c>
      <c r="C17" s="669"/>
      <c r="D17" s="669"/>
      <c r="J17" s="687"/>
      <c r="L17" s="690">
        <v>7</v>
      </c>
      <c r="M17" s="669"/>
      <c r="N17" s="669"/>
      <c r="T17" s="687"/>
      <c r="V17" s="690">
        <v>7</v>
      </c>
      <c r="W17" s="669"/>
      <c r="X17" s="669"/>
      <c r="AD17" s="687"/>
    </row>
    <row r="18" spans="2:30" ht="9.9" customHeight="1">
      <c r="B18" s="690">
        <v>8</v>
      </c>
      <c r="C18" s="669"/>
      <c r="D18" s="669"/>
      <c r="J18" s="687"/>
      <c r="L18" s="690">
        <v>8</v>
      </c>
      <c r="M18" s="669"/>
      <c r="N18" s="669"/>
      <c r="T18" s="687"/>
      <c r="V18" s="690">
        <v>8</v>
      </c>
      <c r="W18" s="669"/>
      <c r="X18" s="669"/>
      <c r="AD18" s="687"/>
    </row>
    <row r="19" spans="2:30" ht="9.9" customHeight="1">
      <c r="B19" s="690">
        <v>9</v>
      </c>
      <c r="C19" s="669"/>
      <c r="D19" s="669"/>
      <c r="J19" s="687"/>
      <c r="L19" s="690">
        <v>9</v>
      </c>
      <c r="M19" s="669"/>
      <c r="N19" s="669"/>
      <c r="T19" s="687"/>
      <c r="V19" s="690">
        <v>9</v>
      </c>
      <c r="W19" s="669"/>
      <c r="X19" s="669"/>
      <c r="AD19" s="687"/>
    </row>
    <row r="20" spans="2:30" ht="9.9" customHeight="1">
      <c r="B20" s="690">
        <v>10</v>
      </c>
      <c r="C20" s="669"/>
      <c r="D20" s="669"/>
      <c r="J20" s="687"/>
      <c r="L20" s="690">
        <v>10</v>
      </c>
      <c r="M20" s="669"/>
      <c r="N20" s="669"/>
      <c r="T20" s="687"/>
      <c r="V20" s="690">
        <v>10</v>
      </c>
      <c r="W20" s="669"/>
      <c r="X20" s="669"/>
      <c r="AD20" s="687"/>
    </row>
    <row r="21" spans="2:30" ht="9.9" customHeight="1">
      <c r="B21" s="690">
        <v>11</v>
      </c>
      <c r="C21" s="669"/>
      <c r="D21" s="669"/>
      <c r="J21" s="687"/>
      <c r="L21" s="690">
        <v>11</v>
      </c>
      <c r="M21" s="669"/>
      <c r="N21" s="669"/>
      <c r="T21" s="687"/>
      <c r="V21" s="690">
        <v>11</v>
      </c>
      <c r="W21" s="669"/>
      <c r="X21" s="669"/>
      <c r="AD21" s="687"/>
    </row>
    <row r="22" spans="2:30" ht="9.9" customHeight="1">
      <c r="B22" s="690">
        <v>12</v>
      </c>
      <c r="C22" s="669"/>
      <c r="D22" s="669"/>
      <c r="J22" s="687"/>
      <c r="L22" s="690">
        <v>12</v>
      </c>
      <c r="M22" s="669"/>
      <c r="N22" s="669"/>
      <c r="T22" s="687"/>
      <c r="V22" s="690">
        <v>12</v>
      </c>
      <c r="W22" s="669"/>
      <c r="X22" s="669"/>
      <c r="AD22" s="687"/>
    </row>
    <row r="23" spans="2:30" ht="9.9" customHeight="1">
      <c r="B23" s="690">
        <v>13</v>
      </c>
      <c r="C23" s="669"/>
      <c r="D23" s="669"/>
      <c r="J23" s="687"/>
      <c r="L23" s="690">
        <v>13</v>
      </c>
      <c r="M23" s="669"/>
      <c r="N23" s="669"/>
      <c r="T23" s="687"/>
      <c r="V23" s="690">
        <v>13</v>
      </c>
      <c r="W23" s="669"/>
      <c r="X23" s="669"/>
      <c r="AD23" s="687"/>
    </row>
    <row r="24" spans="2:30" ht="9.9" customHeight="1">
      <c r="B24" s="690">
        <v>14</v>
      </c>
      <c r="C24" s="669"/>
      <c r="D24" s="669"/>
      <c r="J24" s="687"/>
      <c r="L24" s="690">
        <v>14</v>
      </c>
      <c r="M24" s="669"/>
      <c r="N24" s="669"/>
      <c r="T24" s="687"/>
      <c r="V24" s="690">
        <v>14</v>
      </c>
      <c r="W24" s="669">
        <v>4.5</v>
      </c>
      <c r="X24" s="669">
        <v>17.899999999999999</v>
      </c>
      <c r="AD24" s="687"/>
    </row>
    <row r="25" spans="2:30" ht="9.9" customHeight="1">
      <c r="B25" s="690">
        <v>15</v>
      </c>
      <c r="C25" s="669"/>
      <c r="D25" s="669"/>
      <c r="J25" s="687"/>
      <c r="L25" s="690">
        <v>15</v>
      </c>
      <c r="M25" s="669"/>
      <c r="N25" s="669"/>
      <c r="T25" s="687"/>
      <c r="V25" s="690">
        <v>15</v>
      </c>
      <c r="W25" s="669"/>
      <c r="X25" s="669"/>
      <c r="AD25" s="687"/>
    </row>
    <row r="26" spans="2:30" ht="9.9" customHeight="1">
      <c r="B26" s="691">
        <v>16</v>
      </c>
      <c r="C26" s="670"/>
      <c r="D26" s="670"/>
      <c r="E26" s="677"/>
      <c r="F26" s="677"/>
      <c r="G26" s="677"/>
      <c r="H26" s="677"/>
      <c r="I26" s="677"/>
      <c r="J26" s="692"/>
      <c r="L26" s="691">
        <v>16</v>
      </c>
      <c r="M26" s="670"/>
      <c r="N26" s="670"/>
      <c r="O26" s="677"/>
      <c r="P26" s="677"/>
      <c r="Q26" s="677"/>
      <c r="R26" s="677"/>
      <c r="S26" s="677"/>
      <c r="T26" s="692"/>
      <c r="V26" s="691">
        <v>16</v>
      </c>
      <c r="W26" s="670"/>
      <c r="X26" s="670"/>
      <c r="Y26" s="677"/>
      <c r="Z26" s="677"/>
      <c r="AA26" s="677"/>
      <c r="AB26" s="677"/>
      <c r="AC26" s="677"/>
      <c r="AD26" s="692"/>
    </row>
    <row r="28" spans="2:30">
      <c r="B28" s="676" t="s">
        <v>317</v>
      </c>
      <c r="C28" s="677"/>
      <c r="D28" s="678" t="s">
        <v>347</v>
      </c>
      <c r="E28" s="677"/>
      <c r="F28" s="679">
        <f>Resultat!$C70</f>
        <v>46125</v>
      </c>
      <c r="L28" s="676" t="s">
        <v>318</v>
      </c>
      <c r="M28" s="677"/>
      <c r="N28" s="678" t="s">
        <v>347</v>
      </c>
      <c r="P28" s="679">
        <f>Resultat!$C92</f>
        <v>46153</v>
      </c>
      <c r="V28" s="676" t="s">
        <v>319</v>
      </c>
      <c r="W28" s="677"/>
      <c r="X28" s="678" t="s">
        <v>347</v>
      </c>
      <c r="Z28" s="679">
        <f>Resultat!$C104</f>
        <v>46183</v>
      </c>
      <c r="AA28" s="735"/>
    </row>
    <row r="29" spans="2:30">
      <c r="B29" s="680" t="s">
        <v>344</v>
      </c>
      <c r="C29" s="681" t="s">
        <v>345</v>
      </c>
      <c r="D29" s="681" t="s">
        <v>346</v>
      </c>
      <c r="G29" s="682"/>
      <c r="H29" s="682"/>
      <c r="I29" s="682"/>
      <c r="J29" s="683"/>
      <c r="L29" s="680" t="s">
        <v>344</v>
      </c>
      <c r="M29" s="684" t="s">
        <v>345</v>
      </c>
      <c r="N29" s="684" t="s">
        <v>346</v>
      </c>
      <c r="O29" s="682"/>
      <c r="P29" s="682"/>
      <c r="Q29" s="682"/>
      <c r="R29" s="682"/>
      <c r="S29" s="682"/>
      <c r="T29" s="683"/>
      <c r="V29" s="680" t="s">
        <v>344</v>
      </c>
      <c r="W29" s="684" t="s">
        <v>345</v>
      </c>
      <c r="X29" s="684" t="s">
        <v>346</v>
      </c>
      <c r="Y29" s="682"/>
      <c r="Z29" s="682"/>
      <c r="AA29" s="682"/>
      <c r="AB29" s="682"/>
      <c r="AC29" s="682"/>
      <c r="AD29" s="683"/>
    </row>
    <row r="30" spans="2:30">
      <c r="B30" s="685" t="s">
        <v>348</v>
      </c>
      <c r="C30" s="686" t="s">
        <v>349</v>
      </c>
      <c r="D30" s="686" t="s">
        <v>350</v>
      </c>
      <c r="J30" s="687"/>
      <c r="L30" s="685" t="s">
        <v>348</v>
      </c>
      <c r="M30" s="686" t="s">
        <v>349</v>
      </c>
      <c r="N30" s="686" t="s">
        <v>350</v>
      </c>
      <c r="T30" s="687"/>
      <c r="V30" s="685" t="s">
        <v>348</v>
      </c>
      <c r="W30" s="686" t="s">
        <v>349</v>
      </c>
      <c r="X30" s="686" t="s">
        <v>350</v>
      </c>
      <c r="AD30" s="687"/>
    </row>
    <row r="31" spans="2:30" ht="9.9" customHeight="1">
      <c r="B31" s="688">
        <v>0.5</v>
      </c>
      <c r="C31" s="689">
        <f>IF(Resultat!$D70="",0,Resultat!$D70)</f>
        <v>7.6</v>
      </c>
      <c r="D31" s="689">
        <f>IF(Resultat!$E70="",0,Resultat!$E70)</f>
        <v>12.87</v>
      </c>
      <c r="J31" s="687"/>
      <c r="L31" s="688">
        <v>0.5</v>
      </c>
      <c r="M31" s="689">
        <f>IF(Resultat!$D92="",0,Resultat!$D92)</f>
        <v>13</v>
      </c>
      <c r="N31" s="689">
        <f>IF(Resultat!$E92="",0,Resultat!$E92)</f>
        <v>10.1</v>
      </c>
      <c r="T31" s="687"/>
      <c r="V31" s="688">
        <v>0.5</v>
      </c>
      <c r="W31" s="689">
        <f>IF(Resultat!$D104="",0,Resultat!$D104)</f>
        <v>17.600000000000001</v>
      </c>
      <c r="X31" s="689">
        <f>IF(Resultat!$E104="",0,Resultat!$E104)</f>
        <v>10.199999999999999</v>
      </c>
      <c r="AD31" s="687"/>
    </row>
    <row r="32" spans="2:30" ht="9.9" customHeight="1">
      <c r="B32" s="690">
        <v>1</v>
      </c>
      <c r="C32" s="669"/>
      <c r="D32" s="669"/>
      <c r="J32" s="687"/>
      <c r="L32" s="690">
        <v>1</v>
      </c>
      <c r="M32" s="669"/>
      <c r="N32" s="669"/>
      <c r="T32" s="687"/>
      <c r="V32" s="690">
        <v>1</v>
      </c>
      <c r="W32" s="669"/>
      <c r="X32" s="669"/>
      <c r="AD32" s="687"/>
    </row>
    <row r="33" spans="2:30" ht="9.9" customHeight="1">
      <c r="B33" s="690">
        <v>2</v>
      </c>
      <c r="C33" s="669"/>
      <c r="D33" s="669"/>
      <c r="J33" s="687"/>
      <c r="L33" s="690">
        <v>2</v>
      </c>
      <c r="M33" s="669"/>
      <c r="N33" s="669"/>
      <c r="T33" s="687"/>
      <c r="V33" s="690">
        <v>2</v>
      </c>
      <c r="W33" s="669"/>
      <c r="X33" s="669"/>
      <c r="AD33" s="687"/>
    </row>
    <row r="34" spans="2:30" ht="9.9" customHeight="1">
      <c r="B34" s="690">
        <v>3</v>
      </c>
      <c r="C34" s="669"/>
      <c r="D34" s="669"/>
      <c r="J34" s="687"/>
      <c r="L34" s="690">
        <v>3</v>
      </c>
      <c r="M34" s="669"/>
      <c r="N34" s="669"/>
      <c r="T34" s="687"/>
      <c r="V34" s="690">
        <v>3</v>
      </c>
      <c r="W34" s="669"/>
      <c r="X34" s="669"/>
      <c r="AD34" s="687"/>
    </row>
    <row r="35" spans="2:30" ht="9.9" customHeight="1">
      <c r="B35" s="690">
        <v>4</v>
      </c>
      <c r="C35" s="669"/>
      <c r="D35" s="669"/>
      <c r="J35" s="687"/>
      <c r="L35" s="690">
        <v>4</v>
      </c>
      <c r="M35" s="669"/>
      <c r="N35" s="669"/>
      <c r="T35" s="687"/>
      <c r="V35" s="690">
        <v>4</v>
      </c>
      <c r="W35" s="669"/>
      <c r="X35" s="669"/>
      <c r="AD35" s="687"/>
    </row>
    <row r="36" spans="2:30" ht="9.9" customHeight="1">
      <c r="B36" s="690">
        <v>5</v>
      </c>
      <c r="C36" s="669"/>
      <c r="D36" s="669"/>
      <c r="J36" s="687"/>
      <c r="L36" s="690">
        <v>5</v>
      </c>
      <c r="M36" s="669">
        <v>12.6</v>
      </c>
      <c r="N36" s="669">
        <v>10.199999999999999</v>
      </c>
      <c r="T36" s="687"/>
      <c r="V36" s="690">
        <v>5</v>
      </c>
      <c r="W36" s="669"/>
      <c r="X36" s="669"/>
      <c r="AD36" s="687"/>
    </row>
    <row r="37" spans="2:30" ht="9.9" customHeight="1">
      <c r="B37" s="690">
        <v>6</v>
      </c>
      <c r="C37" s="669"/>
      <c r="D37" s="669"/>
      <c r="J37" s="687"/>
      <c r="L37" s="690">
        <v>6</v>
      </c>
      <c r="M37" s="669"/>
      <c r="N37" s="669"/>
      <c r="T37" s="687"/>
      <c r="V37" s="690">
        <v>6</v>
      </c>
      <c r="W37" s="669"/>
      <c r="X37" s="669"/>
      <c r="AD37" s="687"/>
    </row>
    <row r="38" spans="2:30" ht="9.9" customHeight="1">
      <c r="B38" s="690">
        <v>7</v>
      </c>
      <c r="C38" s="669"/>
      <c r="D38" s="669"/>
      <c r="J38" s="687"/>
      <c r="L38" s="690">
        <v>7</v>
      </c>
      <c r="M38" s="669"/>
      <c r="N38" s="669"/>
      <c r="T38" s="687"/>
      <c r="V38" s="690">
        <v>7</v>
      </c>
      <c r="W38" s="669"/>
      <c r="X38" s="669"/>
      <c r="AD38" s="687"/>
    </row>
    <row r="39" spans="2:30" ht="9.9" customHeight="1">
      <c r="B39" s="690">
        <v>8</v>
      </c>
      <c r="C39" s="669"/>
      <c r="D39" s="669"/>
      <c r="J39" s="687"/>
      <c r="L39" s="690">
        <v>8</v>
      </c>
      <c r="M39" s="669"/>
      <c r="N39" s="669"/>
      <c r="T39" s="687"/>
      <c r="V39" s="690">
        <v>8</v>
      </c>
      <c r="W39" s="669"/>
      <c r="X39" s="669"/>
      <c r="AD39" s="687"/>
    </row>
    <row r="40" spans="2:30" ht="9.9" customHeight="1">
      <c r="B40" s="690">
        <v>9</v>
      </c>
      <c r="C40" s="669"/>
      <c r="D40" s="669"/>
      <c r="J40" s="687"/>
      <c r="L40" s="690">
        <v>9</v>
      </c>
      <c r="M40" s="669"/>
      <c r="N40" s="669"/>
      <c r="T40" s="687"/>
      <c r="V40" s="690">
        <v>9</v>
      </c>
      <c r="W40" s="669"/>
      <c r="X40" s="669"/>
      <c r="AD40" s="687"/>
    </row>
    <row r="41" spans="2:30" ht="9.9" customHeight="1">
      <c r="B41" s="690">
        <v>10</v>
      </c>
      <c r="C41" s="669"/>
      <c r="D41" s="669"/>
      <c r="J41" s="687"/>
      <c r="L41" s="690">
        <v>10</v>
      </c>
      <c r="M41" s="669">
        <v>12.5</v>
      </c>
      <c r="N41" s="669">
        <v>9.0500000000000007</v>
      </c>
      <c r="T41" s="687"/>
      <c r="V41" s="690">
        <v>10</v>
      </c>
      <c r="W41" s="669">
        <v>17.2</v>
      </c>
      <c r="X41" s="669">
        <v>9.6999999999999993</v>
      </c>
      <c r="AD41" s="687"/>
    </row>
    <row r="42" spans="2:30" ht="9.9" customHeight="1">
      <c r="B42" s="690">
        <v>11</v>
      </c>
      <c r="C42" s="669">
        <v>9</v>
      </c>
      <c r="D42" s="669">
        <v>12.5</v>
      </c>
      <c r="J42" s="687"/>
      <c r="L42" s="690">
        <v>11</v>
      </c>
      <c r="M42" s="669"/>
      <c r="N42" s="669"/>
      <c r="T42" s="687"/>
      <c r="V42" s="690">
        <v>11</v>
      </c>
      <c r="W42" s="669"/>
      <c r="X42" s="669"/>
      <c r="AD42" s="687"/>
    </row>
    <row r="43" spans="2:30" ht="9.9" customHeight="1">
      <c r="B43" s="690">
        <v>12</v>
      </c>
      <c r="C43" s="669"/>
      <c r="D43" s="669"/>
      <c r="J43" s="687"/>
      <c r="L43" s="690">
        <v>12</v>
      </c>
      <c r="M43" s="669">
        <v>12.4</v>
      </c>
      <c r="N43" s="669">
        <v>8.44</v>
      </c>
      <c r="T43" s="687"/>
      <c r="V43" s="690">
        <v>12</v>
      </c>
      <c r="W43" s="669">
        <v>16.7</v>
      </c>
      <c r="X43" s="669">
        <v>7.03</v>
      </c>
      <c r="AD43" s="687"/>
    </row>
    <row r="44" spans="2:30" ht="9.9" customHeight="1">
      <c r="B44" s="690">
        <v>13</v>
      </c>
      <c r="C44" s="669"/>
      <c r="D44" s="669"/>
      <c r="J44" s="687"/>
      <c r="L44" s="690">
        <v>13</v>
      </c>
      <c r="M44" s="669"/>
      <c r="N44" s="669"/>
      <c r="T44" s="687"/>
      <c r="V44" s="690">
        <v>13</v>
      </c>
      <c r="W44" s="669"/>
      <c r="X44" s="669"/>
      <c r="AD44" s="687"/>
    </row>
    <row r="45" spans="2:30" ht="9.9" customHeight="1">
      <c r="B45" s="690">
        <v>14</v>
      </c>
      <c r="C45" s="669"/>
      <c r="D45" s="669"/>
      <c r="J45" s="687"/>
      <c r="L45" s="690">
        <v>14</v>
      </c>
      <c r="M45" s="669">
        <v>11.7</v>
      </c>
      <c r="N45" s="669">
        <v>5.04</v>
      </c>
      <c r="T45" s="687"/>
      <c r="V45" s="690">
        <v>14</v>
      </c>
      <c r="W45" s="669">
        <v>16.5</v>
      </c>
      <c r="X45" s="669">
        <v>4.7</v>
      </c>
      <c r="AD45" s="687"/>
    </row>
    <row r="46" spans="2:30" ht="9.9" customHeight="1">
      <c r="B46" s="690">
        <v>15</v>
      </c>
      <c r="C46" s="669"/>
      <c r="D46" s="669"/>
      <c r="J46" s="687"/>
      <c r="L46" s="690">
        <v>15</v>
      </c>
      <c r="M46" s="669"/>
      <c r="N46" s="669"/>
      <c r="T46" s="687"/>
      <c r="V46" s="690">
        <v>15</v>
      </c>
      <c r="W46" s="669"/>
      <c r="X46" s="669"/>
      <c r="AD46" s="687"/>
    </row>
    <row r="47" spans="2:30" ht="9.9" customHeight="1">
      <c r="B47" s="691">
        <v>16</v>
      </c>
      <c r="C47" s="670"/>
      <c r="D47" s="670"/>
      <c r="E47" s="677"/>
      <c r="F47" s="677"/>
      <c r="G47" s="677"/>
      <c r="H47" s="677"/>
      <c r="I47" s="677"/>
      <c r="J47" s="692"/>
      <c r="L47" s="691">
        <v>16</v>
      </c>
      <c r="M47" s="670"/>
      <c r="N47" s="670"/>
      <c r="O47" s="677"/>
      <c r="P47" s="677"/>
      <c r="Q47" s="677"/>
      <c r="R47" s="677"/>
      <c r="S47" s="677"/>
      <c r="T47" s="692"/>
      <c r="V47" s="691">
        <v>16</v>
      </c>
      <c r="W47" s="670"/>
      <c r="X47" s="670"/>
      <c r="Y47" s="677"/>
      <c r="Z47" s="677"/>
      <c r="AA47" s="677"/>
      <c r="AB47" s="677"/>
      <c r="AC47" s="677"/>
      <c r="AD47" s="692"/>
    </row>
    <row r="49" spans="2:30">
      <c r="B49" s="676" t="s">
        <v>320</v>
      </c>
      <c r="C49" s="677"/>
      <c r="D49" s="678" t="s">
        <v>347</v>
      </c>
      <c r="E49" s="677"/>
      <c r="F49" s="679" t="str">
        <f>Resultat!$C126</f>
        <v/>
      </c>
      <c r="L49" s="676" t="s">
        <v>321</v>
      </c>
      <c r="M49" s="677"/>
      <c r="N49" s="678" t="s">
        <v>347</v>
      </c>
      <c r="P49" s="679" t="str">
        <f>Resultat!$C138</f>
        <v/>
      </c>
      <c r="V49" s="676" t="s">
        <v>322</v>
      </c>
      <c r="W49" s="677"/>
      <c r="X49" s="678" t="s">
        <v>347</v>
      </c>
      <c r="Z49" s="679" t="str">
        <f>Resultat!$C160</f>
        <v/>
      </c>
    </row>
    <row r="50" spans="2:30">
      <c r="B50" s="680" t="s">
        <v>344</v>
      </c>
      <c r="C50" s="681" t="s">
        <v>345</v>
      </c>
      <c r="D50" s="681" t="s">
        <v>346</v>
      </c>
      <c r="G50" s="682"/>
      <c r="H50" s="682"/>
      <c r="I50" s="682"/>
      <c r="J50" s="683"/>
      <c r="L50" s="680" t="s">
        <v>344</v>
      </c>
      <c r="M50" s="684" t="s">
        <v>345</v>
      </c>
      <c r="N50" s="684" t="s">
        <v>346</v>
      </c>
      <c r="O50" s="682"/>
      <c r="P50" s="682"/>
      <c r="Q50" s="682"/>
      <c r="R50" s="682"/>
      <c r="S50" s="682"/>
      <c r="T50" s="683"/>
      <c r="V50" s="680" t="s">
        <v>344</v>
      </c>
      <c r="W50" s="684" t="s">
        <v>345</v>
      </c>
      <c r="X50" s="684" t="s">
        <v>346</v>
      </c>
      <c r="Y50" s="682"/>
      <c r="Z50" s="682"/>
      <c r="AA50" s="682"/>
      <c r="AB50" s="682"/>
      <c r="AC50" s="682"/>
      <c r="AD50" s="683"/>
    </row>
    <row r="51" spans="2:30">
      <c r="B51" s="685" t="s">
        <v>348</v>
      </c>
      <c r="C51" s="686" t="s">
        <v>349</v>
      </c>
      <c r="D51" s="686" t="s">
        <v>350</v>
      </c>
      <c r="J51" s="687"/>
      <c r="L51" s="685" t="s">
        <v>348</v>
      </c>
      <c r="M51" s="686" t="s">
        <v>349</v>
      </c>
      <c r="N51" s="686" t="s">
        <v>350</v>
      </c>
      <c r="T51" s="687"/>
      <c r="V51" s="685" t="s">
        <v>348</v>
      </c>
      <c r="W51" s="686" t="s">
        <v>349</v>
      </c>
      <c r="X51" s="686" t="s">
        <v>350</v>
      </c>
      <c r="AD51" s="687"/>
    </row>
    <row r="52" spans="2:30" ht="9.9" customHeight="1">
      <c r="B52" s="688">
        <v>0.5</v>
      </c>
      <c r="C52" s="689">
        <f>IF(Resultat!$D126="",0,Resultat!$D126)</f>
        <v>0</v>
      </c>
      <c r="D52" s="689">
        <f>IF(Resultat!$E126="",0,Resultat!$E126)</f>
        <v>0</v>
      </c>
      <c r="J52" s="687"/>
      <c r="L52" s="688">
        <v>0.5</v>
      </c>
      <c r="M52" s="689">
        <f>IF(Resultat!$D138="",0,Resultat!$D138)</f>
        <v>0</v>
      </c>
      <c r="N52" s="689">
        <f>IF(Resultat!$E138="",0,Resultat!$E138)</f>
        <v>0</v>
      </c>
      <c r="T52" s="687"/>
      <c r="V52" s="688">
        <v>0.5</v>
      </c>
      <c r="W52" s="689">
        <f>IF(Resultat!$D160="",0,Resultat!$D160)</f>
        <v>0</v>
      </c>
      <c r="X52" s="689">
        <f>IF(Resultat!$E160="",0,Resultat!$E160)</f>
        <v>0</v>
      </c>
      <c r="AD52" s="687"/>
    </row>
    <row r="53" spans="2:30" ht="9.9" customHeight="1">
      <c r="B53" s="690">
        <v>1</v>
      </c>
      <c r="C53" s="669"/>
      <c r="D53" s="669"/>
      <c r="J53" s="687"/>
      <c r="L53" s="690">
        <v>1</v>
      </c>
      <c r="M53" s="669"/>
      <c r="N53" s="669"/>
      <c r="T53" s="687"/>
      <c r="V53" s="690">
        <v>1</v>
      </c>
      <c r="W53" s="669"/>
      <c r="X53" s="669"/>
      <c r="AD53" s="687"/>
    </row>
    <row r="54" spans="2:30" ht="9.9" customHeight="1">
      <c r="B54" s="690">
        <v>2</v>
      </c>
      <c r="C54" s="669"/>
      <c r="D54" s="669"/>
      <c r="J54" s="687"/>
      <c r="L54" s="690">
        <v>2</v>
      </c>
      <c r="M54" s="669"/>
      <c r="N54" s="669"/>
      <c r="T54" s="687"/>
      <c r="V54" s="690">
        <v>2</v>
      </c>
      <c r="W54" s="669"/>
      <c r="X54" s="669"/>
      <c r="AD54" s="687"/>
    </row>
    <row r="55" spans="2:30" ht="9.9" customHeight="1">
      <c r="B55" s="690">
        <v>3</v>
      </c>
      <c r="C55" s="669"/>
      <c r="D55" s="669"/>
      <c r="J55" s="687"/>
      <c r="L55" s="690">
        <v>3</v>
      </c>
      <c r="M55" s="669"/>
      <c r="N55" s="669"/>
      <c r="T55" s="687"/>
      <c r="V55" s="690">
        <v>3</v>
      </c>
      <c r="W55" s="669"/>
      <c r="X55" s="669"/>
      <c r="AD55" s="687"/>
    </row>
    <row r="56" spans="2:30" ht="9.9" customHeight="1">
      <c r="B56" s="690">
        <v>4</v>
      </c>
      <c r="C56" s="669"/>
      <c r="D56" s="669"/>
      <c r="J56" s="687"/>
      <c r="L56" s="690">
        <v>4</v>
      </c>
      <c r="M56" s="669"/>
      <c r="N56" s="669"/>
      <c r="T56" s="687"/>
      <c r="V56" s="690">
        <v>4</v>
      </c>
      <c r="W56" s="669"/>
      <c r="X56" s="669"/>
      <c r="AD56" s="687"/>
    </row>
    <row r="57" spans="2:30" ht="9.9" customHeight="1">
      <c r="B57" s="690">
        <v>5</v>
      </c>
      <c r="C57" s="669"/>
      <c r="D57" s="669"/>
      <c r="J57" s="687"/>
      <c r="L57" s="690">
        <v>5</v>
      </c>
      <c r="M57" s="669"/>
      <c r="N57" s="669"/>
      <c r="T57" s="687"/>
      <c r="V57" s="690">
        <v>5</v>
      </c>
      <c r="W57" s="669"/>
      <c r="X57" s="669"/>
      <c r="AD57" s="687"/>
    </row>
    <row r="58" spans="2:30" ht="9.9" customHeight="1">
      <c r="B58" s="690">
        <v>6</v>
      </c>
      <c r="C58" s="669"/>
      <c r="D58" s="669"/>
      <c r="J58" s="687"/>
      <c r="L58" s="690">
        <v>6</v>
      </c>
      <c r="M58" s="669"/>
      <c r="N58" s="669"/>
      <c r="T58" s="687"/>
      <c r="V58" s="690">
        <v>6</v>
      </c>
      <c r="W58" s="669"/>
      <c r="X58" s="669"/>
      <c r="AD58" s="687"/>
    </row>
    <row r="59" spans="2:30" ht="9.9" customHeight="1">
      <c r="B59" s="690">
        <v>7</v>
      </c>
      <c r="C59" s="669"/>
      <c r="D59" s="669"/>
      <c r="J59" s="687"/>
      <c r="L59" s="690">
        <v>7</v>
      </c>
      <c r="M59" s="669"/>
      <c r="N59" s="669"/>
      <c r="T59" s="687"/>
      <c r="V59" s="690">
        <v>7</v>
      </c>
      <c r="W59" s="669"/>
      <c r="X59" s="669"/>
      <c r="AD59" s="687"/>
    </row>
    <row r="60" spans="2:30" ht="9.9" customHeight="1">
      <c r="B60" s="690">
        <v>8</v>
      </c>
      <c r="C60" s="669"/>
      <c r="D60" s="669"/>
      <c r="J60" s="687"/>
      <c r="L60" s="690">
        <v>8</v>
      </c>
      <c r="M60" s="669"/>
      <c r="N60" s="669"/>
      <c r="T60" s="687"/>
      <c r="V60" s="690">
        <v>8</v>
      </c>
      <c r="W60" s="669"/>
      <c r="X60" s="669"/>
      <c r="AD60" s="687"/>
    </row>
    <row r="61" spans="2:30" ht="9.9" customHeight="1">
      <c r="B61" s="690">
        <v>9</v>
      </c>
      <c r="C61" s="669"/>
      <c r="D61" s="669"/>
      <c r="J61" s="687"/>
      <c r="L61" s="690">
        <v>9</v>
      </c>
      <c r="M61" s="669"/>
      <c r="N61" s="669"/>
      <c r="T61" s="687"/>
      <c r="V61" s="690">
        <v>9</v>
      </c>
      <c r="W61" s="669"/>
      <c r="X61" s="669"/>
      <c r="AD61" s="687"/>
    </row>
    <row r="62" spans="2:30" ht="9.9" customHeight="1">
      <c r="B62" s="690">
        <v>10</v>
      </c>
      <c r="C62" s="669"/>
      <c r="D62" s="669"/>
      <c r="J62" s="687"/>
      <c r="L62" s="690">
        <v>10</v>
      </c>
      <c r="M62" s="669"/>
      <c r="N62" s="669"/>
      <c r="T62" s="687"/>
      <c r="V62" s="690">
        <v>10</v>
      </c>
      <c r="W62" s="669"/>
      <c r="X62" s="669"/>
      <c r="AD62" s="687"/>
    </row>
    <row r="63" spans="2:30" ht="9.9" customHeight="1">
      <c r="B63" s="690">
        <v>11</v>
      </c>
      <c r="C63" s="669"/>
      <c r="D63" s="669"/>
      <c r="J63" s="687"/>
      <c r="L63" s="690">
        <v>11</v>
      </c>
      <c r="M63" s="669"/>
      <c r="N63" s="669"/>
      <c r="T63" s="687"/>
      <c r="V63" s="690">
        <v>11</v>
      </c>
      <c r="W63" s="669"/>
      <c r="X63" s="669"/>
      <c r="AD63" s="687"/>
    </row>
    <row r="64" spans="2:30" ht="9.9" customHeight="1">
      <c r="B64" s="690">
        <v>12</v>
      </c>
      <c r="C64" s="669"/>
      <c r="D64" s="669"/>
      <c r="J64" s="687"/>
      <c r="L64" s="690">
        <v>12</v>
      </c>
      <c r="M64" s="669"/>
      <c r="N64" s="669"/>
      <c r="T64" s="687"/>
      <c r="V64" s="690">
        <v>12</v>
      </c>
      <c r="W64" s="669"/>
      <c r="X64" s="669"/>
      <c r="AD64" s="687"/>
    </row>
    <row r="65" spans="2:30" ht="9.9" customHeight="1">
      <c r="B65" s="690">
        <v>13</v>
      </c>
      <c r="C65" s="669"/>
      <c r="D65" s="669"/>
      <c r="J65" s="687"/>
      <c r="L65" s="690">
        <v>13</v>
      </c>
      <c r="M65" s="669"/>
      <c r="N65" s="669"/>
      <c r="T65" s="687"/>
      <c r="V65" s="690">
        <v>13</v>
      </c>
      <c r="W65" s="669"/>
      <c r="X65" s="669"/>
      <c r="AD65" s="687"/>
    </row>
    <row r="66" spans="2:30" ht="9.9" customHeight="1">
      <c r="B66" s="690">
        <v>14</v>
      </c>
      <c r="C66" s="669"/>
      <c r="D66" s="669"/>
      <c r="J66" s="687"/>
      <c r="L66" s="690">
        <v>14</v>
      </c>
      <c r="M66" s="669"/>
      <c r="N66" s="669"/>
      <c r="T66" s="687"/>
      <c r="V66" s="690">
        <v>14</v>
      </c>
      <c r="W66" s="669"/>
      <c r="X66" s="669"/>
      <c r="AD66" s="687"/>
    </row>
    <row r="67" spans="2:30" ht="9.9" customHeight="1">
      <c r="B67" s="690">
        <v>15</v>
      </c>
      <c r="C67" s="669"/>
      <c r="D67" s="669"/>
      <c r="J67" s="687"/>
      <c r="L67" s="690">
        <v>15</v>
      </c>
      <c r="M67" s="669"/>
      <c r="N67" s="669"/>
      <c r="T67" s="687"/>
      <c r="V67" s="690">
        <v>15</v>
      </c>
      <c r="W67" s="669"/>
      <c r="X67" s="669"/>
      <c r="AD67" s="687"/>
    </row>
    <row r="68" spans="2:30" ht="9.9" customHeight="1">
      <c r="B68" s="691">
        <v>16</v>
      </c>
      <c r="C68" s="670"/>
      <c r="D68" s="670"/>
      <c r="E68" s="677"/>
      <c r="F68" s="677"/>
      <c r="G68" s="677"/>
      <c r="H68" s="677"/>
      <c r="I68" s="677"/>
      <c r="J68" s="692"/>
      <c r="L68" s="691">
        <v>16</v>
      </c>
      <c r="M68" s="670"/>
      <c r="N68" s="670"/>
      <c r="O68" s="677"/>
      <c r="P68" s="677"/>
      <c r="Q68" s="677"/>
      <c r="R68" s="677"/>
      <c r="S68" s="677"/>
      <c r="T68" s="692"/>
      <c r="V68" s="691">
        <v>16</v>
      </c>
      <c r="W68" s="670"/>
      <c r="X68" s="670"/>
      <c r="Y68" s="677"/>
      <c r="Z68" s="677"/>
      <c r="AA68" s="677"/>
      <c r="AB68" s="677"/>
      <c r="AC68" s="677"/>
      <c r="AD68" s="692"/>
    </row>
    <row r="70" spans="2:30">
      <c r="B70" s="676" t="s">
        <v>323</v>
      </c>
      <c r="C70" s="677"/>
      <c r="D70" s="678" t="s">
        <v>347</v>
      </c>
      <c r="E70" s="677"/>
      <c r="F70" s="679" t="str">
        <f>Resultat!$C172</f>
        <v/>
      </c>
      <c r="L70" s="676" t="s">
        <v>324</v>
      </c>
      <c r="M70" s="677"/>
      <c r="N70" s="678" t="s">
        <v>347</v>
      </c>
      <c r="P70" s="679" t="str">
        <f>Resultat!$C194</f>
        <v/>
      </c>
      <c r="V70" s="676" t="s">
        <v>325</v>
      </c>
      <c r="W70" s="677"/>
      <c r="X70" s="678" t="s">
        <v>347</v>
      </c>
      <c r="Z70" s="679" t="str">
        <f>Resultat!$C206</f>
        <v/>
      </c>
    </row>
    <row r="71" spans="2:30">
      <c r="B71" s="680" t="s">
        <v>344</v>
      </c>
      <c r="C71" s="681" t="s">
        <v>345</v>
      </c>
      <c r="D71" s="681" t="s">
        <v>346</v>
      </c>
      <c r="G71" s="682"/>
      <c r="H71" s="682"/>
      <c r="I71" s="682"/>
      <c r="J71" s="683"/>
      <c r="L71" s="680" t="s">
        <v>344</v>
      </c>
      <c r="M71" s="684" t="s">
        <v>345</v>
      </c>
      <c r="N71" s="684" t="s">
        <v>346</v>
      </c>
      <c r="O71" s="682"/>
      <c r="P71" s="682"/>
      <c r="Q71" s="682"/>
      <c r="R71" s="682"/>
      <c r="S71" s="682"/>
      <c r="T71" s="683"/>
      <c r="V71" s="680" t="s">
        <v>344</v>
      </c>
      <c r="W71" s="684" t="s">
        <v>345</v>
      </c>
      <c r="X71" s="684" t="s">
        <v>346</v>
      </c>
      <c r="Y71" s="682"/>
      <c r="Z71" s="682"/>
      <c r="AA71" s="682"/>
      <c r="AB71" s="682"/>
      <c r="AC71" s="682"/>
      <c r="AD71" s="683"/>
    </row>
    <row r="72" spans="2:30">
      <c r="B72" s="685" t="s">
        <v>348</v>
      </c>
      <c r="C72" s="686" t="s">
        <v>349</v>
      </c>
      <c r="D72" s="686" t="s">
        <v>350</v>
      </c>
      <c r="J72" s="687"/>
      <c r="L72" s="685" t="s">
        <v>348</v>
      </c>
      <c r="M72" s="686" t="s">
        <v>349</v>
      </c>
      <c r="N72" s="686" t="s">
        <v>350</v>
      </c>
      <c r="T72" s="687"/>
      <c r="V72" s="685" t="s">
        <v>348</v>
      </c>
      <c r="W72" s="686" t="s">
        <v>349</v>
      </c>
      <c r="X72" s="686" t="s">
        <v>350</v>
      </c>
      <c r="AD72" s="687"/>
    </row>
    <row r="73" spans="2:30" ht="9.9" customHeight="1">
      <c r="B73" s="688">
        <v>0.5</v>
      </c>
      <c r="C73" s="689">
        <f>IF(Resultat!$D172="",0,Resultat!$D172)</f>
        <v>0</v>
      </c>
      <c r="D73" s="689">
        <f>IF(Resultat!$E172="",0,Resultat!$E172)</f>
        <v>0</v>
      </c>
      <c r="J73" s="687"/>
      <c r="L73" s="688">
        <v>0.5</v>
      </c>
      <c r="M73" s="689">
        <f>IF(Resultat!$D194="",0,Resultat!$D194)</f>
        <v>0</v>
      </c>
      <c r="N73" s="689">
        <f>IF(Resultat!$E194="",0,Resultat!$E194)</f>
        <v>0</v>
      </c>
      <c r="T73" s="687"/>
      <c r="V73" s="688">
        <v>0.5</v>
      </c>
      <c r="W73" s="689">
        <f>IF(Resultat!$D206="",0,Resultat!$D206)</f>
        <v>0</v>
      </c>
      <c r="X73" s="689">
        <f>IF(Resultat!$E206="",0,Resultat!$E206)</f>
        <v>0</v>
      </c>
      <c r="AD73" s="687"/>
    </row>
    <row r="74" spans="2:30" ht="9.9" customHeight="1">
      <c r="B74" s="690">
        <v>1</v>
      </c>
      <c r="C74" s="669"/>
      <c r="D74" s="669"/>
      <c r="J74" s="687"/>
      <c r="L74" s="690">
        <v>1</v>
      </c>
      <c r="M74" s="669"/>
      <c r="N74" s="669"/>
      <c r="T74" s="687"/>
      <c r="V74" s="690">
        <v>1</v>
      </c>
      <c r="W74" s="669"/>
      <c r="X74" s="669"/>
      <c r="AD74" s="687"/>
    </row>
    <row r="75" spans="2:30" ht="9.9" customHeight="1">
      <c r="B75" s="690">
        <v>2</v>
      </c>
      <c r="C75" s="669"/>
      <c r="D75" s="669"/>
      <c r="J75" s="687"/>
      <c r="L75" s="690">
        <v>2</v>
      </c>
      <c r="M75" s="669"/>
      <c r="N75" s="669"/>
      <c r="T75" s="687"/>
      <c r="V75" s="690">
        <v>2</v>
      </c>
      <c r="W75" s="669"/>
      <c r="X75" s="669"/>
      <c r="AD75" s="687"/>
    </row>
    <row r="76" spans="2:30" ht="9.9" customHeight="1">
      <c r="B76" s="690">
        <v>3</v>
      </c>
      <c r="C76" s="669"/>
      <c r="D76" s="669"/>
      <c r="J76" s="687"/>
      <c r="L76" s="690">
        <v>3</v>
      </c>
      <c r="M76" s="669"/>
      <c r="N76" s="669"/>
      <c r="T76" s="687"/>
      <c r="V76" s="690">
        <v>3</v>
      </c>
      <c r="W76" s="669"/>
      <c r="X76" s="669"/>
      <c r="AD76" s="687"/>
    </row>
    <row r="77" spans="2:30" ht="9.9" customHeight="1">
      <c r="B77" s="690">
        <v>4</v>
      </c>
      <c r="C77" s="669"/>
      <c r="D77" s="669"/>
      <c r="J77" s="687"/>
      <c r="L77" s="690">
        <v>4</v>
      </c>
      <c r="M77" s="669"/>
      <c r="N77" s="669"/>
      <c r="T77" s="687"/>
      <c r="V77" s="690">
        <v>4</v>
      </c>
      <c r="W77" s="669"/>
      <c r="X77" s="669"/>
      <c r="AD77" s="687"/>
    </row>
    <row r="78" spans="2:30" ht="9.9" customHeight="1">
      <c r="B78" s="690">
        <v>5</v>
      </c>
      <c r="C78" s="669"/>
      <c r="D78" s="669"/>
      <c r="J78" s="687"/>
      <c r="L78" s="690">
        <v>5</v>
      </c>
      <c r="M78" s="669"/>
      <c r="N78" s="669"/>
      <c r="T78" s="687"/>
      <c r="V78" s="690">
        <v>5</v>
      </c>
      <c r="W78" s="669"/>
      <c r="X78" s="669"/>
      <c r="AD78" s="687"/>
    </row>
    <row r="79" spans="2:30" ht="9.9" customHeight="1">
      <c r="B79" s="690">
        <v>6</v>
      </c>
      <c r="C79" s="669"/>
      <c r="D79" s="669"/>
      <c r="J79" s="687"/>
      <c r="L79" s="690">
        <v>6</v>
      </c>
      <c r="M79" s="669"/>
      <c r="N79" s="669"/>
      <c r="T79" s="687"/>
      <c r="V79" s="690">
        <v>6</v>
      </c>
      <c r="W79" s="669"/>
      <c r="X79" s="669"/>
      <c r="AD79" s="687"/>
    </row>
    <row r="80" spans="2:30" ht="9.9" customHeight="1">
      <c r="B80" s="690">
        <v>7</v>
      </c>
      <c r="C80" s="669"/>
      <c r="D80" s="669"/>
      <c r="J80" s="687"/>
      <c r="L80" s="690">
        <v>7</v>
      </c>
      <c r="M80" s="669"/>
      <c r="N80" s="669"/>
      <c r="T80" s="687"/>
      <c r="V80" s="690">
        <v>7</v>
      </c>
      <c r="W80" s="669"/>
      <c r="X80" s="669"/>
      <c r="AD80" s="687"/>
    </row>
    <row r="81" spans="2:30" ht="9.9" customHeight="1">
      <c r="B81" s="690">
        <v>8</v>
      </c>
      <c r="C81" s="669"/>
      <c r="D81" s="669"/>
      <c r="J81" s="687"/>
      <c r="L81" s="690">
        <v>8</v>
      </c>
      <c r="M81" s="669"/>
      <c r="N81" s="669"/>
      <c r="T81" s="687"/>
      <c r="V81" s="690">
        <v>8</v>
      </c>
      <c r="W81" s="669"/>
      <c r="X81" s="669"/>
      <c r="AD81" s="687"/>
    </row>
    <row r="82" spans="2:30" ht="9.9" customHeight="1">
      <c r="B82" s="690">
        <v>9</v>
      </c>
      <c r="C82" s="669"/>
      <c r="D82" s="669"/>
      <c r="J82" s="687"/>
      <c r="L82" s="690">
        <v>9</v>
      </c>
      <c r="M82" s="669"/>
      <c r="N82" s="669"/>
      <c r="T82" s="687"/>
      <c r="V82" s="690">
        <v>9</v>
      </c>
      <c r="W82" s="669"/>
      <c r="X82" s="669"/>
      <c r="AD82" s="687"/>
    </row>
    <row r="83" spans="2:30" ht="9.9" customHeight="1">
      <c r="B83" s="690">
        <v>10</v>
      </c>
      <c r="C83" s="669"/>
      <c r="D83" s="669"/>
      <c r="J83" s="687"/>
      <c r="L83" s="690">
        <v>10</v>
      </c>
      <c r="M83" s="669"/>
      <c r="N83" s="669"/>
      <c r="T83" s="687"/>
      <c r="V83" s="690">
        <v>10</v>
      </c>
      <c r="W83" s="669"/>
      <c r="X83" s="669"/>
      <c r="AD83" s="687"/>
    </row>
    <row r="84" spans="2:30" ht="9.9" customHeight="1">
      <c r="B84" s="690">
        <v>11</v>
      </c>
      <c r="C84" s="669"/>
      <c r="D84" s="669"/>
      <c r="J84" s="687"/>
      <c r="L84" s="690">
        <v>11</v>
      </c>
      <c r="M84" s="669"/>
      <c r="N84" s="669"/>
      <c r="T84" s="687"/>
      <c r="V84" s="690">
        <v>11</v>
      </c>
      <c r="W84" s="669"/>
      <c r="X84" s="669"/>
      <c r="AD84" s="687"/>
    </row>
    <row r="85" spans="2:30" ht="9.9" customHeight="1">
      <c r="B85" s="690">
        <v>12</v>
      </c>
      <c r="C85" s="669"/>
      <c r="D85" s="669"/>
      <c r="J85" s="687"/>
      <c r="L85" s="690">
        <v>12</v>
      </c>
      <c r="M85" s="669"/>
      <c r="N85" s="669"/>
      <c r="T85" s="687"/>
      <c r="V85" s="690">
        <v>12</v>
      </c>
      <c r="W85" s="669"/>
      <c r="X85" s="669"/>
      <c r="AD85" s="687"/>
    </row>
    <row r="86" spans="2:30" ht="9.9" customHeight="1">
      <c r="B86" s="690">
        <v>13</v>
      </c>
      <c r="C86" s="669"/>
      <c r="D86" s="669"/>
      <c r="J86" s="687"/>
      <c r="L86" s="690">
        <v>13</v>
      </c>
      <c r="M86" s="669"/>
      <c r="N86" s="669"/>
      <c r="T86" s="687"/>
      <c r="V86" s="690">
        <v>13</v>
      </c>
      <c r="W86" s="669"/>
      <c r="X86" s="669"/>
      <c r="AD86" s="687"/>
    </row>
    <row r="87" spans="2:30" ht="9.9" customHeight="1">
      <c r="B87" s="690">
        <v>14</v>
      </c>
      <c r="C87" s="669"/>
      <c r="D87" s="669"/>
      <c r="J87" s="687"/>
      <c r="L87" s="690">
        <v>14</v>
      </c>
      <c r="M87" s="669"/>
      <c r="N87" s="669"/>
      <c r="T87" s="687"/>
      <c r="V87" s="690">
        <v>14</v>
      </c>
      <c r="W87" s="669"/>
      <c r="X87" s="669"/>
      <c r="AD87" s="687"/>
    </row>
    <row r="88" spans="2:30" ht="9.9" customHeight="1">
      <c r="B88" s="690">
        <v>15</v>
      </c>
      <c r="C88" s="669"/>
      <c r="D88" s="669"/>
      <c r="J88" s="687"/>
      <c r="L88" s="690">
        <v>15</v>
      </c>
      <c r="M88" s="669"/>
      <c r="N88" s="669"/>
      <c r="T88" s="687"/>
      <c r="V88" s="690">
        <v>15</v>
      </c>
      <c r="W88" s="669"/>
      <c r="X88" s="669"/>
      <c r="AD88" s="687"/>
    </row>
    <row r="89" spans="2:30" ht="9.9" customHeight="1">
      <c r="B89" s="691">
        <v>16</v>
      </c>
      <c r="C89" s="670"/>
      <c r="D89" s="670"/>
      <c r="E89" s="677"/>
      <c r="F89" s="677"/>
      <c r="G89" s="677"/>
      <c r="H89" s="677"/>
      <c r="I89" s="677"/>
      <c r="J89" s="692"/>
      <c r="L89" s="691">
        <v>16</v>
      </c>
      <c r="M89" s="670"/>
      <c r="N89" s="670"/>
      <c r="O89" s="677"/>
      <c r="P89" s="677"/>
      <c r="Q89" s="677"/>
      <c r="R89" s="677"/>
      <c r="S89" s="677"/>
      <c r="T89" s="692"/>
      <c r="V89" s="691">
        <v>16</v>
      </c>
      <c r="W89" s="670"/>
      <c r="X89" s="670"/>
      <c r="Y89" s="677"/>
      <c r="Z89" s="677"/>
      <c r="AA89" s="677"/>
      <c r="AB89" s="677"/>
      <c r="AC89" s="677"/>
      <c r="AD89" s="692"/>
    </row>
  </sheetData>
  <sheetProtection algorithmName="SHA-512" hashValue="/ELS0o2CR73f5mZF2sZVLrxM2HUgRATzS3FjZDnnXnKtJ+mozUYOQFNt/fV85vZzBN6zJC2Wq1lEZi8Q4smqkQ==" saltValue="8w7Bg9QWm9Z+vWVg481B3Q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4" customWidth="1"/>
    <col min="8" max="8" width="11.44140625" style="664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5"/>
      <c r="H1" s="659"/>
    </row>
    <row r="2" spans="1:16" s="398" customFormat="1" ht="22.8">
      <c r="A2" s="438" t="s">
        <v>428</v>
      </c>
      <c r="F2" s="400"/>
      <c r="G2" s="655"/>
      <c r="H2" s="659"/>
    </row>
    <row r="3" spans="1:16" s="398" customFormat="1" ht="22.8">
      <c r="A3" s="438" t="s">
        <v>221</v>
      </c>
      <c r="F3" s="400"/>
      <c r="G3" s="655"/>
      <c r="H3" s="659"/>
    </row>
    <row r="4" spans="1:16" s="398" customFormat="1" ht="22.8">
      <c r="A4" s="403"/>
      <c r="B4" s="403"/>
      <c r="F4" s="400"/>
      <c r="G4" s="655"/>
      <c r="H4" s="659"/>
    </row>
    <row r="5" spans="1:16" s="168" customFormat="1" ht="11.4" customHeight="1">
      <c r="A5" s="167"/>
      <c r="B5" s="167"/>
      <c r="C5" s="167"/>
      <c r="E5" s="172"/>
      <c r="F5" s="172"/>
      <c r="G5" s="665"/>
      <c r="H5" s="660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6"/>
      <c r="H6" s="661"/>
      <c r="I6" s="170"/>
      <c r="J6" s="170"/>
      <c r="K6" s="170"/>
      <c r="L6" s="170"/>
    </row>
    <row r="7" spans="1:16" s="633" customFormat="1" ht="11.4" customHeight="1">
      <c r="A7" s="628"/>
      <c r="B7" s="629"/>
      <c r="C7" s="629"/>
      <c r="D7" s="629"/>
      <c r="E7" s="629"/>
      <c r="F7" s="630"/>
      <c r="G7" s="657"/>
      <c r="H7" s="642"/>
      <c r="I7" s="632"/>
      <c r="J7" s="632"/>
      <c r="K7" s="631"/>
      <c r="L7" s="629"/>
    </row>
    <row r="8" spans="1:16" s="633" customFormat="1" ht="11.4" customHeight="1">
      <c r="A8" s="628"/>
      <c r="B8" s="634"/>
      <c r="C8" s="634"/>
      <c r="D8" s="629"/>
      <c r="E8" s="629"/>
      <c r="F8" s="630"/>
      <c r="G8" s="657"/>
      <c r="H8" s="642"/>
      <c r="I8" s="632"/>
      <c r="J8" s="632"/>
      <c r="K8" s="631"/>
      <c r="L8" s="629"/>
    </row>
    <row r="9" spans="1:16" s="633" customFormat="1" ht="20.25" customHeight="1">
      <c r="A9" s="628"/>
      <c r="B9" s="634"/>
      <c r="C9" s="634"/>
      <c r="D9" s="629"/>
      <c r="E9" s="629"/>
      <c r="F9" s="630"/>
      <c r="G9" s="662" t="s">
        <v>313</v>
      </c>
      <c r="I9" s="635"/>
      <c r="K9" s="631"/>
      <c r="L9" s="629"/>
    </row>
    <row r="10" spans="1:16" s="633" customFormat="1" ht="11.4" customHeight="1">
      <c r="A10" s="628"/>
      <c r="B10" s="634"/>
      <c r="C10" s="636"/>
      <c r="D10" s="631"/>
      <c r="E10" s="631"/>
      <c r="F10" s="630"/>
      <c r="G10" s="657"/>
      <c r="H10" s="642"/>
      <c r="I10" s="632"/>
      <c r="K10" s="631"/>
      <c r="L10" s="629"/>
    </row>
    <row r="11" spans="1:16" s="633" customFormat="1" ht="15" customHeight="1">
      <c r="A11" s="628"/>
      <c r="B11" s="629"/>
      <c r="C11" s="629"/>
      <c r="D11" s="629"/>
      <c r="E11" s="629"/>
      <c r="F11" s="630"/>
      <c r="G11" s="666" t="s">
        <v>159</v>
      </c>
      <c r="H11" s="667" t="s">
        <v>154</v>
      </c>
      <c r="I11" s="707" t="s">
        <v>326</v>
      </c>
      <c r="J11" s="708" t="s">
        <v>327</v>
      </c>
      <c r="K11" s="709" t="s">
        <v>368</v>
      </c>
      <c r="L11" s="709" t="s">
        <v>328</v>
      </c>
      <c r="M11" s="710" t="s">
        <v>369</v>
      </c>
      <c r="N11" s="710" t="s">
        <v>329</v>
      </c>
      <c r="O11" s="639"/>
      <c r="P11" s="639"/>
    </row>
    <row r="12" spans="1:16" s="633" customFormat="1" ht="15" customHeight="1">
      <c r="A12" s="628"/>
      <c r="B12" s="629"/>
      <c r="C12" s="629"/>
      <c r="D12" s="629"/>
      <c r="E12" s="629"/>
      <c r="F12" s="630"/>
      <c r="G12" s="666" t="s">
        <v>314</v>
      </c>
      <c r="H12" s="668">
        <v>46035</v>
      </c>
      <c r="I12" s="711">
        <v>4.9000000000000004</v>
      </c>
      <c r="J12" s="711">
        <v>3</v>
      </c>
      <c r="K12" s="711">
        <v>1.31</v>
      </c>
      <c r="L12" s="708">
        <v>0.71499999999999997</v>
      </c>
      <c r="M12" s="708">
        <v>0.28599999999999998</v>
      </c>
      <c r="N12" s="711">
        <v>1.31</v>
      </c>
      <c r="O12" s="639"/>
      <c r="P12" s="639"/>
    </row>
    <row r="13" spans="1:16" s="633" customFormat="1" ht="15" customHeight="1">
      <c r="A13" s="628"/>
      <c r="B13" s="629"/>
      <c r="C13" s="629"/>
      <c r="D13" s="629"/>
      <c r="E13" s="630"/>
      <c r="F13" s="630"/>
      <c r="G13" s="666" t="s">
        <v>315</v>
      </c>
      <c r="H13" s="668">
        <v>46065</v>
      </c>
      <c r="I13" s="711">
        <v>3.6</v>
      </c>
      <c r="J13" s="711">
        <v>0.5</v>
      </c>
      <c r="K13" s="708">
        <v>1.89</v>
      </c>
      <c r="L13" s="708">
        <v>0.41799999999999998</v>
      </c>
      <c r="M13" s="708">
        <v>0.34</v>
      </c>
      <c r="N13" s="711">
        <v>1.91</v>
      </c>
      <c r="O13" s="639"/>
      <c r="P13" s="639"/>
    </row>
    <row r="14" spans="1:16" s="633" customFormat="1" ht="15" customHeight="1">
      <c r="A14" s="628"/>
      <c r="B14" s="629"/>
      <c r="C14" s="629"/>
      <c r="D14" s="629"/>
      <c r="E14" s="631"/>
      <c r="F14" s="630"/>
      <c r="G14" s="666" t="s">
        <v>316</v>
      </c>
      <c r="H14" s="668">
        <v>46093</v>
      </c>
      <c r="I14" s="711">
        <v>5.62</v>
      </c>
      <c r="J14" s="711">
        <v>0.3</v>
      </c>
      <c r="K14" s="711">
        <v>2.64</v>
      </c>
      <c r="L14" s="708">
        <v>1.05</v>
      </c>
      <c r="M14" s="740">
        <v>0.14000000000000001</v>
      </c>
      <c r="N14" s="711">
        <v>1.64</v>
      </c>
      <c r="O14" s="639"/>
      <c r="P14" s="639"/>
    </row>
    <row r="15" spans="1:16" s="633" customFormat="1" ht="15" customHeight="1">
      <c r="A15" s="628"/>
      <c r="B15" s="629"/>
      <c r="C15" s="629"/>
      <c r="D15" s="629"/>
      <c r="E15" s="631"/>
      <c r="G15" s="666" t="s">
        <v>317</v>
      </c>
      <c r="H15" s="668">
        <v>46125</v>
      </c>
      <c r="I15" s="711">
        <v>3.5</v>
      </c>
      <c r="J15" s="711">
        <v>0.3</v>
      </c>
      <c r="K15" s="711">
        <v>1.0900000000000001</v>
      </c>
      <c r="L15" s="708">
        <v>0.49199999999999999</v>
      </c>
      <c r="M15" s="708">
        <v>6.9000000000000006E-2</v>
      </c>
      <c r="N15" s="711">
        <v>1.37</v>
      </c>
      <c r="O15" s="639"/>
      <c r="P15" s="639"/>
    </row>
    <row r="16" spans="1:16" s="633" customFormat="1" ht="15" customHeight="1">
      <c r="A16" s="628"/>
      <c r="B16" s="629"/>
      <c r="C16" s="629"/>
      <c r="D16" s="640"/>
      <c r="E16" s="630"/>
      <c r="F16" s="630"/>
      <c r="G16" s="666" t="s">
        <v>318</v>
      </c>
      <c r="H16" s="668">
        <v>46153</v>
      </c>
      <c r="I16" s="711">
        <v>2.13</v>
      </c>
      <c r="J16" s="711">
        <v>0.3</v>
      </c>
      <c r="K16" s="711">
        <v>1.26</v>
      </c>
      <c r="L16" s="708">
        <v>0.55000000000000004</v>
      </c>
      <c r="M16" s="708">
        <v>0.26800000000000002</v>
      </c>
      <c r="N16" s="711">
        <v>2.0299999999999998</v>
      </c>
      <c r="O16" s="639"/>
      <c r="P16" s="639"/>
    </row>
    <row r="17" spans="1:16" s="633" customFormat="1" ht="15" customHeight="1">
      <c r="A17" s="628"/>
      <c r="B17" s="629"/>
      <c r="C17" s="629"/>
      <c r="D17" s="629"/>
      <c r="E17" s="630"/>
      <c r="F17" s="630"/>
      <c r="G17" s="666" t="s">
        <v>319</v>
      </c>
      <c r="H17" s="668">
        <v>46183</v>
      </c>
      <c r="I17" s="711">
        <v>0.84</v>
      </c>
      <c r="J17" s="711">
        <v>0.3</v>
      </c>
      <c r="K17" s="708">
        <v>0.377</v>
      </c>
      <c r="L17" s="708">
        <v>0.17499999999999999</v>
      </c>
      <c r="M17" s="708">
        <v>3.5000000000000003E-2</v>
      </c>
      <c r="N17" s="711">
        <v>0.76800000000000002</v>
      </c>
      <c r="O17" s="639"/>
      <c r="P17" s="639"/>
    </row>
    <row r="18" spans="1:16" s="633" customFormat="1" ht="15" customHeight="1">
      <c r="A18" s="641"/>
      <c r="B18" s="629"/>
      <c r="C18" s="629"/>
      <c r="D18" s="629"/>
      <c r="E18" s="629"/>
      <c r="F18" s="630"/>
      <c r="G18" s="666" t="s">
        <v>320</v>
      </c>
      <c r="H18" s="668"/>
      <c r="I18" s="708"/>
      <c r="J18" s="711"/>
      <c r="K18" s="708"/>
      <c r="L18" s="708"/>
      <c r="M18" s="708"/>
      <c r="N18" s="711"/>
      <c r="O18" s="639"/>
      <c r="P18" s="639"/>
    </row>
    <row r="19" spans="1:16" s="633" customFormat="1" ht="15" customHeight="1">
      <c r="A19" s="642"/>
      <c r="B19" s="629"/>
      <c r="C19" s="631"/>
      <c r="D19" s="629"/>
      <c r="E19" s="630"/>
      <c r="F19" s="630"/>
      <c r="G19" s="666" t="s">
        <v>321</v>
      </c>
      <c r="H19" s="668"/>
      <c r="I19" s="708"/>
      <c r="J19" s="711"/>
      <c r="K19" s="708"/>
      <c r="L19" s="708"/>
      <c r="M19" s="736"/>
      <c r="N19" s="708"/>
      <c r="O19" s="639"/>
      <c r="P19" s="639"/>
    </row>
    <row r="20" spans="1:16" s="633" customFormat="1" ht="15" customHeight="1">
      <c r="A20" s="643"/>
      <c r="B20" s="643"/>
      <c r="C20" s="644"/>
      <c r="D20" s="630"/>
      <c r="E20" s="630"/>
      <c r="F20" s="630"/>
      <c r="G20" s="666" t="s">
        <v>322</v>
      </c>
      <c r="H20" s="668"/>
      <c r="I20" s="711"/>
      <c r="J20" s="711"/>
      <c r="K20" s="708"/>
      <c r="L20" s="708"/>
      <c r="M20" s="736"/>
      <c r="N20" s="708"/>
      <c r="O20" s="639"/>
      <c r="P20" s="639"/>
    </row>
    <row r="21" spans="1:16" s="633" customFormat="1" ht="15" customHeight="1">
      <c r="A21" s="643"/>
      <c r="B21" s="643"/>
      <c r="C21" s="643"/>
      <c r="D21" s="630"/>
      <c r="E21" s="630"/>
      <c r="F21" s="630"/>
      <c r="G21" s="666" t="s">
        <v>323</v>
      </c>
      <c r="H21" s="668"/>
      <c r="I21" s="711"/>
      <c r="J21" s="711"/>
      <c r="K21" s="708"/>
      <c r="L21" s="708"/>
      <c r="M21" s="736"/>
      <c r="N21" s="708"/>
      <c r="O21" s="639"/>
      <c r="P21" s="639"/>
    </row>
    <row r="22" spans="1:16" s="633" customFormat="1" ht="15" customHeight="1">
      <c r="A22" s="643"/>
      <c r="B22" s="643"/>
      <c r="C22" s="643"/>
      <c r="D22" s="630"/>
      <c r="E22" s="630"/>
      <c r="F22" s="630"/>
      <c r="G22" s="666" t="s">
        <v>324</v>
      </c>
      <c r="H22" s="668"/>
      <c r="I22" s="711"/>
      <c r="J22" s="711"/>
      <c r="K22" s="708"/>
      <c r="L22" s="708"/>
      <c r="M22" s="708"/>
      <c r="N22" s="710"/>
      <c r="O22" s="639"/>
      <c r="P22" s="639"/>
    </row>
    <row r="23" spans="1:16" s="633" customFormat="1" ht="15" customHeight="1">
      <c r="A23" s="643"/>
      <c r="B23" s="643"/>
      <c r="C23" s="630"/>
      <c r="D23" s="645"/>
      <c r="E23" s="630"/>
      <c r="F23" s="630"/>
      <c r="G23" s="666" t="s">
        <v>325</v>
      </c>
      <c r="H23" s="668"/>
      <c r="I23" s="711"/>
      <c r="J23" s="708"/>
      <c r="K23" s="708"/>
      <c r="L23" s="711"/>
      <c r="M23" s="708"/>
      <c r="N23" s="710"/>
      <c r="O23" s="639"/>
      <c r="P23" s="639"/>
    </row>
    <row r="24" spans="1:16" s="633" customFormat="1" ht="11.4" customHeight="1">
      <c r="D24" s="645"/>
      <c r="E24" s="630"/>
      <c r="F24" s="630"/>
      <c r="G24" s="638"/>
      <c r="H24" s="642"/>
      <c r="I24" s="631"/>
      <c r="J24" s="638"/>
      <c r="K24" s="637"/>
      <c r="L24" s="637"/>
      <c r="M24" s="639"/>
      <c r="N24" s="639"/>
      <c r="O24" s="639"/>
      <c r="P24" s="639"/>
    </row>
    <row r="25" spans="1:16" s="633" customFormat="1" ht="13.5" customHeight="1">
      <c r="A25" s="643"/>
      <c r="D25" s="630"/>
      <c r="E25" s="630"/>
      <c r="G25" s="638" t="s">
        <v>370</v>
      </c>
      <c r="H25" s="642"/>
      <c r="J25" s="639"/>
      <c r="K25" s="639"/>
      <c r="L25" s="639"/>
      <c r="M25" s="639"/>
      <c r="N25" s="639"/>
      <c r="O25" s="639"/>
      <c r="P25" s="639"/>
    </row>
    <row r="26" spans="1:16" s="633" customFormat="1" ht="13.5" customHeight="1">
      <c r="A26" s="643"/>
      <c r="G26" s="638" t="s">
        <v>395</v>
      </c>
      <c r="H26" s="642"/>
      <c r="J26" s="639"/>
      <c r="K26" s="639"/>
      <c r="L26" s="639"/>
      <c r="M26" s="651"/>
      <c r="N26" s="639"/>
      <c r="O26" s="639"/>
      <c r="P26" s="639"/>
    </row>
    <row r="27" spans="1:16" s="651" customFormat="1">
      <c r="G27" s="638"/>
      <c r="H27" s="663"/>
    </row>
    <row r="28" spans="1:16" s="651" customFormat="1">
      <c r="A28" s="643"/>
      <c r="B28" s="643" t="s">
        <v>273</v>
      </c>
      <c r="G28" s="658"/>
      <c r="H28" s="663"/>
      <c r="M28" s="639"/>
    </row>
    <row r="29" spans="1:16" s="651" customFormat="1">
      <c r="A29" s="643"/>
      <c r="B29" s="643" t="s">
        <v>274</v>
      </c>
      <c r="G29" s="658"/>
      <c r="H29" s="663"/>
    </row>
    <row r="30" spans="1:16" s="651" customFormat="1">
      <c r="A30" s="643"/>
      <c r="B30" s="739" t="s">
        <v>414</v>
      </c>
      <c r="C30" s="654"/>
      <c r="G30" s="658"/>
      <c r="H30" s="663"/>
    </row>
    <row r="31" spans="1:16" s="651" customFormat="1">
      <c r="A31" s="633"/>
      <c r="B31" s="653" t="s">
        <v>397</v>
      </c>
      <c r="G31" s="658"/>
      <c r="H31" s="663"/>
    </row>
    <row r="32" spans="1:16" s="651" customFormat="1">
      <c r="A32" s="633"/>
      <c r="B32" s="646" t="s">
        <v>311</v>
      </c>
      <c r="C32" s="633"/>
      <c r="D32" s="633"/>
      <c r="G32" s="658"/>
      <c r="H32" s="663"/>
    </row>
    <row r="33" spans="1:8" s="651" customFormat="1" ht="15.6">
      <c r="A33" s="633"/>
      <c r="B33" s="647"/>
      <c r="C33" s="648" t="s">
        <v>306</v>
      </c>
      <c r="D33" s="648"/>
      <c r="G33" s="658"/>
      <c r="H33" s="663"/>
    </row>
    <row r="34" spans="1:8" s="651" customFormat="1">
      <c r="A34" s="650"/>
      <c r="B34" s="647" t="s">
        <v>307</v>
      </c>
      <c r="C34" s="649">
        <v>66.400000000000006</v>
      </c>
      <c r="D34" s="649"/>
      <c r="G34" s="658"/>
      <c r="H34" s="663"/>
    </row>
    <row r="35" spans="1:8" s="651" customFormat="1">
      <c r="A35" s="650"/>
      <c r="B35" s="647" t="s">
        <v>308</v>
      </c>
      <c r="C35" s="649">
        <v>46.4</v>
      </c>
      <c r="D35" s="649"/>
      <c r="G35" s="658"/>
      <c r="H35" s="663"/>
    </row>
    <row r="36" spans="1:8" s="651" customFormat="1">
      <c r="B36" s="647" t="s">
        <v>309</v>
      </c>
      <c r="C36" s="652">
        <v>10.3</v>
      </c>
      <c r="D36" s="652"/>
      <c r="G36" s="658"/>
      <c r="H36" s="663"/>
    </row>
    <row r="37" spans="1:8" s="651" customFormat="1">
      <c r="B37" s="647" t="s">
        <v>310</v>
      </c>
      <c r="C37" s="652">
        <v>1.6</v>
      </c>
      <c r="D37" s="652"/>
      <c r="G37" s="658"/>
      <c r="H37" s="663"/>
    </row>
    <row r="38" spans="1:8" s="651" customFormat="1">
      <c r="G38" s="658"/>
      <c r="H38" s="663"/>
    </row>
    <row r="39" spans="1:8" s="651" customFormat="1">
      <c r="G39" s="658"/>
      <c r="H39" s="663"/>
    </row>
    <row r="40" spans="1:8" s="651" customFormat="1">
      <c r="G40" s="658"/>
      <c r="H40" s="663"/>
    </row>
    <row r="41" spans="1:8" s="651" customFormat="1">
      <c r="G41" s="658"/>
      <c r="H41" s="663"/>
    </row>
    <row r="42" spans="1:8" s="651" customFormat="1">
      <c r="G42" s="658"/>
      <c r="H42" s="663"/>
    </row>
    <row r="43" spans="1:8" s="651" customFormat="1">
      <c r="G43" s="658"/>
      <c r="H43" s="663"/>
    </row>
    <row r="44" spans="1:8" s="651" customFormat="1">
      <c r="G44" s="658"/>
      <c r="H44" s="663"/>
    </row>
    <row r="45" spans="1:8" s="651" customFormat="1">
      <c r="G45" s="658"/>
      <c r="H45" s="663"/>
    </row>
    <row r="46" spans="1:8" s="651" customFormat="1">
      <c r="G46" s="658"/>
      <c r="H46" s="663"/>
    </row>
    <row r="47" spans="1:8" s="651" customFormat="1">
      <c r="G47" s="658"/>
      <c r="H47" s="663"/>
    </row>
    <row r="48" spans="1:8" s="651" customFormat="1">
      <c r="G48" s="658"/>
      <c r="H48" s="663"/>
    </row>
    <row r="49" spans="7:8" s="651" customFormat="1">
      <c r="G49" s="658"/>
      <c r="H49" s="663"/>
    </row>
    <row r="50" spans="7:8" s="651" customFormat="1">
      <c r="G50" s="658"/>
      <c r="H50" s="663"/>
    </row>
    <row r="51" spans="7:8" s="651" customFormat="1">
      <c r="G51" s="658"/>
      <c r="H51" s="663"/>
    </row>
    <row r="52" spans="7:8" s="651" customFormat="1">
      <c r="G52" s="658"/>
      <c r="H52" s="663"/>
    </row>
    <row r="53" spans="7:8" s="651" customFormat="1">
      <c r="G53" s="658"/>
      <c r="H53" s="663"/>
    </row>
    <row r="54" spans="7:8" s="651" customFormat="1">
      <c r="G54" s="658"/>
      <c r="H54" s="663"/>
    </row>
    <row r="55" spans="7:8" s="651" customFormat="1">
      <c r="G55" s="658"/>
      <c r="H55" s="663"/>
    </row>
    <row r="56" spans="7:8" s="651" customFormat="1">
      <c r="G56" s="658"/>
      <c r="H56" s="663"/>
    </row>
    <row r="57" spans="7:8" s="651" customFormat="1">
      <c r="G57" s="658"/>
      <c r="H57" s="663"/>
    </row>
    <row r="58" spans="7:8" s="651" customFormat="1">
      <c r="G58" s="658"/>
      <c r="H58" s="663"/>
    </row>
    <row r="59" spans="7:8" s="651" customFormat="1">
      <c r="G59" s="658"/>
      <c r="H59" s="663"/>
    </row>
    <row r="60" spans="7:8" s="651" customFormat="1">
      <c r="G60" s="658"/>
      <c r="H60" s="663"/>
    </row>
    <row r="61" spans="7:8" s="651" customFormat="1">
      <c r="G61" s="658"/>
      <c r="H61" s="663"/>
    </row>
    <row r="62" spans="7:8" s="651" customFormat="1">
      <c r="G62" s="658"/>
      <c r="H62" s="663"/>
    </row>
    <row r="63" spans="7:8" s="651" customFormat="1">
      <c r="G63" s="658"/>
      <c r="H63" s="663"/>
    </row>
    <row r="64" spans="7:8" s="651" customFormat="1">
      <c r="G64" s="658"/>
      <c r="H64" s="663"/>
    </row>
    <row r="65" spans="7:8" s="651" customFormat="1">
      <c r="G65" s="658"/>
      <c r="H65" s="663"/>
    </row>
    <row r="66" spans="7:8" s="651" customFormat="1">
      <c r="G66" s="658"/>
      <c r="H66" s="663"/>
    </row>
    <row r="67" spans="7:8" s="651" customFormat="1">
      <c r="G67" s="658"/>
      <c r="H67" s="663"/>
    </row>
    <row r="68" spans="7:8" s="651" customFormat="1">
      <c r="G68" s="658"/>
      <c r="H68" s="663"/>
    </row>
    <row r="69" spans="7:8" s="651" customFormat="1">
      <c r="G69" s="658"/>
      <c r="H69" s="663"/>
    </row>
    <row r="70" spans="7:8" s="651" customFormat="1">
      <c r="G70" s="658"/>
      <c r="H70" s="663"/>
    </row>
    <row r="71" spans="7:8" s="651" customFormat="1">
      <c r="G71" s="658"/>
      <c r="H71" s="663"/>
    </row>
    <row r="72" spans="7:8" s="651" customFormat="1">
      <c r="G72" s="658"/>
      <c r="H72" s="663"/>
    </row>
    <row r="73" spans="7:8" s="651" customFormat="1">
      <c r="G73" s="658"/>
      <c r="H73" s="663"/>
    </row>
    <row r="74" spans="7:8" s="651" customFormat="1">
      <c r="G74" s="658"/>
      <c r="H74" s="663"/>
    </row>
    <row r="75" spans="7:8" s="651" customFormat="1">
      <c r="G75" s="658"/>
      <c r="H75" s="663"/>
    </row>
    <row r="76" spans="7:8" s="651" customFormat="1">
      <c r="G76" s="658"/>
      <c r="H76" s="663"/>
    </row>
    <row r="77" spans="7:8" s="651" customFormat="1">
      <c r="G77" s="658"/>
      <c r="H77" s="663"/>
    </row>
    <row r="78" spans="7:8" s="651" customFormat="1">
      <c r="G78" s="658"/>
      <c r="H78" s="663"/>
    </row>
    <row r="79" spans="7:8" s="651" customFormat="1">
      <c r="G79" s="658"/>
      <c r="H79" s="663"/>
    </row>
    <row r="80" spans="7:8" s="651" customFormat="1">
      <c r="G80" s="658"/>
      <c r="H80" s="663"/>
    </row>
    <row r="81" spans="7:8" s="651" customFormat="1">
      <c r="G81" s="658"/>
      <c r="H81" s="663"/>
    </row>
    <row r="82" spans="7:8" s="651" customFormat="1">
      <c r="G82" s="658"/>
      <c r="H82" s="663"/>
    </row>
    <row r="83" spans="7:8" s="651" customFormat="1">
      <c r="G83" s="658"/>
      <c r="H83" s="663"/>
    </row>
    <row r="84" spans="7:8" s="651" customFormat="1">
      <c r="G84" s="658"/>
      <c r="H84" s="663"/>
    </row>
    <row r="85" spans="7:8" s="651" customFormat="1">
      <c r="G85" s="658"/>
      <c r="H85" s="663"/>
    </row>
    <row r="86" spans="7:8" s="651" customFormat="1">
      <c r="G86" s="658"/>
      <c r="H86" s="663"/>
    </row>
    <row r="87" spans="7:8" s="651" customFormat="1">
      <c r="G87" s="658"/>
      <c r="H87" s="663"/>
    </row>
    <row r="88" spans="7:8" s="651" customFormat="1">
      <c r="G88" s="658"/>
      <c r="H88" s="663"/>
    </row>
    <row r="89" spans="7:8" s="651" customFormat="1">
      <c r="G89" s="658"/>
      <c r="H89" s="663"/>
    </row>
    <row r="90" spans="7:8" s="651" customFormat="1">
      <c r="G90" s="658"/>
      <c r="H90" s="663"/>
    </row>
    <row r="91" spans="7:8" s="651" customFormat="1">
      <c r="G91" s="658"/>
      <c r="H91" s="663"/>
    </row>
    <row r="92" spans="7:8" s="651" customFormat="1">
      <c r="G92" s="658"/>
      <c r="H92" s="663"/>
    </row>
    <row r="93" spans="7:8" s="651" customFormat="1">
      <c r="G93" s="658"/>
      <c r="H93" s="663"/>
    </row>
    <row r="94" spans="7:8" s="651" customFormat="1">
      <c r="G94" s="658"/>
      <c r="H94" s="663"/>
    </row>
    <row r="95" spans="7:8" s="651" customFormat="1">
      <c r="G95" s="658"/>
      <c r="H95" s="663"/>
    </row>
    <row r="96" spans="7:8" s="651" customFormat="1">
      <c r="G96" s="658"/>
      <c r="H96" s="663"/>
    </row>
    <row r="98" spans="1:5">
      <c r="A98" s="625" t="s">
        <v>275</v>
      </c>
    </row>
    <row r="99" spans="1:5">
      <c r="A99" s="166" t="s">
        <v>154</v>
      </c>
      <c r="B99" s="166" t="s">
        <v>276</v>
      </c>
      <c r="C99" s="166" t="s">
        <v>453</v>
      </c>
      <c r="D99" s="166" t="s">
        <v>454</v>
      </c>
      <c r="E99" s="166" t="s">
        <v>455</v>
      </c>
    </row>
    <row r="100" spans="1:5">
      <c r="A100" s="216">
        <v>46023</v>
      </c>
      <c r="B100" s="233">
        <v>5.67</v>
      </c>
      <c r="D100" s="626"/>
    </row>
    <row r="101" spans="1:5">
      <c r="A101" s="216">
        <v>46024</v>
      </c>
      <c r="B101" s="233">
        <v>5.9</v>
      </c>
      <c r="D101" s="626"/>
    </row>
    <row r="102" spans="1:5">
      <c r="A102" s="216">
        <v>46025</v>
      </c>
      <c r="B102" s="233">
        <v>5.59</v>
      </c>
      <c r="D102" s="626"/>
    </row>
    <row r="103" spans="1:5">
      <c r="A103" s="216">
        <v>46026</v>
      </c>
      <c r="B103" s="233">
        <v>5.45</v>
      </c>
      <c r="D103" s="626"/>
    </row>
    <row r="104" spans="1:5">
      <c r="A104" s="216">
        <v>46027</v>
      </c>
      <c r="B104" s="233">
        <v>5.27</v>
      </c>
      <c r="D104" s="626"/>
    </row>
    <row r="105" spans="1:5">
      <c r="A105" s="216">
        <v>46028</v>
      </c>
      <c r="B105" s="233">
        <v>5.26</v>
      </c>
      <c r="D105" s="626"/>
    </row>
    <row r="106" spans="1:5">
      <c r="A106" s="216">
        <v>46029</v>
      </c>
      <c r="B106" s="233">
        <v>4.97</v>
      </c>
      <c r="D106" s="626"/>
    </row>
    <row r="107" spans="1:5">
      <c r="A107" s="216">
        <v>46030</v>
      </c>
      <c r="B107" s="233">
        <v>4.75</v>
      </c>
      <c r="D107" s="626"/>
    </row>
    <row r="108" spans="1:5">
      <c r="A108" s="216">
        <v>46031</v>
      </c>
      <c r="B108" s="233">
        <v>4.6500000000000004</v>
      </c>
      <c r="D108" s="626"/>
    </row>
    <row r="109" spans="1:5">
      <c r="A109" s="216">
        <v>46032</v>
      </c>
      <c r="B109" s="233">
        <v>4.49</v>
      </c>
      <c r="D109" s="626"/>
    </row>
    <row r="110" spans="1:5">
      <c r="A110" s="216">
        <v>46033</v>
      </c>
      <c r="B110" s="233">
        <v>3.92</v>
      </c>
      <c r="D110" s="233"/>
    </row>
    <row r="111" spans="1:5">
      <c r="A111" s="216">
        <v>46034</v>
      </c>
      <c r="B111" s="233">
        <v>4.3</v>
      </c>
      <c r="D111" s="233"/>
    </row>
    <row r="112" spans="1:5">
      <c r="A112" s="216">
        <v>46035</v>
      </c>
      <c r="B112" s="233">
        <v>4.8600000000000003</v>
      </c>
      <c r="D112" s="233"/>
    </row>
    <row r="113" spans="1:4">
      <c r="A113" s="216">
        <v>46036</v>
      </c>
      <c r="B113" s="233">
        <v>6.96</v>
      </c>
      <c r="D113" s="233"/>
    </row>
    <row r="114" spans="1:4">
      <c r="A114" s="216">
        <v>46037</v>
      </c>
      <c r="B114" s="233">
        <v>9.6199999999999992</v>
      </c>
      <c r="D114" s="233"/>
    </row>
    <row r="115" spans="1:4">
      <c r="A115" s="216">
        <v>46038</v>
      </c>
      <c r="B115" s="233">
        <v>9.3000000000000007</v>
      </c>
      <c r="D115" s="233"/>
    </row>
    <row r="116" spans="1:4">
      <c r="A116" s="216">
        <v>46039</v>
      </c>
      <c r="B116" s="233">
        <v>9.76</v>
      </c>
      <c r="D116" s="626"/>
    </row>
    <row r="117" spans="1:4">
      <c r="A117" s="216">
        <v>46040</v>
      </c>
      <c r="B117" s="233">
        <v>9.69</v>
      </c>
      <c r="D117" s="626"/>
    </row>
    <row r="118" spans="1:4">
      <c r="A118" s="216">
        <v>46041</v>
      </c>
      <c r="B118" s="233">
        <v>9.42</v>
      </c>
      <c r="D118" s="626"/>
    </row>
    <row r="119" spans="1:4">
      <c r="A119" s="216">
        <v>46042</v>
      </c>
      <c r="B119" s="233">
        <v>8.34</v>
      </c>
      <c r="D119" s="626"/>
    </row>
    <row r="120" spans="1:4">
      <c r="A120" s="216">
        <v>46043</v>
      </c>
      <c r="B120" s="233">
        <v>7.16</v>
      </c>
      <c r="D120" s="626"/>
    </row>
    <row r="121" spans="1:4">
      <c r="A121" s="216">
        <v>46044</v>
      </c>
      <c r="B121" s="233">
        <v>6.36</v>
      </c>
      <c r="D121" s="626"/>
    </row>
    <row r="122" spans="1:4">
      <c r="A122" s="216">
        <v>46045</v>
      </c>
      <c r="B122" s="233">
        <v>5.8</v>
      </c>
      <c r="D122" s="626"/>
    </row>
    <row r="123" spans="1:4">
      <c r="A123" s="216">
        <v>46046</v>
      </c>
      <c r="B123" s="233">
        <v>5.66</v>
      </c>
      <c r="D123" s="626"/>
    </row>
    <row r="124" spans="1:4">
      <c r="A124" s="216">
        <v>46047</v>
      </c>
      <c r="B124" s="233">
        <v>5.72</v>
      </c>
      <c r="D124" s="626"/>
    </row>
    <row r="125" spans="1:4">
      <c r="A125" s="216">
        <v>46048</v>
      </c>
      <c r="B125" s="233">
        <v>6.02</v>
      </c>
      <c r="D125" s="626"/>
    </row>
    <row r="126" spans="1:4">
      <c r="A126" s="216">
        <v>46049</v>
      </c>
      <c r="B126" s="233">
        <v>6.16</v>
      </c>
      <c r="D126" s="626"/>
    </row>
    <row r="127" spans="1:4">
      <c r="A127" s="216">
        <v>46050</v>
      </c>
      <c r="B127" s="233">
        <v>6.41</v>
      </c>
      <c r="D127" s="626"/>
    </row>
    <row r="128" spans="1:4">
      <c r="A128" s="216">
        <v>46051</v>
      </c>
      <c r="B128" s="233">
        <v>6.24</v>
      </c>
      <c r="D128" s="626"/>
    </row>
    <row r="129" spans="1:4">
      <c r="A129" s="216">
        <v>46052</v>
      </c>
      <c r="B129" s="233">
        <v>5.86</v>
      </c>
      <c r="D129" s="626"/>
    </row>
    <row r="130" spans="1:4">
      <c r="A130" s="216">
        <v>46053</v>
      </c>
      <c r="B130" s="233">
        <v>4.08</v>
      </c>
      <c r="D130" s="233"/>
    </row>
    <row r="131" spans="1:4">
      <c r="A131" s="216">
        <v>46054</v>
      </c>
      <c r="B131" s="233">
        <v>3</v>
      </c>
      <c r="D131" s="233"/>
    </row>
    <row r="132" spans="1:4">
      <c r="A132" s="216">
        <v>46055</v>
      </c>
      <c r="B132" s="233">
        <v>3.81</v>
      </c>
      <c r="D132" s="233"/>
    </row>
    <row r="133" spans="1:4">
      <c r="A133" s="216">
        <v>46056</v>
      </c>
      <c r="B133" s="233">
        <v>3.57</v>
      </c>
      <c r="D133" s="233"/>
    </row>
    <row r="134" spans="1:4">
      <c r="A134" s="216">
        <v>46057</v>
      </c>
      <c r="B134" s="233">
        <v>3.33</v>
      </c>
      <c r="D134" s="626"/>
    </row>
    <row r="135" spans="1:4">
      <c r="A135" s="216">
        <v>46058</v>
      </c>
      <c r="B135" s="233">
        <v>3.41</v>
      </c>
      <c r="D135" s="626"/>
    </row>
    <row r="136" spans="1:4">
      <c r="A136" s="216">
        <v>46059</v>
      </c>
      <c r="B136" s="233">
        <v>3.67</v>
      </c>
      <c r="D136" s="626"/>
    </row>
    <row r="137" spans="1:4">
      <c r="A137" s="216">
        <v>46060</v>
      </c>
      <c r="B137" s="233">
        <v>3.68</v>
      </c>
      <c r="D137" s="626"/>
    </row>
    <row r="138" spans="1:4">
      <c r="A138" s="216">
        <v>46061</v>
      </c>
      <c r="B138" s="233">
        <v>3.57</v>
      </c>
      <c r="D138" s="626"/>
    </row>
    <row r="139" spans="1:4">
      <c r="A139" s="216">
        <v>46062</v>
      </c>
      <c r="B139" s="233">
        <v>3.45</v>
      </c>
      <c r="D139" s="626"/>
    </row>
    <row r="140" spans="1:4">
      <c r="A140" s="216">
        <v>46063</v>
      </c>
      <c r="B140" s="233">
        <v>3.46</v>
      </c>
      <c r="D140" s="626"/>
    </row>
    <row r="141" spans="1:4">
      <c r="A141" s="216">
        <v>46064</v>
      </c>
      <c r="B141" s="233">
        <v>3.53</v>
      </c>
      <c r="D141" s="626"/>
    </row>
    <row r="142" spans="1:4">
      <c r="A142" s="216">
        <v>46065</v>
      </c>
      <c r="B142" s="233">
        <v>3.6</v>
      </c>
      <c r="D142" s="626"/>
    </row>
    <row r="143" spans="1:4">
      <c r="A143" s="216">
        <v>46066</v>
      </c>
      <c r="B143" s="233">
        <v>3.57</v>
      </c>
      <c r="D143" s="626"/>
    </row>
    <row r="144" spans="1:4">
      <c r="A144" s="216">
        <v>46067</v>
      </c>
      <c r="B144" s="233">
        <v>3.41</v>
      </c>
      <c r="D144" s="626"/>
    </row>
    <row r="145" spans="1:4">
      <c r="A145" s="216">
        <v>46068</v>
      </c>
      <c r="B145" s="233">
        <v>3.21</v>
      </c>
      <c r="D145" s="626"/>
    </row>
    <row r="146" spans="1:4">
      <c r="A146" s="216">
        <v>46069</v>
      </c>
      <c r="B146" s="233">
        <v>3.1</v>
      </c>
      <c r="D146" s="626"/>
    </row>
    <row r="147" spans="1:4">
      <c r="A147" s="216">
        <v>46070</v>
      </c>
      <c r="B147" s="233">
        <v>3</v>
      </c>
      <c r="D147" s="233"/>
    </row>
    <row r="148" spans="1:4">
      <c r="A148" s="216">
        <v>46071</v>
      </c>
      <c r="B148" s="233">
        <v>2.97</v>
      </c>
      <c r="D148" s="233"/>
    </row>
    <row r="149" spans="1:4">
      <c r="A149" s="216">
        <v>46072</v>
      </c>
      <c r="B149" s="233">
        <v>2.98</v>
      </c>
      <c r="D149" s="233"/>
    </row>
    <row r="150" spans="1:4">
      <c r="A150" s="216">
        <v>46073</v>
      </c>
      <c r="B150" s="233">
        <v>2.86</v>
      </c>
      <c r="D150" s="233"/>
    </row>
    <row r="151" spans="1:4">
      <c r="A151" s="216">
        <v>46074</v>
      </c>
      <c r="B151" s="233">
        <v>3</v>
      </c>
      <c r="D151" s="233"/>
    </row>
    <row r="152" spans="1:4">
      <c r="A152" s="216">
        <v>46075</v>
      </c>
      <c r="B152" s="233">
        <v>3.23</v>
      </c>
      <c r="D152" s="233"/>
    </row>
    <row r="153" spans="1:4">
      <c r="A153" s="216">
        <v>46076</v>
      </c>
      <c r="B153" s="233">
        <v>5</v>
      </c>
      <c r="D153" s="233"/>
    </row>
    <row r="154" spans="1:4">
      <c r="A154" s="216">
        <v>46077</v>
      </c>
      <c r="B154" s="233">
        <v>9.33</v>
      </c>
      <c r="D154" s="233"/>
    </row>
    <row r="155" spans="1:4">
      <c r="A155" s="216">
        <v>46078</v>
      </c>
      <c r="B155" s="233">
        <v>8.65</v>
      </c>
    </row>
    <row r="156" spans="1:4">
      <c r="A156" s="216">
        <v>46079</v>
      </c>
      <c r="B156" s="233">
        <v>7.1</v>
      </c>
    </row>
    <row r="157" spans="1:4">
      <c r="A157" s="216">
        <v>46080</v>
      </c>
      <c r="B157" s="233">
        <v>7.11</v>
      </c>
    </row>
    <row r="158" spans="1:4">
      <c r="A158" s="216">
        <v>46081</v>
      </c>
      <c r="B158" s="233">
        <v>9.36</v>
      </c>
    </row>
    <row r="159" spans="1:4">
      <c r="A159" s="216">
        <v>46082</v>
      </c>
      <c r="B159" s="233">
        <v>10.9</v>
      </c>
    </row>
    <row r="160" spans="1:4">
      <c r="A160" s="216">
        <v>46083</v>
      </c>
      <c r="B160" s="233">
        <v>10.6</v>
      </c>
    </row>
    <row r="161" spans="1:2">
      <c r="A161" s="216">
        <v>46084</v>
      </c>
      <c r="B161" s="233">
        <v>9.7899999999999991</v>
      </c>
    </row>
    <row r="162" spans="1:2">
      <c r="A162" s="216">
        <v>46085</v>
      </c>
      <c r="B162" s="233">
        <v>8.81</v>
      </c>
    </row>
    <row r="163" spans="1:2">
      <c r="A163" s="216">
        <v>46086</v>
      </c>
      <c r="B163" s="233">
        <v>7.95</v>
      </c>
    </row>
    <row r="164" spans="1:2">
      <c r="A164" s="216">
        <v>46087</v>
      </c>
      <c r="B164" s="233">
        <v>7</v>
      </c>
    </row>
    <row r="165" spans="1:2">
      <c r="A165" s="216">
        <v>46088</v>
      </c>
      <c r="B165" s="233">
        <v>6.58</v>
      </c>
    </row>
    <row r="166" spans="1:2">
      <c r="A166" s="216">
        <v>46089</v>
      </c>
      <c r="B166" s="233">
        <v>6.35</v>
      </c>
    </row>
    <row r="167" spans="1:2">
      <c r="A167" s="216">
        <v>46090</v>
      </c>
      <c r="B167" s="233">
        <v>6.2</v>
      </c>
    </row>
    <row r="168" spans="1:2">
      <c r="A168" s="216">
        <v>46091</v>
      </c>
      <c r="B168" s="233">
        <v>5.97</v>
      </c>
    </row>
    <row r="169" spans="1:2">
      <c r="A169" s="216">
        <v>46092</v>
      </c>
      <c r="B169" s="233">
        <v>5.76</v>
      </c>
    </row>
    <row r="170" spans="1:2">
      <c r="A170" s="216">
        <v>46093</v>
      </c>
      <c r="B170" s="233">
        <v>5.62</v>
      </c>
    </row>
    <row r="171" spans="1:2">
      <c r="A171" s="216">
        <v>46094</v>
      </c>
      <c r="B171" s="233">
        <v>5.52</v>
      </c>
    </row>
    <row r="172" spans="1:2">
      <c r="A172" s="216">
        <v>46095</v>
      </c>
      <c r="B172" s="233">
        <v>6.28</v>
      </c>
    </row>
    <row r="173" spans="1:2">
      <c r="A173" s="216">
        <v>46096</v>
      </c>
      <c r="B173" s="233">
        <v>7.9</v>
      </c>
    </row>
    <row r="174" spans="1:2">
      <c r="A174" s="216">
        <v>46097</v>
      </c>
      <c r="B174" s="233">
        <v>8.5399999999999991</v>
      </c>
    </row>
    <row r="175" spans="1:2">
      <c r="A175" s="216">
        <v>46098</v>
      </c>
      <c r="B175" s="233">
        <v>8.09</v>
      </c>
    </row>
    <row r="176" spans="1:2">
      <c r="A176" s="216">
        <v>46099</v>
      </c>
      <c r="B176" s="233">
        <v>7.39</v>
      </c>
    </row>
    <row r="177" spans="1:2">
      <c r="A177" s="216">
        <v>46100</v>
      </c>
      <c r="B177" s="233">
        <v>6.8</v>
      </c>
    </row>
    <row r="178" spans="1:2">
      <c r="A178" s="216">
        <v>46101</v>
      </c>
      <c r="B178" s="233">
        <v>6.49</v>
      </c>
    </row>
    <row r="179" spans="1:2">
      <c r="A179" s="216">
        <v>46102</v>
      </c>
      <c r="B179" s="233">
        <v>6.16</v>
      </c>
    </row>
    <row r="180" spans="1:2">
      <c r="A180" s="216">
        <v>46103</v>
      </c>
      <c r="B180" s="233">
        <v>5.79</v>
      </c>
    </row>
    <row r="181" spans="1:2">
      <c r="A181" s="216">
        <v>46104</v>
      </c>
      <c r="B181" s="233">
        <v>5.46</v>
      </c>
    </row>
    <row r="182" spans="1:2">
      <c r="A182" s="216">
        <v>46105</v>
      </c>
      <c r="B182" s="233">
        <v>5.27</v>
      </c>
    </row>
    <row r="183" spans="1:2">
      <c r="A183" s="216">
        <v>46106</v>
      </c>
      <c r="B183" s="233">
        <v>5.4</v>
      </c>
    </row>
    <row r="184" spans="1:2">
      <c r="A184" s="216">
        <v>46107</v>
      </c>
      <c r="B184" s="233">
        <v>5.55</v>
      </c>
    </row>
    <row r="185" spans="1:2">
      <c r="A185" s="216">
        <v>46108</v>
      </c>
      <c r="B185" s="233">
        <v>5.44</v>
      </c>
    </row>
    <row r="186" spans="1:2">
      <c r="A186" s="216">
        <v>46109</v>
      </c>
      <c r="B186" s="233">
        <v>5.19</v>
      </c>
    </row>
    <row r="187" spans="1:2">
      <c r="A187" s="216">
        <v>46110</v>
      </c>
      <c r="B187" s="233">
        <v>5.05</v>
      </c>
    </row>
    <row r="188" spans="1:2">
      <c r="A188" s="216">
        <v>46111</v>
      </c>
      <c r="B188" s="233">
        <v>5.36</v>
      </c>
    </row>
    <row r="189" spans="1:2">
      <c r="A189" s="216">
        <v>46112</v>
      </c>
      <c r="B189" s="233">
        <v>5.51</v>
      </c>
    </row>
    <row r="190" spans="1:2">
      <c r="A190" s="216">
        <v>46113</v>
      </c>
      <c r="B190" s="233">
        <v>5.39</v>
      </c>
    </row>
    <row r="191" spans="1:2">
      <c r="A191" s="216">
        <v>46114</v>
      </c>
      <c r="B191" s="233">
        <v>5.28</v>
      </c>
    </row>
    <row r="192" spans="1:2">
      <c r="A192" s="216">
        <v>46115</v>
      </c>
      <c r="B192" s="233">
        <v>5.0999999999999996</v>
      </c>
    </row>
    <row r="193" spans="1:2">
      <c r="A193" s="216">
        <v>46116</v>
      </c>
      <c r="B193" s="233">
        <v>4.9000000000000004</v>
      </c>
    </row>
    <row r="194" spans="1:2">
      <c r="A194" s="216">
        <v>46117</v>
      </c>
      <c r="B194" s="233">
        <v>4.7699999999999996</v>
      </c>
    </row>
    <row r="195" spans="1:2">
      <c r="A195" s="216">
        <v>46118</v>
      </c>
      <c r="B195" s="233">
        <v>4.3499999999999996</v>
      </c>
    </row>
    <row r="196" spans="1:2">
      <c r="A196" s="216">
        <v>46119</v>
      </c>
      <c r="B196" s="233">
        <v>4.33</v>
      </c>
    </row>
    <row r="197" spans="1:2">
      <c r="A197" s="216">
        <v>46120</v>
      </c>
      <c r="B197" s="233">
        <v>4.09</v>
      </c>
    </row>
    <row r="198" spans="1:2">
      <c r="A198" s="216">
        <v>46121</v>
      </c>
      <c r="B198" s="233">
        <v>3.93</v>
      </c>
    </row>
    <row r="199" spans="1:2">
      <c r="A199" s="216">
        <v>46122</v>
      </c>
      <c r="B199" s="233">
        <v>3.81</v>
      </c>
    </row>
    <row r="200" spans="1:2">
      <c r="A200" s="216">
        <v>46123</v>
      </c>
      <c r="B200" s="233">
        <v>3.7</v>
      </c>
    </row>
    <row r="201" spans="1:2">
      <c r="A201" s="216">
        <v>46124</v>
      </c>
      <c r="B201" s="233">
        <v>3.58</v>
      </c>
    </row>
    <row r="202" spans="1:2">
      <c r="A202" s="216">
        <v>46125</v>
      </c>
      <c r="B202" s="233">
        <v>3.47</v>
      </c>
    </row>
    <row r="203" spans="1:2">
      <c r="A203" s="216">
        <v>46126</v>
      </c>
      <c r="B203" s="233">
        <v>3.39</v>
      </c>
    </row>
    <row r="204" spans="1:2">
      <c r="A204" s="216">
        <v>46127</v>
      </c>
      <c r="B204" s="233">
        <v>3.24</v>
      </c>
    </row>
    <row r="205" spans="1:2">
      <c r="A205" s="216">
        <v>46128</v>
      </c>
      <c r="B205" s="233">
        <v>3.18</v>
      </c>
    </row>
    <row r="206" spans="1:2">
      <c r="A206" s="216">
        <v>46129</v>
      </c>
      <c r="B206" s="233">
        <v>3.15</v>
      </c>
    </row>
    <row r="207" spans="1:2">
      <c r="A207" s="216">
        <v>46130</v>
      </c>
      <c r="B207" s="233">
        <v>3.08</v>
      </c>
    </row>
    <row r="208" spans="1:2">
      <c r="A208" s="216">
        <v>46131</v>
      </c>
      <c r="B208" s="233">
        <v>3.09</v>
      </c>
    </row>
    <row r="209" spans="1:2">
      <c r="A209" s="216">
        <v>46132</v>
      </c>
      <c r="B209" s="233">
        <v>3.03</v>
      </c>
    </row>
    <row r="210" spans="1:2">
      <c r="A210" s="216">
        <v>46133</v>
      </c>
      <c r="B210" s="233">
        <v>2.79</v>
      </c>
    </row>
    <row r="211" spans="1:2">
      <c r="A211" s="216">
        <v>46134</v>
      </c>
      <c r="B211" s="233">
        <v>2.66</v>
      </c>
    </row>
    <row r="212" spans="1:2">
      <c r="A212" s="216">
        <v>46135</v>
      </c>
      <c r="B212" s="233">
        <v>2.6</v>
      </c>
    </row>
    <row r="213" spans="1:2">
      <c r="A213" s="216">
        <v>46136</v>
      </c>
      <c r="B213" s="233">
        <v>2.5499999999999998</v>
      </c>
    </row>
    <row r="214" spans="1:2">
      <c r="A214" s="216">
        <v>46137</v>
      </c>
      <c r="B214" s="233">
        <v>2.48</v>
      </c>
    </row>
    <row r="215" spans="1:2">
      <c r="A215" s="216">
        <v>46138</v>
      </c>
      <c r="B215" s="233">
        <v>2.41</v>
      </c>
    </row>
    <row r="216" spans="1:2">
      <c r="A216" s="216">
        <v>46139</v>
      </c>
      <c r="B216" s="233">
        <v>2.41</v>
      </c>
    </row>
    <row r="217" spans="1:2">
      <c r="A217" s="216">
        <v>46140</v>
      </c>
      <c r="B217" s="233">
        <v>2.2799999999999998</v>
      </c>
    </row>
    <row r="218" spans="1:2">
      <c r="A218" s="216">
        <v>46141</v>
      </c>
      <c r="B218" s="233">
        <v>2.23</v>
      </c>
    </row>
    <row r="219" spans="1:2">
      <c r="A219" s="216">
        <v>46142</v>
      </c>
      <c r="B219" s="233">
        <v>2.19</v>
      </c>
    </row>
    <row r="220" spans="1:2">
      <c r="A220" s="216">
        <v>46143</v>
      </c>
      <c r="B220" s="233">
        <v>2.12</v>
      </c>
    </row>
    <row r="221" spans="1:2">
      <c r="A221" s="216">
        <v>46144</v>
      </c>
      <c r="B221" s="233">
        <v>2.0699999999999998</v>
      </c>
    </row>
    <row r="222" spans="1:2">
      <c r="A222" s="216">
        <v>46145</v>
      </c>
      <c r="B222" s="233">
        <v>2.04</v>
      </c>
    </row>
    <row r="223" spans="1:2">
      <c r="A223" s="216">
        <v>46146</v>
      </c>
      <c r="B223" s="233">
        <v>2</v>
      </c>
    </row>
    <row r="224" spans="1:2">
      <c r="A224" s="216">
        <v>46147</v>
      </c>
      <c r="B224" s="233">
        <v>1.93</v>
      </c>
    </row>
    <row r="225" spans="1:2">
      <c r="A225" s="216">
        <v>46148</v>
      </c>
      <c r="B225" s="233">
        <v>1.87</v>
      </c>
    </row>
    <row r="226" spans="1:2">
      <c r="A226" s="216">
        <v>46149</v>
      </c>
      <c r="B226" s="233">
        <v>1.85</v>
      </c>
    </row>
    <row r="227" spans="1:2">
      <c r="A227" s="216">
        <v>46150</v>
      </c>
      <c r="B227" s="233">
        <v>1.79</v>
      </c>
    </row>
    <row r="228" spans="1:2">
      <c r="A228" s="216">
        <v>46151</v>
      </c>
      <c r="B228" s="233">
        <v>1.74</v>
      </c>
    </row>
    <row r="229" spans="1:2">
      <c r="A229" s="216">
        <v>46152</v>
      </c>
      <c r="B229" s="233">
        <v>1.68</v>
      </c>
    </row>
    <row r="230" spans="1:2">
      <c r="A230" s="216">
        <v>46153</v>
      </c>
      <c r="B230" s="233">
        <v>2.13</v>
      </c>
    </row>
    <row r="231" spans="1:2">
      <c r="A231" s="216">
        <v>46154</v>
      </c>
      <c r="B231" s="233">
        <v>2.57</v>
      </c>
    </row>
    <row r="232" spans="1:2">
      <c r="A232" s="216">
        <v>46155</v>
      </c>
      <c r="B232" s="233">
        <v>2.88</v>
      </c>
    </row>
    <row r="233" spans="1:2">
      <c r="A233" s="216">
        <v>46156</v>
      </c>
      <c r="B233" s="233">
        <v>2.91</v>
      </c>
    </row>
    <row r="234" spans="1:2">
      <c r="A234" s="216">
        <v>46157</v>
      </c>
      <c r="B234" s="233">
        <v>2.99</v>
      </c>
    </row>
    <row r="235" spans="1:2">
      <c r="A235" s="216">
        <v>46158</v>
      </c>
      <c r="B235" s="233">
        <v>2.88</v>
      </c>
    </row>
    <row r="236" spans="1:2">
      <c r="A236" s="216">
        <v>46159</v>
      </c>
      <c r="B236" s="233">
        <v>2.68</v>
      </c>
    </row>
    <row r="237" spans="1:2">
      <c r="A237" s="216">
        <v>46160</v>
      </c>
      <c r="B237" s="233">
        <v>2.52</v>
      </c>
    </row>
    <row r="238" spans="1:2">
      <c r="A238" s="216">
        <v>46161</v>
      </c>
      <c r="B238" s="233">
        <v>2.35</v>
      </c>
    </row>
    <row r="239" spans="1:2">
      <c r="A239" s="216">
        <v>46162</v>
      </c>
      <c r="B239" s="233">
        <v>2.16</v>
      </c>
    </row>
    <row r="240" spans="1:2">
      <c r="A240" s="216">
        <v>46163</v>
      </c>
      <c r="B240" s="233">
        <v>2.09</v>
      </c>
    </row>
    <row r="241" spans="1:2">
      <c r="A241" s="216">
        <v>46164</v>
      </c>
      <c r="B241" s="233">
        <v>2.0099999999999998</v>
      </c>
    </row>
    <row r="242" spans="1:2">
      <c r="A242" s="216">
        <v>46165</v>
      </c>
      <c r="B242" s="233">
        <v>1.93</v>
      </c>
    </row>
    <row r="243" spans="1:2">
      <c r="A243" s="216">
        <v>46166</v>
      </c>
      <c r="B243" s="233">
        <v>1.85</v>
      </c>
    </row>
    <row r="244" spans="1:2">
      <c r="A244" s="216">
        <v>46167</v>
      </c>
      <c r="B244" s="233">
        <v>1.72</v>
      </c>
    </row>
    <row r="245" spans="1:2">
      <c r="A245" s="216">
        <v>46168</v>
      </c>
      <c r="B245" s="233">
        <v>1.64</v>
      </c>
    </row>
    <row r="246" spans="1:2">
      <c r="A246" s="216">
        <v>46169</v>
      </c>
      <c r="B246" s="233">
        <v>1.55</v>
      </c>
    </row>
    <row r="247" spans="1:2">
      <c r="A247" s="216">
        <v>46170</v>
      </c>
      <c r="B247" s="233">
        <v>1.47</v>
      </c>
    </row>
    <row r="248" spans="1:2">
      <c r="A248" s="216">
        <v>46171</v>
      </c>
      <c r="B248" s="233">
        <v>1.39</v>
      </c>
    </row>
    <row r="249" spans="1:2">
      <c r="A249" s="216">
        <v>46172</v>
      </c>
      <c r="B249" s="233">
        <v>1.3</v>
      </c>
    </row>
    <row r="250" spans="1:2">
      <c r="A250" s="216">
        <v>46173</v>
      </c>
      <c r="B250" s="233">
        <v>1.22</v>
      </c>
    </row>
    <row r="251" spans="1:2">
      <c r="A251" s="216">
        <v>46174</v>
      </c>
      <c r="B251" s="233">
        <v>1.0900000000000001</v>
      </c>
    </row>
    <row r="252" spans="1:2">
      <c r="A252" s="216">
        <v>46175</v>
      </c>
      <c r="B252" s="233">
        <v>1.06</v>
      </c>
    </row>
    <row r="253" spans="1:2">
      <c r="A253" s="216">
        <v>46176</v>
      </c>
      <c r="B253" s="233">
        <v>1.1100000000000001</v>
      </c>
    </row>
    <row r="254" spans="1:2">
      <c r="A254" s="216">
        <v>46177</v>
      </c>
      <c r="B254" s="233">
        <v>0.98399999999999999</v>
      </c>
    </row>
    <row r="255" spans="1:2">
      <c r="A255" s="216">
        <v>46178</v>
      </c>
      <c r="B255" s="233">
        <v>0.93700000000000006</v>
      </c>
    </row>
    <row r="256" spans="1:2">
      <c r="A256" s="216">
        <v>46179</v>
      </c>
      <c r="B256" s="233">
        <v>0.95899999999999996</v>
      </c>
    </row>
    <row r="257" spans="1:2">
      <c r="A257" s="216">
        <v>46180</v>
      </c>
      <c r="B257" s="233">
        <v>0.97899999999999998</v>
      </c>
    </row>
    <row r="258" spans="1:2">
      <c r="A258" s="216">
        <v>46181</v>
      </c>
      <c r="B258" s="233">
        <v>0.71799999999999997</v>
      </c>
    </row>
    <row r="259" spans="1:2">
      <c r="A259" s="216">
        <v>46182</v>
      </c>
      <c r="B259" s="233">
        <v>0.86199999999999999</v>
      </c>
    </row>
    <row r="260" spans="1:2">
      <c r="A260" s="216">
        <v>46183</v>
      </c>
      <c r="B260" s="233">
        <v>0.84</v>
      </c>
    </row>
    <row r="261" spans="1:2">
      <c r="A261" s="216">
        <v>46184</v>
      </c>
      <c r="B261" s="233">
        <v>0.81799999999999995</v>
      </c>
    </row>
    <row r="262" spans="1:2">
      <c r="A262" s="216">
        <v>46185</v>
      </c>
      <c r="B262" s="233">
        <v>0.74299999999999999</v>
      </c>
    </row>
    <row r="263" spans="1:2">
      <c r="A263" s="216">
        <v>46186</v>
      </c>
      <c r="B263" s="233">
        <v>1.0900000000000001</v>
      </c>
    </row>
    <row r="264" spans="1:2">
      <c r="A264" s="216">
        <v>46187</v>
      </c>
      <c r="B264" s="233"/>
    </row>
    <row r="265" spans="1:2">
      <c r="A265" s="216">
        <v>46188</v>
      </c>
      <c r="B265" s="233"/>
    </row>
    <row r="266" spans="1:2">
      <c r="A266" s="216">
        <v>46189</v>
      </c>
      <c r="B266" s="233"/>
    </row>
    <row r="267" spans="1:2">
      <c r="A267" s="216">
        <v>46190</v>
      </c>
      <c r="B267" s="233"/>
    </row>
    <row r="268" spans="1:2">
      <c r="A268" s="216">
        <v>46191</v>
      </c>
      <c r="B268" s="233"/>
    </row>
    <row r="269" spans="1:2">
      <c r="A269" s="216">
        <v>46192</v>
      </c>
      <c r="B269" s="233"/>
    </row>
    <row r="270" spans="1:2">
      <c r="A270" s="216">
        <v>46193</v>
      </c>
      <c r="B270" s="233"/>
    </row>
    <row r="271" spans="1:2">
      <c r="A271" s="216">
        <v>46194</v>
      </c>
      <c r="B271" s="233"/>
    </row>
    <row r="272" spans="1:2">
      <c r="A272" s="216">
        <v>46195</v>
      </c>
      <c r="B272" s="233"/>
    </row>
    <row r="273" spans="1:2">
      <c r="A273" s="216">
        <v>46196</v>
      </c>
      <c r="B273" s="233"/>
    </row>
    <row r="274" spans="1:2">
      <c r="A274" s="216">
        <v>46197</v>
      </c>
      <c r="B274" s="233"/>
    </row>
    <row r="275" spans="1:2">
      <c r="A275" s="216">
        <v>46198</v>
      </c>
      <c r="B275" s="233"/>
    </row>
    <row r="276" spans="1:2">
      <c r="A276" s="216">
        <v>46199</v>
      </c>
      <c r="B276" s="233"/>
    </row>
    <row r="277" spans="1:2">
      <c r="A277" s="216">
        <v>46200</v>
      </c>
      <c r="B277" s="233"/>
    </row>
    <row r="278" spans="1:2">
      <c r="A278" s="216">
        <v>46201</v>
      </c>
      <c r="B278" s="233"/>
    </row>
    <row r="279" spans="1:2">
      <c r="A279" s="216">
        <v>46202</v>
      </c>
      <c r="B279" s="233"/>
    </row>
    <row r="280" spans="1:2">
      <c r="A280" s="216">
        <v>46203</v>
      </c>
      <c r="B280" s="233"/>
    </row>
    <row r="281" spans="1:2">
      <c r="A281" s="216">
        <v>46204</v>
      </c>
      <c r="B281" s="233"/>
    </row>
    <row r="282" spans="1:2">
      <c r="A282" s="216">
        <v>46205</v>
      </c>
      <c r="B282" s="233"/>
    </row>
    <row r="283" spans="1:2">
      <c r="A283" s="216">
        <v>46206</v>
      </c>
      <c r="B283" s="233"/>
    </row>
    <row r="284" spans="1:2">
      <c r="A284" s="216">
        <v>46207</v>
      </c>
      <c r="B284" s="233"/>
    </row>
    <row r="285" spans="1:2">
      <c r="A285" s="216">
        <v>46208</v>
      </c>
      <c r="B285" s="233"/>
    </row>
    <row r="286" spans="1:2">
      <c r="A286" s="216">
        <v>46209</v>
      </c>
      <c r="B286" s="233"/>
    </row>
    <row r="287" spans="1:2">
      <c r="A287" s="216">
        <v>46210</v>
      </c>
      <c r="B287" s="233"/>
    </row>
    <row r="288" spans="1:2">
      <c r="A288" s="216">
        <v>46211</v>
      </c>
      <c r="B288" s="233"/>
    </row>
    <row r="289" spans="1:2">
      <c r="A289" s="216">
        <v>46212</v>
      </c>
      <c r="B289" s="233"/>
    </row>
    <row r="290" spans="1:2">
      <c r="A290" s="216">
        <v>46213</v>
      </c>
      <c r="B290" s="233"/>
    </row>
    <row r="291" spans="1:2">
      <c r="A291" s="216">
        <v>46214</v>
      </c>
      <c r="B291" s="233"/>
    </row>
    <row r="292" spans="1:2">
      <c r="A292" s="216">
        <v>46215</v>
      </c>
      <c r="B292" s="233"/>
    </row>
    <row r="293" spans="1:2">
      <c r="A293" s="216">
        <v>46216</v>
      </c>
      <c r="B293" s="233"/>
    </row>
    <row r="294" spans="1:2">
      <c r="A294" s="216">
        <v>46217</v>
      </c>
      <c r="B294" s="233"/>
    </row>
    <row r="295" spans="1:2">
      <c r="A295" s="216">
        <v>46218</v>
      </c>
      <c r="B295" s="233"/>
    </row>
    <row r="296" spans="1:2">
      <c r="A296" s="216">
        <v>46219</v>
      </c>
      <c r="B296" s="233"/>
    </row>
    <row r="297" spans="1:2">
      <c r="A297" s="216">
        <v>46220</v>
      </c>
      <c r="B297" s="233"/>
    </row>
    <row r="298" spans="1:2">
      <c r="A298" s="216">
        <v>46221</v>
      </c>
      <c r="B298" s="233"/>
    </row>
    <row r="299" spans="1:2">
      <c r="A299" s="216">
        <v>46222</v>
      </c>
      <c r="B299" s="233"/>
    </row>
    <row r="300" spans="1:2">
      <c r="A300" s="216">
        <v>46223</v>
      </c>
      <c r="B300" s="233"/>
    </row>
    <row r="301" spans="1:2">
      <c r="A301" s="216">
        <v>46224</v>
      </c>
      <c r="B301" s="233"/>
    </row>
    <row r="302" spans="1:2">
      <c r="A302" s="216">
        <v>46225</v>
      </c>
      <c r="B302" s="233"/>
    </row>
    <row r="303" spans="1:2">
      <c r="A303" s="216">
        <v>46226</v>
      </c>
      <c r="B303" s="233"/>
    </row>
    <row r="304" spans="1:2">
      <c r="A304" s="216">
        <v>46227</v>
      </c>
      <c r="B304" s="233"/>
    </row>
    <row r="305" spans="1:2">
      <c r="A305" s="216">
        <v>46228</v>
      </c>
      <c r="B305" s="233"/>
    </row>
    <row r="306" spans="1:2">
      <c r="A306" s="216">
        <v>46229</v>
      </c>
      <c r="B306" s="233"/>
    </row>
    <row r="307" spans="1:2">
      <c r="A307" s="216">
        <v>46230</v>
      </c>
      <c r="B307" s="233"/>
    </row>
    <row r="308" spans="1:2">
      <c r="A308" s="216">
        <v>46231</v>
      </c>
      <c r="B308" s="233"/>
    </row>
    <row r="309" spans="1:2">
      <c r="A309" s="216">
        <v>46232</v>
      </c>
      <c r="B309" s="233"/>
    </row>
    <row r="310" spans="1:2">
      <c r="A310" s="216">
        <v>46233</v>
      </c>
      <c r="B310" s="233"/>
    </row>
    <row r="311" spans="1:2">
      <c r="A311" s="216">
        <v>46234</v>
      </c>
      <c r="B311" s="233"/>
    </row>
    <row r="312" spans="1:2">
      <c r="A312" s="216">
        <v>46235</v>
      </c>
      <c r="B312" s="233"/>
    </row>
    <row r="313" spans="1:2">
      <c r="A313" s="216">
        <v>46236</v>
      </c>
      <c r="B313" s="233"/>
    </row>
    <row r="314" spans="1:2">
      <c r="A314" s="216">
        <v>46237</v>
      </c>
      <c r="B314" s="233"/>
    </row>
    <row r="315" spans="1:2">
      <c r="A315" s="216">
        <v>46238</v>
      </c>
      <c r="B315" s="233"/>
    </row>
    <row r="316" spans="1:2">
      <c r="A316" s="216">
        <v>46239</v>
      </c>
      <c r="B316" s="233"/>
    </row>
    <row r="317" spans="1:2">
      <c r="A317" s="216">
        <v>46240</v>
      </c>
      <c r="B317" s="233"/>
    </row>
    <row r="318" spans="1:2">
      <c r="A318" s="216">
        <v>46241</v>
      </c>
      <c r="B318" s="233"/>
    </row>
    <row r="319" spans="1:2">
      <c r="A319" s="216">
        <v>46242</v>
      </c>
      <c r="B319" s="233"/>
    </row>
    <row r="320" spans="1:2">
      <c r="A320" s="216">
        <v>46243</v>
      </c>
      <c r="B320" s="233"/>
    </row>
    <row r="321" spans="1:2">
      <c r="A321" s="216">
        <v>46244</v>
      </c>
      <c r="B321" s="233"/>
    </row>
    <row r="322" spans="1:2">
      <c r="A322" s="216">
        <v>46245</v>
      </c>
      <c r="B322" s="233"/>
    </row>
    <row r="323" spans="1:2">
      <c r="A323" s="216">
        <v>46246</v>
      </c>
      <c r="B323" s="233"/>
    </row>
    <row r="324" spans="1:2">
      <c r="A324" s="216">
        <v>46247</v>
      </c>
      <c r="B324" s="233"/>
    </row>
    <row r="325" spans="1:2">
      <c r="A325" s="216">
        <v>46248</v>
      </c>
      <c r="B325" s="233"/>
    </row>
    <row r="326" spans="1:2">
      <c r="A326" s="216">
        <v>46249</v>
      </c>
      <c r="B326" s="233"/>
    </row>
    <row r="327" spans="1:2">
      <c r="A327" s="216">
        <v>46250</v>
      </c>
      <c r="B327" s="233"/>
    </row>
    <row r="328" spans="1:2">
      <c r="A328" s="216">
        <v>46251</v>
      </c>
      <c r="B328" s="233"/>
    </row>
    <row r="329" spans="1:2">
      <c r="A329" s="216">
        <v>46252</v>
      </c>
      <c r="B329" s="233"/>
    </row>
    <row r="330" spans="1:2">
      <c r="A330" s="216">
        <v>46253</v>
      </c>
      <c r="B330" s="233"/>
    </row>
    <row r="331" spans="1:2">
      <c r="A331" s="216">
        <v>46254</v>
      </c>
      <c r="B331" s="233"/>
    </row>
    <row r="332" spans="1:2">
      <c r="A332" s="216">
        <v>46255</v>
      </c>
      <c r="B332" s="233"/>
    </row>
    <row r="333" spans="1:2">
      <c r="A333" s="216">
        <v>46256</v>
      </c>
      <c r="B333" s="233"/>
    </row>
    <row r="334" spans="1:2">
      <c r="A334" s="216">
        <v>46257</v>
      </c>
      <c r="B334" s="233"/>
    </row>
    <row r="335" spans="1:2">
      <c r="A335" s="216">
        <v>46258</v>
      </c>
      <c r="B335" s="233"/>
    </row>
    <row r="336" spans="1:2">
      <c r="A336" s="216">
        <v>46259</v>
      </c>
      <c r="B336" s="233"/>
    </row>
    <row r="337" spans="1:2">
      <c r="A337" s="216">
        <v>46260</v>
      </c>
      <c r="B337" s="233"/>
    </row>
    <row r="338" spans="1:2">
      <c r="A338" s="216">
        <v>46261</v>
      </c>
      <c r="B338" s="233"/>
    </row>
    <row r="339" spans="1:2">
      <c r="A339" s="216">
        <v>46262</v>
      </c>
      <c r="B339" s="233"/>
    </row>
    <row r="340" spans="1:2">
      <c r="A340" s="216">
        <v>46263</v>
      </c>
      <c r="B340" s="233"/>
    </row>
    <row r="341" spans="1:2">
      <c r="A341" s="216">
        <v>46264</v>
      </c>
      <c r="B341" s="233"/>
    </row>
    <row r="342" spans="1:2">
      <c r="A342" s="216">
        <v>46265</v>
      </c>
      <c r="B342" s="233"/>
    </row>
    <row r="343" spans="1:2">
      <c r="A343" s="216">
        <v>46266</v>
      </c>
      <c r="B343" s="233"/>
    </row>
    <row r="344" spans="1:2">
      <c r="A344" s="216">
        <v>46267</v>
      </c>
      <c r="B344" s="233"/>
    </row>
    <row r="345" spans="1:2">
      <c r="A345" s="216">
        <v>46268</v>
      </c>
      <c r="B345" s="233"/>
    </row>
    <row r="346" spans="1:2">
      <c r="A346" s="216">
        <v>46269</v>
      </c>
      <c r="B346" s="233"/>
    </row>
    <row r="347" spans="1:2">
      <c r="A347" s="216">
        <v>46270</v>
      </c>
      <c r="B347" s="233"/>
    </row>
    <row r="348" spans="1:2">
      <c r="A348" s="216">
        <v>46271</v>
      </c>
      <c r="B348" s="233"/>
    </row>
    <row r="349" spans="1:2">
      <c r="A349" s="216">
        <v>46272</v>
      </c>
      <c r="B349" s="233"/>
    </row>
    <row r="350" spans="1:2">
      <c r="A350" s="216">
        <v>46273</v>
      </c>
      <c r="B350" s="233"/>
    </row>
    <row r="351" spans="1:2">
      <c r="A351" s="216">
        <v>46274</v>
      </c>
      <c r="B351" s="233"/>
    </row>
    <row r="352" spans="1:2">
      <c r="A352" s="216">
        <v>46275</v>
      </c>
      <c r="B352" s="233"/>
    </row>
    <row r="353" spans="1:2">
      <c r="A353" s="216">
        <v>46276</v>
      </c>
      <c r="B353" s="233"/>
    </row>
    <row r="354" spans="1:2">
      <c r="A354" s="216">
        <v>46277</v>
      </c>
      <c r="B354" s="233"/>
    </row>
    <row r="355" spans="1:2">
      <c r="A355" s="216">
        <v>46278</v>
      </c>
      <c r="B355" s="233"/>
    </row>
    <row r="356" spans="1:2">
      <c r="A356" s="216">
        <v>46279</v>
      </c>
      <c r="B356" s="233"/>
    </row>
    <row r="357" spans="1:2">
      <c r="A357" s="216">
        <v>46280</v>
      </c>
      <c r="B357" s="233"/>
    </row>
    <row r="358" spans="1:2">
      <c r="A358" s="216">
        <v>46281</v>
      </c>
      <c r="B358" s="233"/>
    </row>
    <row r="359" spans="1:2">
      <c r="A359" s="216">
        <v>46282</v>
      </c>
      <c r="B359" s="233"/>
    </row>
    <row r="360" spans="1:2">
      <c r="A360" s="216">
        <v>46283</v>
      </c>
      <c r="B360" s="233"/>
    </row>
    <row r="361" spans="1:2">
      <c r="A361" s="216">
        <v>46284</v>
      </c>
      <c r="B361" s="233"/>
    </row>
    <row r="362" spans="1:2">
      <c r="A362" s="216">
        <v>46285</v>
      </c>
      <c r="B362" s="233"/>
    </row>
    <row r="363" spans="1:2">
      <c r="A363" s="216">
        <v>46286</v>
      </c>
      <c r="B363" s="233"/>
    </row>
    <row r="364" spans="1:2">
      <c r="A364" s="216">
        <v>46287</v>
      </c>
      <c r="B364" s="233"/>
    </row>
    <row r="365" spans="1:2">
      <c r="A365" s="216">
        <v>46288</v>
      </c>
      <c r="B365" s="233"/>
    </row>
    <row r="366" spans="1:2">
      <c r="A366" s="216">
        <v>46289</v>
      </c>
      <c r="B366" s="233"/>
    </row>
    <row r="367" spans="1:2">
      <c r="A367" s="216">
        <v>46290</v>
      </c>
      <c r="B367" s="233"/>
    </row>
    <row r="368" spans="1:2">
      <c r="A368" s="216">
        <v>46291</v>
      </c>
      <c r="B368" s="233"/>
    </row>
    <row r="369" spans="1:2">
      <c r="A369" s="216">
        <v>46292</v>
      </c>
      <c r="B369" s="233"/>
    </row>
    <row r="370" spans="1:2">
      <c r="A370" s="216">
        <v>46293</v>
      </c>
      <c r="B370" s="233"/>
    </row>
    <row r="371" spans="1:2">
      <c r="A371" s="216">
        <v>46294</v>
      </c>
      <c r="B371" s="233"/>
    </row>
    <row r="372" spans="1:2">
      <c r="A372" s="216">
        <v>46295</v>
      </c>
      <c r="B372" s="233"/>
    </row>
    <row r="373" spans="1:2">
      <c r="A373" s="216">
        <v>46296</v>
      </c>
      <c r="B373" s="233"/>
    </row>
    <row r="374" spans="1:2">
      <c r="A374" s="216">
        <v>46297</v>
      </c>
      <c r="B374" s="233"/>
    </row>
    <row r="375" spans="1:2">
      <c r="A375" s="216">
        <v>46298</v>
      </c>
      <c r="B375" s="233"/>
    </row>
    <row r="376" spans="1:2">
      <c r="A376" s="216">
        <v>46299</v>
      </c>
      <c r="B376" s="233"/>
    </row>
    <row r="377" spans="1:2">
      <c r="A377" s="216">
        <v>46300</v>
      </c>
      <c r="B377" s="233"/>
    </row>
    <row r="378" spans="1:2">
      <c r="A378" s="216">
        <v>46301</v>
      </c>
      <c r="B378" s="233"/>
    </row>
    <row r="379" spans="1:2">
      <c r="A379" s="216">
        <v>46302</v>
      </c>
    </row>
    <row r="380" spans="1:2">
      <c r="A380" s="216">
        <v>46303</v>
      </c>
    </row>
    <row r="381" spans="1:2">
      <c r="A381" s="216">
        <v>46304</v>
      </c>
    </row>
    <row r="382" spans="1:2">
      <c r="A382" s="216">
        <v>46305</v>
      </c>
    </row>
    <row r="383" spans="1:2">
      <c r="A383" s="216">
        <v>46306</v>
      </c>
    </row>
    <row r="384" spans="1:2">
      <c r="A384" s="216">
        <v>46307</v>
      </c>
    </row>
    <row r="385" spans="1:2">
      <c r="A385" s="216">
        <v>46308</v>
      </c>
    </row>
    <row r="386" spans="1:2">
      <c r="A386" s="216">
        <v>46309</v>
      </c>
      <c r="B386" s="233"/>
    </row>
    <row r="387" spans="1:2">
      <c r="A387" s="216">
        <v>46310</v>
      </c>
      <c r="B387" s="233"/>
    </row>
    <row r="388" spans="1:2">
      <c r="A388" s="216">
        <v>46311</v>
      </c>
      <c r="B388" s="233"/>
    </row>
    <row r="389" spans="1:2">
      <c r="A389" s="216">
        <v>46312</v>
      </c>
      <c r="B389" s="233"/>
    </row>
    <row r="390" spans="1:2">
      <c r="A390" s="216">
        <v>46313</v>
      </c>
      <c r="B390" s="233"/>
    </row>
    <row r="391" spans="1:2">
      <c r="A391" s="216">
        <v>46314</v>
      </c>
      <c r="B391" s="233"/>
    </row>
    <row r="392" spans="1:2">
      <c r="A392" s="216">
        <v>46315</v>
      </c>
      <c r="B392" s="233"/>
    </row>
    <row r="393" spans="1:2">
      <c r="A393" s="216">
        <v>46316</v>
      </c>
      <c r="B393" s="233"/>
    </row>
    <row r="394" spans="1:2">
      <c r="A394" s="216">
        <v>46317</v>
      </c>
      <c r="B394" s="233"/>
    </row>
    <row r="395" spans="1:2">
      <c r="A395" s="216">
        <v>46318</v>
      </c>
      <c r="B395" s="233"/>
    </row>
    <row r="396" spans="1:2">
      <c r="A396" s="216">
        <v>46319</v>
      </c>
      <c r="B396" s="738"/>
    </row>
    <row r="397" spans="1:2">
      <c r="A397" s="216">
        <v>46320</v>
      </c>
      <c r="B397" s="738"/>
    </row>
    <row r="398" spans="1:2">
      <c r="A398" s="216">
        <v>46321</v>
      </c>
      <c r="B398" s="233"/>
    </row>
    <row r="399" spans="1:2">
      <c r="A399" s="216">
        <v>46322</v>
      </c>
      <c r="B399" s="233"/>
    </row>
    <row r="400" spans="1:2">
      <c r="A400" s="216">
        <v>46323</v>
      </c>
      <c r="B400" s="233"/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6"/>
    </row>
    <row r="444" spans="1:2">
      <c r="A444" s="216">
        <v>46367</v>
      </c>
      <c r="B444" s="626"/>
    </row>
    <row r="445" spans="1:2">
      <c r="A445" s="216">
        <v>46368</v>
      </c>
      <c r="B445" s="626"/>
    </row>
    <row r="446" spans="1:2">
      <c r="A446" s="216">
        <v>46369</v>
      </c>
      <c r="B446" s="626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7"/>
    </row>
    <row r="467" spans="1:1">
      <c r="A467" s="627"/>
    </row>
  </sheetData>
  <sheetProtection algorithmName="SHA-512" hashValue="wWhu+N5RFBtLvR0UoqvX7uSsm7iXjaw3RbVOQccVy9FDy2QRdEpp+oiXrvV54V9BREtux5FBVn5Z4fJChSwxwg==" saltValue="KMjmI0mP3ISV5p0xnKHXKA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190" activePane="bottomLeft" state="frozen"/>
      <selection pane="bottomLeft" activeCell="C210" sqref="C210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4" t="s">
        <v>277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5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171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213</v>
      </c>
      <c r="CD6" s="379" t="s">
        <v>214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4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166</v>
      </c>
      <c r="AB7" s="233"/>
      <c r="AC7" s="233"/>
      <c r="AE7" s="233" t="s">
        <v>186</v>
      </c>
      <c r="AF7" s="233"/>
      <c r="AG7" s="233"/>
      <c r="AI7" s="233" t="s">
        <v>223</v>
      </c>
      <c r="AJ7" s="233"/>
      <c r="AK7" s="233"/>
      <c r="AM7" s="535" t="s">
        <v>116</v>
      </c>
      <c r="AN7" s="233"/>
      <c r="AO7" s="233"/>
      <c r="AP7" s="57" t="s">
        <v>303</v>
      </c>
      <c r="AQ7" s="233"/>
      <c r="AR7" s="233"/>
      <c r="AS7" s="57" t="s">
        <v>102</v>
      </c>
      <c r="AW7" s="57" t="s">
        <v>10</v>
      </c>
      <c r="AZ7" t="s">
        <v>215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154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230</v>
      </c>
      <c r="K8" s="339" t="s">
        <v>102</v>
      </c>
      <c r="L8" s="339" t="s">
        <v>10</v>
      </c>
      <c r="M8" s="339" t="s">
        <v>157</v>
      </c>
      <c r="N8" s="339" t="s">
        <v>103</v>
      </c>
      <c r="O8" s="339" t="s">
        <v>11</v>
      </c>
      <c r="P8" s="228" t="s">
        <v>291</v>
      </c>
      <c r="Q8" s="228" t="s">
        <v>158</v>
      </c>
      <c r="R8" s="228" t="s">
        <v>159</v>
      </c>
      <c r="S8" s="228"/>
      <c r="T8" s="226"/>
      <c r="U8" s="226"/>
      <c r="V8" s="226"/>
      <c r="W8" s="226"/>
      <c r="X8" s="226"/>
      <c r="Y8" s="226"/>
      <c r="Z8" s="226"/>
      <c r="AA8" s="233" t="s">
        <v>150</v>
      </c>
      <c r="AB8" s="233" t="s">
        <v>224</v>
      </c>
      <c r="AC8" s="233" t="s">
        <v>225</v>
      </c>
      <c r="AD8" s="57" t="s">
        <v>237</v>
      </c>
      <c r="AE8" s="233" t="s">
        <v>150</v>
      </c>
      <c r="AF8" s="233" t="s">
        <v>224</v>
      </c>
      <c r="AG8" s="233" t="s">
        <v>225</v>
      </c>
      <c r="AH8" t="s">
        <v>226</v>
      </c>
      <c r="AI8" s="233" t="s">
        <v>150</v>
      </c>
      <c r="AJ8" s="233" t="s">
        <v>224</v>
      </c>
      <c r="AK8" s="233" t="s">
        <v>225</v>
      </c>
      <c r="AL8" t="s">
        <v>227</v>
      </c>
      <c r="AM8" s="233" t="s">
        <v>150</v>
      </c>
      <c r="AN8" s="233" t="s">
        <v>224</v>
      </c>
      <c r="AO8" s="233" t="s">
        <v>225</v>
      </c>
      <c r="AP8" s="233" t="s">
        <v>150</v>
      </c>
      <c r="AQ8" s="233" t="s">
        <v>224</v>
      </c>
      <c r="AR8" s="233" t="s">
        <v>225</v>
      </c>
      <c r="AS8" t="s">
        <v>150</v>
      </c>
      <c r="AT8" t="s">
        <v>224</v>
      </c>
      <c r="AU8" t="s">
        <v>225</v>
      </c>
      <c r="AV8" t="s">
        <v>227</v>
      </c>
      <c r="AW8" t="s">
        <v>150</v>
      </c>
      <c r="AX8" t="s">
        <v>224</v>
      </c>
      <c r="AY8" t="s">
        <v>225</v>
      </c>
      <c r="AZ8" t="s">
        <v>150</v>
      </c>
      <c r="BA8" t="s">
        <v>224</v>
      </c>
      <c r="BB8" t="s">
        <v>225</v>
      </c>
      <c r="BC8" t="s">
        <v>150</v>
      </c>
      <c r="BD8" t="s">
        <v>224</v>
      </c>
      <c r="BE8" t="s">
        <v>225</v>
      </c>
      <c r="BF8" t="s">
        <v>150</v>
      </c>
      <c r="BG8" t="s">
        <v>224</v>
      </c>
      <c r="BH8" t="s">
        <v>225</v>
      </c>
      <c r="BI8" t="s">
        <v>227</v>
      </c>
      <c r="BJ8" t="s">
        <v>150</v>
      </c>
      <c r="BK8" t="s">
        <v>224</v>
      </c>
      <c r="BL8" t="s">
        <v>225</v>
      </c>
      <c r="BO8" t="s">
        <v>228</v>
      </c>
      <c r="CD8" s="378" t="s">
        <v>5</v>
      </c>
      <c r="CE8" t="s">
        <v>229</v>
      </c>
      <c r="CF8" t="s">
        <v>8</v>
      </c>
      <c r="CG8" t="s">
        <v>6</v>
      </c>
      <c r="CH8" t="s">
        <v>9</v>
      </c>
      <c r="CI8" s="57" t="s">
        <v>116</v>
      </c>
      <c r="CJ8" s="57" t="s">
        <v>137</v>
      </c>
      <c r="CK8" t="s">
        <v>102</v>
      </c>
      <c r="CL8" t="s">
        <v>10</v>
      </c>
      <c r="CM8" t="s">
        <v>157</v>
      </c>
      <c r="CN8" t="s">
        <v>103</v>
      </c>
      <c r="CO8" t="s">
        <v>11</v>
      </c>
      <c r="CP8" s="57" t="s">
        <v>117</v>
      </c>
    </row>
    <row r="9" spans="1:94">
      <c r="A9" s="532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3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252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3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252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3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252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3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252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3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252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3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252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3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252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3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252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3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252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3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252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3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252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3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252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3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252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3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252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3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252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3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252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3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252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3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252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3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252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3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252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3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252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3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252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3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252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3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252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3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252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3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252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287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3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252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3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252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3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252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148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3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252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3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252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3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252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3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252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3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252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3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252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3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252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3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252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3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252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3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252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3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252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3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252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3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252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3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252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3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252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3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252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3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252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287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3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252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3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252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3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252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3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252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3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252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3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252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148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3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252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3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252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3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252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3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252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3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252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3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252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287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3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252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3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252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3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252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3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252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3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252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3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252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3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252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3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252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3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252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3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252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3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252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287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3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252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3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252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3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252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3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252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3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252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3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252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3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252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3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252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3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252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3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252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3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252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287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3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252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3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252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3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252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3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252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3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252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3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252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3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252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3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252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3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252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3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252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3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252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3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252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3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252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3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252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3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252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3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252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3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252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3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252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3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252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3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252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148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3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252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3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252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3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252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3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252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3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252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3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252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3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252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3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252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3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252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3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252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148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3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252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3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252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3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252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3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252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3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252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3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252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3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252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3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252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3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252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3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252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3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252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3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252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3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252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3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252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3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252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3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252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3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252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3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252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3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252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3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252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3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252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3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252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3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252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3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252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3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252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3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252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148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3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252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3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252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3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252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3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252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3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252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3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252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3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252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3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252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3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252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3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252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3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252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3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252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3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252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3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252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3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252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3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252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287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3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252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3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252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3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252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3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252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3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252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3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252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3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252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3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252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3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252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148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3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252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3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252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3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252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3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252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3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252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3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252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3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252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3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252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367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403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3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252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148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3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252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3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252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3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252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3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252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3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252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3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252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3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252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148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3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252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3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252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3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252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3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252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3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252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3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252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148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3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252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3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252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3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252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3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252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3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252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3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252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3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252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3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252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3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252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3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3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3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150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162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151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152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178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170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191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KO+j8suR73bkgso0CdDFx8c0g3ZT63lO5OWZnak735s/kwInGvyoTCBrHQ2lGnIEjNIw+6lTc03LKJ/BdmzMCw==" saltValue="oxqFKfb0ma3u6RHSNLXhzQ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7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7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163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164</v>
      </c>
      <c r="S3" s="557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164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192</v>
      </c>
      <c r="I4" s="364">
        <f>MIN(Statistik!$C9:$C204)</f>
        <v>40192</v>
      </c>
      <c r="J4" s="365" t="s">
        <v>179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46183</v>
      </c>
      <c r="S4" s="557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46183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7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7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166</v>
      </c>
      <c r="N7" s="247" t="s">
        <v>167</v>
      </c>
      <c r="O7" s="247"/>
      <c r="P7" s="247" t="s">
        <v>168</v>
      </c>
      <c r="Q7" s="243"/>
      <c r="R7" s="293" t="s">
        <v>181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181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154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154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150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8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162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8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151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8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152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8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177</v>
      </c>
      <c r="N13" s="238">
        <f>Statistik!E$209</f>
        <v>192</v>
      </c>
      <c r="O13" s="238"/>
      <c r="P13" s="243"/>
      <c r="Q13" s="243"/>
      <c r="R13" s="299">
        <f>IFERROR(VLOOKUP(CONCATENATE($C$4,"5"),RS!$B$3:$T$182,4,FALSE),"")</f>
        <v>46154</v>
      </c>
      <c r="S13" s="558">
        <f>IFERROR(VLOOKUP(CONCATENATE($C$4,"5"),RS!$B$3:$T$182,6,FALSE),"")</f>
        <v>8.4</v>
      </c>
      <c r="T13" s="300">
        <f>IFERROR(VLOOKUP(CONCATENATE($C$4,"5"),RS!$B$3:$T$182,7,FALSE),"")</f>
        <v>78</v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R13" s="216">
        <v>46154</v>
      </c>
      <c r="AS13">
        <v>8.4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>
        <f>IFERROR(VLOOKUP(CONCATENATE($C$4,"6"),RS!$B$3:$T$182,4,FALSE),"")</f>
        <v>46183</v>
      </c>
      <c r="S14" s="558">
        <f>IFERROR(VLOOKUP(CONCATENATE($C$4,"6"),RS!$B$3:$T$182,6,FALSE),"")</f>
        <v>7.38</v>
      </c>
      <c r="T14" s="300">
        <f>IFERROR(VLOOKUP(CONCATENATE($C$4,"6"),RS!$B$3:$T$182,7,FALSE),"")</f>
        <v>79</v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R14" s="216">
        <v>46183</v>
      </c>
      <c r="AS14">
        <v>7.38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165</v>
      </c>
      <c r="N15" s="246">
        <f>VLOOKUP(TRIM(CONCATENATE($C$4,$R$4)),RS!$A$3:$S$182,7,FALSE)</f>
        <v>7.38</v>
      </c>
      <c r="O15" s="246"/>
      <c r="P15" s="246">
        <f>VLOOKUP(TRIM(CONCATENATE($C$4,$R$4)),RS!$A$3:$S$182,8,FALSE)</f>
        <v>79</v>
      </c>
      <c r="Q15" s="243"/>
      <c r="R15" s="299" t="str">
        <f>IFERROR(VLOOKUP(CONCATENATE($C$4,"7"),RS!$B$3:$T$182,4,FALSE),"")</f>
        <v/>
      </c>
      <c r="S15" s="558" t="str">
        <f>IFERROR(VLOOKUP(CONCATENATE($C$4,"7"),RS!$B$3:$T$182,6,FALSE),"")</f>
        <v/>
      </c>
      <c r="T15" s="300" t="str">
        <f>IFERROR(VLOOKUP(CONCATENATE($C$4,"7"),RS!$B$3:$T$182,7,FALSE),"")</f>
        <v/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S15" t="s">
        <v>18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 t="str">
        <f>IFERROR(VLOOKUP(CONCATENATE($C$4,"8"),RS!$B$3:$T$182,4,FALSE),"")</f>
        <v/>
      </c>
      <c r="S16" s="558" t="str">
        <f>IFERROR(VLOOKUP(CONCATENATE($C$4,"8"),RS!$B$3:$T$182,6,FALSE),"")</f>
        <v/>
      </c>
      <c r="T16" s="300" t="str">
        <f>IFERROR(VLOOKUP(CONCATENATE($C$4,"8"),RS!$B$3:$T$182,7,FALSE),"")</f>
        <v/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S16" t="s">
        <v>18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 t="str">
        <f>IFERROR(VLOOKUP(CONCATENATE($C$4,"9"),RS!$B$3:$T$182,4,FALSE),"")</f>
        <v/>
      </c>
      <c r="S17" s="558" t="str">
        <f>IFERROR(VLOOKUP(CONCATENATE($C$4,"9"),RS!$B$3:$T$182,6,FALSE),"")</f>
        <v/>
      </c>
      <c r="T17" s="300" t="str">
        <f>IFERROR(VLOOKUP(CONCATENATE($C$4,"9"),RS!$B$3:$T$182,7,FALSE),"")</f>
        <v/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S17" t="s">
        <v>18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8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8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9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7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7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7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7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169</v>
      </c>
      <c r="O25" s="247"/>
      <c r="P25" s="243"/>
      <c r="Q25" s="243"/>
      <c r="R25" s="293" t="s">
        <v>181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181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154</v>
      </c>
      <c r="S26" s="297" t="s">
        <v>169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154</v>
      </c>
      <c r="AS26" t="s">
        <v>169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150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60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162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60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151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60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152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60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177</v>
      </c>
      <c r="N31" s="238">
        <f>Statistik!O$209</f>
        <v>192</v>
      </c>
      <c r="O31" s="238"/>
      <c r="P31" s="243"/>
      <c r="Q31" s="243"/>
      <c r="R31" s="299">
        <f>IFERROR(VLOOKUP(CONCATENATE($C$4,"5"),RS!$B$3:$T$182,4,FALSE),"")</f>
        <v>46154</v>
      </c>
      <c r="S31" s="560">
        <f>IFERROR(VLOOKUP(CONCATENATE($C$4,"5"),RS!$B$3:$T$182,16,FALSE),"")</f>
        <v>1300</v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R31" s="216">
        <v>46154</v>
      </c>
      <c r="AS31">
        <v>1300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>
        <f>IFERROR(VLOOKUP(CONCATENATE($C$4,"6"),RS!$B$3:$T$182,4,FALSE),"")</f>
        <v>46183</v>
      </c>
      <c r="S32" s="560">
        <f>IFERROR(VLOOKUP(CONCATENATE($C$4,"6"),RS!$B$3:$T$182,16,FALSE),"")</f>
        <v>1400</v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R32" s="216">
        <v>46183</v>
      </c>
      <c r="AS32">
        <v>1400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165</v>
      </c>
      <c r="N33" s="246">
        <f>VLOOKUP(TRIM(CONCATENATE($C$4,$R$4)),RS!$A$3:$S$182,17,FALSE)</f>
        <v>1400</v>
      </c>
      <c r="O33" s="243"/>
      <c r="P33" s="243"/>
      <c r="Q33" s="243"/>
      <c r="R33" s="299" t="str">
        <f>IFERROR(VLOOKUP(CONCATENATE($C$4,"7"),RS!$B$3:$T$182,4,FALSE),"")</f>
        <v/>
      </c>
      <c r="S33" s="560" t="str">
        <f>IFERROR(VLOOKUP(CONCATENATE($C$4,"7"),RS!$B$3:$T$182,16,FALSE),"")</f>
        <v/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S33" t="s">
        <v>18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 t="str">
        <f>IFERROR(VLOOKUP(CONCATENATE($C$4,"8"),RS!$B$3:$T$182,4,FALSE),"")</f>
        <v/>
      </c>
      <c r="S34" s="560" t="str">
        <f>IFERROR(VLOOKUP(CONCATENATE($C$4,"8"),RS!$B$3:$T$182,16,FALSE),"")</f>
        <v/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S34" t="s">
        <v>18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 t="str">
        <f>IFERROR(VLOOKUP(CONCATENATE($C$4,"9"),RS!$B$3:$T$182,4,FALSE),"")</f>
        <v/>
      </c>
      <c r="S35" s="560" t="str">
        <f>IFERROR(VLOOKUP(CONCATENATE($C$4,"9"),RS!$B$3:$T$182,16,FALSE),"")</f>
        <v/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S35" t="s">
        <v>18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60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60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1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7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7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7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7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169</v>
      </c>
      <c r="O43" s="247"/>
      <c r="P43" s="243"/>
      <c r="Q43" s="243"/>
      <c r="R43" s="293" t="s">
        <v>181</v>
      </c>
      <c r="S43" s="562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181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154</v>
      </c>
      <c r="S44" s="297" t="s">
        <v>169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154</v>
      </c>
      <c r="AS44" t="s">
        <v>169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150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60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162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60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151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60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152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60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177</v>
      </c>
      <c r="N49" s="238">
        <f>Statistik!L$209</f>
        <v>192</v>
      </c>
      <c r="O49" s="238"/>
      <c r="P49" s="243"/>
      <c r="Q49" s="243"/>
      <c r="R49" s="299">
        <f>IFERROR(VLOOKUP(CONCATENATE($C$4,"5"),RS!$B$3:$T$182,4,FALSE),"")</f>
        <v>46154</v>
      </c>
      <c r="S49" s="560">
        <f>IFERROR(VLOOKUP(CONCATENATE($C$4,"5"),RS!$B$3:$T$182,12,FALSE),"")</f>
        <v>21</v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R49" s="216">
        <v>46154</v>
      </c>
      <c r="AS49">
        <v>21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>
        <f>IFERROR(VLOOKUP(CONCATENATE($C$4,"6"),RS!$B$3:$T$182,4,FALSE),"")</f>
        <v>46183</v>
      </c>
      <c r="S50" s="560">
        <f>IFERROR(VLOOKUP(CONCATENATE($C$4,"6"),RS!$B$3:$T$182,12,FALSE),"")</f>
        <v>48</v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R50" s="216">
        <v>46183</v>
      </c>
      <c r="AS50">
        <v>48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165</v>
      </c>
      <c r="N51" s="246">
        <f>VLOOKUP(TRIM(CONCATENATE($C$4,$R$4)),RS!$A$3:$S$182,13,FALSE)</f>
        <v>48</v>
      </c>
      <c r="O51" s="243"/>
      <c r="P51" s="243"/>
      <c r="Q51" s="243"/>
      <c r="R51" s="299" t="str">
        <f>IFERROR(VLOOKUP(CONCATENATE($C$4,"7"),RS!$B$3:$T$182,4,FALSE),"")</f>
        <v/>
      </c>
      <c r="S51" s="560" t="str">
        <f>IFERROR(VLOOKUP(CONCATENATE($C$4,"7"),RS!$B$3:$T$182,12,FALSE),"")</f>
        <v/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S51" t="s">
        <v>18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 t="str">
        <f>IFERROR(VLOOKUP(CONCATENATE($C$4,"8"),RS!$B$3:$T$182,4,FALSE),"")</f>
        <v/>
      </c>
      <c r="S52" s="560" t="str">
        <f>IFERROR(VLOOKUP(CONCATENATE($C$4,"8"),RS!$B$3:$T$182,12,FALSE),"")</f>
        <v/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S52" t="s">
        <v>18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 t="str">
        <f>IFERROR(VLOOKUP(CONCATENATE($C$4,"9"),RS!$B$3:$T$182,4,FALSE),"")</f>
        <v/>
      </c>
      <c r="S53" s="560" t="str">
        <f>IFERROR(VLOOKUP(CONCATENATE($C$4,"9"),RS!$B$3:$T$182,12,FALSE),"")</f>
        <v/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S53" t="s">
        <v>18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60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60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1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7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7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7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7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186</v>
      </c>
      <c r="N61" s="247"/>
      <c r="O61" s="247"/>
      <c r="P61" s="243"/>
      <c r="Q61" s="243"/>
      <c r="R61" s="293" t="s">
        <v>181</v>
      </c>
      <c r="S61" s="562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181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154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154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150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6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162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6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151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6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152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6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177</v>
      </c>
      <c r="N67" s="238">
        <f>Statistik!G$209</f>
        <v>191</v>
      </c>
      <c r="O67" s="238"/>
      <c r="P67" s="243"/>
      <c r="Q67" s="243"/>
      <c r="R67" s="299">
        <f>IFERROR(VLOOKUP(CONCATENATE($C$4,"5"),RS!$B$3:$T$182,4,FALSE),"")</f>
        <v>46154</v>
      </c>
      <c r="S67" s="536">
        <f>IFERROR(VLOOKUP(CONCATENATE($C$4,"5"),RS!$B$3:$T$182,8,FALSE),"")</f>
        <v>7.7</v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R67" s="216">
        <v>46154</v>
      </c>
      <c r="AS67">
        <v>7.7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>
        <f>IFERROR(VLOOKUP(CONCATENATE($C$4,"6"),RS!$B$3:$T$182,4,FALSE),"")</f>
        <v>46183</v>
      </c>
      <c r="S68" s="536">
        <f>IFERROR(VLOOKUP(CONCATENATE($C$4,"6"),RS!$B$3:$T$182,8,FALSE),"")</f>
        <v>7.8</v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R68" s="216">
        <v>46183</v>
      </c>
      <c r="AS68">
        <v>7.8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165</v>
      </c>
      <c r="N69" s="340">
        <f>VLOOKUP(TRIM(CONCATENATE($C$4,$R$4)),RS!$A$3:$S$182,9,FALSE)</f>
        <v>7.8</v>
      </c>
      <c r="O69" s="243"/>
      <c r="P69" s="243"/>
      <c r="Q69" s="243"/>
      <c r="R69" s="299" t="str">
        <f>IFERROR(VLOOKUP(CONCATENATE($C$4,"7"),RS!$B$3:$T$182,4,FALSE),"")</f>
        <v/>
      </c>
      <c r="S69" s="536" t="str">
        <f>IFERROR(VLOOKUP(CONCATENATE($C$4,"7"),RS!$B$3:$T$182,8,FALSE),"")</f>
        <v/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S69" t="s">
        <v>18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 t="str">
        <f>IFERROR(VLOOKUP(CONCATENATE($C$4,"8"),RS!$B$3:$T$182,4,FALSE),"")</f>
        <v/>
      </c>
      <c r="S70" s="536" t="str">
        <f>IFERROR(VLOOKUP(CONCATENATE($C$4,"8"),RS!$B$3:$T$182,8,FALSE),"")</f>
        <v/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S70" t="s">
        <v>18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 t="str">
        <f>IFERROR(VLOOKUP(CONCATENATE($C$4,"9"),RS!$B$3:$T$182,4,FALSE),"")</f>
        <v/>
      </c>
      <c r="S71" s="536" t="str">
        <f>IFERROR(VLOOKUP(CONCATENATE($C$4,"9"),RS!$B$3:$T$182,8,FALSE),"")</f>
        <v/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S71" t="s">
        <v>18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6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6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7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7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7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7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7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188</v>
      </c>
      <c r="N79" s="247" t="s">
        <v>187</v>
      </c>
      <c r="O79" s="247"/>
      <c r="P79" s="243"/>
      <c r="Q79" s="243"/>
      <c r="R79" s="293" t="s">
        <v>181</v>
      </c>
      <c r="S79" s="562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181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189</v>
      </c>
      <c r="N80" s="243"/>
      <c r="O80" s="243"/>
      <c r="P80" s="243"/>
      <c r="Q80" s="243"/>
      <c r="R80" s="296" t="s">
        <v>154</v>
      </c>
      <c r="S80" s="297" t="s">
        <v>187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154</v>
      </c>
      <c r="AS80" t="s">
        <v>187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150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6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162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6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151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6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152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6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177</v>
      </c>
      <c r="N85" s="238">
        <f>Statistik!H$209</f>
        <v>191</v>
      </c>
      <c r="O85" s="238"/>
      <c r="P85" s="243"/>
      <c r="Q85" s="243"/>
      <c r="R85" s="299">
        <f>IFERROR(VLOOKUP(CONCATENATE($C$4,"5"),RS!$B$3:$T$182,4,FALSE),"")</f>
        <v>46154</v>
      </c>
      <c r="S85" s="536">
        <f>IFERROR(VLOOKUP(CONCATENATE($C$4,"5"),RS!$B$3:$T$182,9,FALSE),"")</f>
        <v>4.0999999999999996</v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R85" s="216">
        <v>46154</v>
      </c>
      <c r="AS85">
        <v>4.0999999999999996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>
        <f>IFERROR(VLOOKUP(CONCATENATE($C$4,"6"),RS!$B$3:$T$182,4,FALSE),"")</f>
        <v>46183</v>
      </c>
      <c r="S86" s="536">
        <f>IFERROR(VLOOKUP(CONCATENATE($C$4,"6"),RS!$B$3:$T$182,9,FALSE),"")</f>
        <v>1.4</v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R86" s="216">
        <v>46183</v>
      </c>
      <c r="AS86">
        <v>1.4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165</v>
      </c>
      <c r="N87" s="340">
        <f>VLOOKUP(TRIM(CONCATENATE($C$4,$R$4)),RS!$A$3:$S$182,10,FALSE)</f>
        <v>1.4</v>
      </c>
      <c r="O87" s="243"/>
      <c r="P87" s="243"/>
      <c r="Q87" s="243"/>
      <c r="R87" s="299" t="str">
        <f>IFERROR(VLOOKUP(CONCATENATE($C$4,"7"),RS!$B$3:$T$182,4,FALSE),"")</f>
        <v/>
      </c>
      <c r="S87" s="536" t="str">
        <f>IFERROR(VLOOKUP(CONCATENATE($C$4,"7"),RS!$B$3:$T$182,9,FALSE),"")</f>
        <v/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S87" t="s">
        <v>18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 t="str">
        <f>IFERROR(VLOOKUP(CONCATENATE($C$4,"8"),RS!$B$3:$T$182,4,FALSE),"")</f>
        <v/>
      </c>
      <c r="S88" s="536" t="str">
        <f>IFERROR(VLOOKUP(CONCATENATE($C$4,"8"),RS!$B$3:$T$182,9,FALSE),"")</f>
        <v/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S88" t="s">
        <v>18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 t="str">
        <f>IFERROR(VLOOKUP(CONCATENATE($C$4,"9"),RS!$B$3:$T$182,4,FALSE),"")</f>
        <v/>
      </c>
      <c r="S89" s="536" t="str">
        <f>IFERROR(VLOOKUP(CONCATENATE($C$4,"9"),RS!$B$3:$T$182,9,FALSE),"")</f>
        <v/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S89" t="s">
        <v>18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6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6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7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7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7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7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7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181</v>
      </c>
      <c r="S97" s="562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181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154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154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150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6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162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6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151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6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152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6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177</v>
      </c>
      <c r="N103" s="238">
        <f>Statistik!I$209</f>
        <v>58</v>
      </c>
      <c r="O103" s="238"/>
      <c r="P103" s="243"/>
      <c r="Q103" s="243"/>
      <c r="R103" s="299">
        <f>IFERROR(VLOOKUP(CONCATENATE($C$4,"5"),RS!$B$3:$T$182,4,FALSE),"")</f>
        <v>46154</v>
      </c>
      <c r="S103" s="536">
        <f>IFERROR(VLOOKUP(CONCATENATE($C$4,"5"),RS!$B$3:$T$182,10,FALSE),"")</f>
        <v>48.8</v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R103" s="216">
        <v>46154</v>
      </c>
      <c r="AS103">
        <v>48.8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>
        <f>IFERROR(VLOOKUP(CONCATENATE($C$4,"6"),RS!$B$3:$T$182,4,FALSE),"")</f>
        <v>46183</v>
      </c>
      <c r="S104" s="536">
        <f>IFERROR(VLOOKUP(CONCATENATE($C$4,"6"),RS!$B$3:$T$182,10,FALSE),"")</f>
        <v>55</v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R104" s="216">
        <v>46183</v>
      </c>
      <c r="AS104">
        <v>55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165</v>
      </c>
      <c r="N105" s="340">
        <f>VLOOKUP(TRIM(CONCATENATE($C$4,$R$4)),RS!$A$3:$S$182,11,FALSE)</f>
        <v>55</v>
      </c>
      <c r="O105" s="243"/>
      <c r="P105" s="243"/>
      <c r="Q105" s="243"/>
      <c r="R105" s="299" t="str">
        <f>IFERROR(VLOOKUP(CONCATENATE($C$4,"7"),RS!$B$3:$T$182,4,FALSE),"")</f>
        <v/>
      </c>
      <c r="S105" s="536" t="str">
        <f>IFERROR(VLOOKUP(CONCATENATE($C$4,"7"),RS!$B$3:$T$182,10,FALSE),"")</f>
        <v/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S105" t="s">
        <v>18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 t="str">
        <f>IFERROR(VLOOKUP(CONCATENATE($C$4,"8"),RS!$B$3:$T$182,4,FALSE),"")</f>
        <v/>
      </c>
      <c r="S106" s="536" t="str">
        <f>IFERROR(VLOOKUP(CONCATENATE($C$4,"8"),RS!$B$3:$T$182,10,FALSE),"")</f>
        <v/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S106" t="s">
        <v>18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 t="str">
        <f>IFERROR(VLOOKUP(CONCATENATE($C$4,"9"),RS!$B$3:$T$182,4,FALSE),"")</f>
        <v/>
      </c>
      <c r="S107" s="536" t="str">
        <f>IFERROR(VLOOKUP(CONCATENATE($C$4,"9"),RS!$B$3:$T$182,10,FALSE),"")</f>
        <v/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S107" t="s">
        <v>18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6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6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7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7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7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7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7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303</v>
      </c>
      <c r="N115" s="247" t="s">
        <v>106</v>
      </c>
      <c r="O115" s="247"/>
      <c r="P115" s="243"/>
      <c r="Q115" s="243"/>
      <c r="R115" s="293" t="s">
        <v>181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181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154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154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150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6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162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6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151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6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152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6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177</v>
      </c>
      <c r="N121" s="238">
        <f>Statistik!J$209</f>
        <v>191</v>
      </c>
      <c r="O121" s="238"/>
      <c r="P121" s="243"/>
      <c r="Q121" s="243"/>
      <c r="R121" s="299">
        <f>IFERROR(VLOOKUP(CONCATENATE($C$4,"5"),RS!$B$3:$T$182,4,FALSE),"")</f>
        <v>46154</v>
      </c>
      <c r="S121" s="536">
        <f>IFERROR(VLOOKUP(CONCATENATE($C$4,"5"),RS!$B$3:$T$182,11,FALSE),"")</f>
        <v>2.5</v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R121" s="216">
        <v>46154</v>
      </c>
      <c r="AS121">
        <v>2.5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>
        <f>IFERROR(VLOOKUP(CONCATENATE($C$4,"6"),RS!$B$3:$T$182,4,FALSE),"")</f>
        <v>46183</v>
      </c>
      <c r="S122" s="536">
        <f>IFERROR(VLOOKUP(CONCATENATE($C$4,"6"),RS!$B$3:$T$182,11,FALSE),"")</f>
        <v>1</v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R122" s="216">
        <v>46183</v>
      </c>
      <c r="AS122">
        <v>1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165</v>
      </c>
      <c r="N123" s="340">
        <f>VLOOKUP(TRIM(CONCATENATE($C$4,$R$4)),RS!$A$3:$S$182,12,FALSE)</f>
        <v>1</v>
      </c>
      <c r="O123" s="243"/>
      <c r="P123" s="243"/>
      <c r="Q123" s="243"/>
      <c r="R123" s="299" t="str">
        <f>IFERROR(VLOOKUP(CONCATENATE($C$4,"7"),RS!$B$3:$T$182,4,FALSE),"")</f>
        <v/>
      </c>
      <c r="S123" s="536" t="str">
        <f>IFERROR(VLOOKUP(CONCATENATE($C$4,"7"),RS!$B$3:$T$182,11,FALSE),"")</f>
        <v/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S123" t="s">
        <v>18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 t="str">
        <f>IFERROR(VLOOKUP(CONCATENATE($C$4,"8"),RS!$B$3:$T$182,4,FALSE),"")</f>
        <v/>
      </c>
      <c r="S124" s="536" t="str">
        <f>IFERROR(VLOOKUP(CONCATENATE($C$4,"8"),RS!$B$3:$T$182,11,FALSE),"")</f>
        <v/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S124" t="s">
        <v>18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 t="str">
        <f>IFERROR(VLOOKUP(CONCATENATE($C$4,"9"),RS!$B$3:$T$182,4,FALSE),"")</f>
        <v/>
      </c>
      <c r="S125" s="536" t="str">
        <f>IFERROR(VLOOKUP(CONCATENATE($C$4,"9"),RS!$B$3:$T$182,11,FALSE),"")</f>
        <v/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S125" t="s">
        <v>18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6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6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7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7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7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7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7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215</v>
      </c>
      <c r="N133" s="247" t="s">
        <v>169</v>
      </c>
      <c r="O133" s="247"/>
      <c r="P133" s="243"/>
      <c r="Q133" s="243"/>
      <c r="R133" s="293" t="s">
        <v>181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181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154</v>
      </c>
      <c r="S134" s="297" t="s">
        <v>169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154</v>
      </c>
      <c r="AS134" t="s">
        <v>169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150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60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162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60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151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60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152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60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177</v>
      </c>
      <c r="N139" s="238">
        <f>Statistik!M$209</f>
        <v>192</v>
      </c>
      <c r="O139" s="238"/>
      <c r="P139" s="243"/>
      <c r="Q139" s="243"/>
      <c r="R139" s="299">
        <f>IFERROR(VLOOKUP(CONCATENATE($C$4,"5"),RS!$B$3:$T$182,4,FALSE),"")</f>
        <v>46154</v>
      </c>
      <c r="S139" s="560">
        <f>IFERROR(VLOOKUP(CONCATENATE($C$4,"5"),RS!$B$3:$T$182,14,FALSE),"")</f>
        <v>770</v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R139" s="216">
        <v>46154</v>
      </c>
      <c r="AS139">
        <v>770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>
        <f>IFERROR(VLOOKUP(CONCATENATE($C$4,"6"),RS!$B$3:$T$182,4,FALSE),"")</f>
        <v>46183</v>
      </c>
      <c r="S140" s="560">
        <f>IFERROR(VLOOKUP(CONCATENATE($C$4,"6"),RS!$B$3:$T$182,14,FALSE),"")</f>
        <v>810</v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R140" s="216">
        <v>46183</v>
      </c>
      <c r="AS140">
        <v>810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165</v>
      </c>
      <c r="N141" s="246">
        <f>VLOOKUP(TRIM(CONCATENATE($C$4,$R$4)),RS!$A$3:$S$182,15,FALSE)</f>
        <v>810</v>
      </c>
      <c r="O141" s="243"/>
      <c r="P141" s="243"/>
      <c r="Q141" s="243"/>
      <c r="R141" s="299" t="str">
        <f>IFERROR(VLOOKUP(CONCATENATE($C$4,"7"),RS!$B$3:$T$182,4,FALSE),"")</f>
        <v/>
      </c>
      <c r="S141" s="560" t="str">
        <f>IFERROR(VLOOKUP(CONCATENATE($C$4,"7"),RS!$B$3:$T$182,14,FALSE),"")</f>
        <v/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S141" t="s">
        <v>18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 t="str">
        <f>IFERROR(VLOOKUP(CONCATENATE($C$4,"8"),RS!$B$3:$T$182,4,FALSE),"")</f>
        <v/>
      </c>
      <c r="S142" s="560" t="str">
        <f>IFERROR(VLOOKUP(CONCATENATE($C$4,"8"),RS!$B$3:$T$182,14,FALSE),"")</f>
        <v/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S142" t="s">
        <v>18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 t="str">
        <f>IFERROR(VLOOKUP(CONCATENATE($C$4,"9"),RS!$B$3:$T$182,4,FALSE),"")</f>
        <v/>
      </c>
      <c r="S143" s="560" t="str">
        <f>IFERROR(VLOOKUP(CONCATENATE($C$4,"9"),RS!$B$3:$T$182,14,FALSE),"")</f>
        <v/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S143" t="s">
        <v>18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60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60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1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7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7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7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7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169</v>
      </c>
      <c r="O151" s="247"/>
      <c r="P151" s="243"/>
      <c r="Q151" s="243"/>
      <c r="R151" s="293" t="s">
        <v>181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181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154</v>
      </c>
      <c r="S152" s="297" t="s">
        <v>169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154</v>
      </c>
      <c r="AS152" t="s">
        <v>169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150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60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162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60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151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60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148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152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60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177</v>
      </c>
      <c r="N157" s="238">
        <f>Statistik!N$209</f>
        <v>192</v>
      </c>
      <c r="O157" s="238"/>
      <c r="P157" s="243"/>
      <c r="Q157" s="243"/>
      <c r="R157" s="299">
        <f>IFERROR(VLOOKUP(CONCATENATE($C$4,"5"),RS!$B$3:$T$182,4,FALSE),"")</f>
        <v>46154</v>
      </c>
      <c r="S157" s="560">
        <f>IFERROR(VLOOKUP(CONCATENATE($C$4,"5"),RS!$B$3:$T$182,15,FALSE),"")</f>
        <v>110</v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R157" s="216">
        <v>46154</v>
      </c>
      <c r="AS157">
        <v>110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>
        <f>IFERROR(VLOOKUP(CONCATENATE($C$4,"6"),RS!$B$3:$T$182,4,FALSE),"")</f>
        <v>46183</v>
      </c>
      <c r="S158" s="560">
        <f>IFERROR(VLOOKUP(CONCATENATE($C$4,"6"),RS!$B$3:$T$182,15,FALSE),"")</f>
        <v>64</v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R158" s="216">
        <v>46183</v>
      </c>
      <c r="AS158">
        <v>64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165</v>
      </c>
      <c r="N159" s="246">
        <f>VLOOKUP(TRIM(CONCATENATE($C$4,$R$4)),RS!$A$3:$S$182,16,FALSE)</f>
        <v>64</v>
      </c>
      <c r="O159" s="243"/>
      <c r="P159" s="243"/>
      <c r="Q159" s="243"/>
      <c r="R159" s="299" t="str">
        <f>IFERROR(VLOOKUP(CONCATENATE($C$4,"7"),RS!$B$3:$T$182,4,FALSE),"")</f>
        <v/>
      </c>
      <c r="S159" s="560" t="str">
        <f>IFERROR(VLOOKUP(CONCATENATE($C$4,"7"),RS!$B$3:$T$182,15,FALSE),"")</f>
        <v/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S159" t="s">
        <v>18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 t="str">
        <f>IFERROR(VLOOKUP(CONCATENATE($C$4,"8"),RS!$B$3:$T$182,4,FALSE),"")</f>
        <v/>
      </c>
      <c r="S160" s="560" t="str">
        <f>IFERROR(VLOOKUP(CONCATENATE($C$4,"8"),RS!$B$3:$T$182,15,FALSE),"")</f>
        <v/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S160" t="s">
        <v>18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 t="str">
        <f>IFERROR(VLOOKUP(CONCATENATE($C$4,"9"),RS!$B$3:$T$182,4,FALSE),"")</f>
        <v/>
      </c>
      <c r="S161" s="560" t="str">
        <f>IFERROR(VLOOKUP(CONCATENATE($C$4,"9"),RS!$B$3:$T$182,15,FALSE),"")</f>
        <v/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S161" t="s">
        <v>18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60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60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1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7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7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7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7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169</v>
      </c>
      <c r="O169" s="247"/>
      <c r="P169" s="243"/>
      <c r="Q169" s="243"/>
      <c r="R169" s="293" t="s">
        <v>181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181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154</v>
      </c>
      <c r="S170" s="297" t="s">
        <v>169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154</v>
      </c>
      <c r="AS170" t="s">
        <v>169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150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60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162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60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151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60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152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60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177</v>
      </c>
      <c r="N175" s="238">
        <f>Statistik!K$209</f>
        <v>191</v>
      </c>
      <c r="O175" s="238"/>
      <c r="P175" s="243"/>
      <c r="Q175" s="243"/>
      <c r="R175" s="299">
        <f>IFERROR(VLOOKUP(CONCATENATE($C$4,"5"),RS!$B$3:$T$182,4,FALSE),"")</f>
        <v>46154</v>
      </c>
      <c r="S175" s="560">
        <f>IFERROR(VLOOKUP(CONCATENATE($C$4,"5"),RS!$B$3:$T$182,12,FALSE),"")</f>
        <v>21</v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R175" s="216">
        <v>46154</v>
      </c>
      <c r="AS175">
        <v>21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>
        <f>IFERROR(VLOOKUP(CONCATENATE($C$4,"6"),RS!$B$3:$T$182,4,FALSE),"")</f>
        <v>46183</v>
      </c>
      <c r="S176" s="560">
        <f>IFERROR(VLOOKUP(CONCATENATE($C$4,"6"),RS!$B$3:$T$182,12,FALSE),"")</f>
        <v>48</v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R176" s="216">
        <v>46183</v>
      </c>
      <c r="AS176">
        <v>48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165</v>
      </c>
      <c r="N177" s="380">
        <f>VLOOKUP(TRIM(CONCATENATE($C$4,$R$4)),RS!$A$3:$S$182,13,FALSE)</f>
        <v>48</v>
      </c>
      <c r="O177" s="243"/>
      <c r="P177" s="243"/>
      <c r="Q177" s="243"/>
      <c r="R177" s="299" t="str">
        <f>IFERROR(VLOOKUP(CONCATENATE($C$4,"7"),RS!$B$3:$T$182,4,FALSE),"")</f>
        <v/>
      </c>
      <c r="S177" s="560" t="str">
        <f>IFERROR(VLOOKUP(CONCATENATE($C$4,"7"),RS!$B$3:$T$182,12,FALSE),"")</f>
        <v/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S177" t="s">
        <v>18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 t="str">
        <f>IFERROR(VLOOKUP(CONCATENATE($C$4,"8"),RS!$B$3:$T$182,4,FALSE),"")</f>
        <v/>
      </c>
      <c r="S178" s="560" t="str">
        <f>IFERROR(VLOOKUP(CONCATENATE($C$4,"8"),RS!$B$3:$T$182,12,FALSE),"")</f>
        <v/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S178" t="s">
        <v>18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 t="str">
        <f>IFERROR(VLOOKUP(CONCATENATE($C$4,"9"),RS!$B$3:$T$182,4,FALSE),"")</f>
        <v/>
      </c>
      <c r="S179" s="560" t="str">
        <f>IFERROR(VLOOKUP(CONCATENATE($C$4,"9"),RS!$B$3:$T$182,12,FALSE),"")</f>
        <v/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S179" t="s">
        <v>18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60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60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1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7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7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7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7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7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7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7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7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7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7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7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7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7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7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7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7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7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7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7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7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7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7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7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7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7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7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7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7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7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7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7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7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7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7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7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7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7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7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7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7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7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7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7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7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+gqZmu2f2k7DCgjixvZ6V3Vv+9nurwpjMx9GyKJ6cVuipLqa9A8KAqPv4EapUo6uhhq9zkAkN+2zh8M7OXdWuQ==" saltValue="glFnLhMsfAaZINf/x7Utdw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183</v>
      </c>
      <c r="D1" s="306">
        <v>1866</v>
      </c>
      <c r="E1" s="316" t="s">
        <v>185</v>
      </c>
      <c r="F1" s="157"/>
      <c r="H1" s="156"/>
    </row>
    <row r="2" spans="1:20" s="155" customFormat="1" ht="22.8">
      <c r="A2" s="158"/>
      <c r="B2" s="158" t="s">
        <v>278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153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6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230</v>
      </c>
      <c r="K5" s="185" t="s">
        <v>102</v>
      </c>
      <c r="L5" s="185" t="s">
        <v>10</v>
      </c>
      <c r="M5" s="185" t="s">
        <v>157</v>
      </c>
      <c r="N5" s="186" t="s">
        <v>103</v>
      </c>
      <c r="O5" s="186" t="s">
        <v>11</v>
      </c>
      <c r="P5" s="185" t="s">
        <v>13</v>
      </c>
      <c r="Q5" s="185" t="s">
        <v>155</v>
      </c>
      <c r="R5" s="185" t="s">
        <v>156</v>
      </c>
      <c r="S5" s="127"/>
    </row>
    <row r="6" spans="1:20" s="102" customFormat="1" ht="12" customHeight="1">
      <c r="A6" s="117"/>
      <c r="B6" s="102" t="s">
        <v>182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252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252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252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252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252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252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252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252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252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252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252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252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252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252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252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252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252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252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252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252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252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252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252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252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252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252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287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252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252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252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148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252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252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252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252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252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252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252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252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252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252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252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252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252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252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252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252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252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287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252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252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252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252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252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252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148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252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252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252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252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252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252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287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252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252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252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252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252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252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252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252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252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252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252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287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252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252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252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252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252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252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252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252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252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252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252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287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252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252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252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252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252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252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252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252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252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252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252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252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252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252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252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252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252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252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252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252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148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252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252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252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252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252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252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252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252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252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252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148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252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252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252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252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252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252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252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252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252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252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253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253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253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148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253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253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253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253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253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253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253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253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253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253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253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253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253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253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253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253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253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253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253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253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253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253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253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253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253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253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287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253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287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253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253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253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253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253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253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253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253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253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253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253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253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253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253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253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253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253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253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253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253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148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253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253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253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253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253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148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253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253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253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253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253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254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254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254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254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254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254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254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149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254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148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254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148</v>
      </c>
      <c r="N195" s="218" t="s">
        <v>148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254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148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254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254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254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254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254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254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148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254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254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254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254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254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149</v>
      </c>
      <c r="L207">
        <v>38</v>
      </c>
      <c r="M207">
        <v>43</v>
      </c>
      <c r="N207" t="s">
        <v>148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254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148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254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254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254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254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287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254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254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254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254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149</v>
      </c>
      <c r="L216" s="218">
        <v>23</v>
      </c>
      <c r="M216" s="218">
        <v>930</v>
      </c>
      <c r="N216" s="218" t="s">
        <v>148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254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254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254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148</v>
      </c>
      <c r="N219" s="195" t="s">
        <v>148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254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254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254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254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254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254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148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254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149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254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254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254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149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254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288</v>
      </c>
      <c r="K230" s="218">
        <v>72</v>
      </c>
      <c r="L230" s="218">
        <v>160</v>
      </c>
      <c r="M230" s="218" t="s">
        <v>148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254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288</v>
      </c>
      <c r="K231" s="218">
        <v>56</v>
      </c>
      <c r="L231" s="218">
        <v>130</v>
      </c>
      <c r="M231" s="218" t="s">
        <v>148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254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148</v>
      </c>
      <c r="N232" s="218" t="s">
        <v>148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254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254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254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254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287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254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148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254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149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254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287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254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149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254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149</v>
      </c>
      <c r="L241" s="218">
        <v>22</v>
      </c>
      <c r="M241" s="218">
        <v>420</v>
      </c>
      <c r="N241" s="218" t="s">
        <v>148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254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148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254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148</v>
      </c>
      <c r="N243" s="218" t="s">
        <v>148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254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254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254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287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254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254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254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148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254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254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149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254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149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254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149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254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148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254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148</v>
      </c>
      <c r="N255" s="218" t="s">
        <v>148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254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148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254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254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254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254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254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148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254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149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254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149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254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254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148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254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254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254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254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254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254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254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254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148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254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148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254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149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254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149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254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149</v>
      </c>
      <c r="L277" s="218">
        <v>19</v>
      </c>
      <c r="M277" s="218">
        <v>920</v>
      </c>
      <c r="N277" s="218" t="s">
        <v>148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254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149</v>
      </c>
      <c r="L278" s="218">
        <v>40</v>
      </c>
      <c r="M278" s="218" t="s">
        <v>148</v>
      </c>
      <c r="N278" s="218" t="s">
        <v>148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254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148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254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254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254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254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292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254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254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222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254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148</v>
      </c>
      <c r="O286" s="218">
        <v>3800</v>
      </c>
      <c r="P286" s="112" t="s">
        <v>293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254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254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149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254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254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148</v>
      </c>
      <c r="N290" s="189" t="s">
        <v>148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254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148</v>
      </c>
      <c r="N291" s="189" t="s">
        <v>148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254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254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254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254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254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148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254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254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149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254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254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149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254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149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254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149</v>
      </c>
      <c r="L302" s="195">
        <v>43</v>
      </c>
      <c r="M302" s="195" t="s">
        <v>148</v>
      </c>
      <c r="N302" s="195" t="s">
        <v>148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254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254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148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254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254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255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255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255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255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255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148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255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255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255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148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255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255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255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148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255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255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255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255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255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288</v>
      </c>
      <c r="K322">
        <v>70</v>
      </c>
      <c r="L322">
        <v>160</v>
      </c>
      <c r="M322">
        <v>240</v>
      </c>
      <c r="N322" t="s">
        <v>148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255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255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255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255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255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255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255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255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255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255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255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255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255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255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255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255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148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255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148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255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255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255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255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255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148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255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255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255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255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255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255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148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255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255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255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255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255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255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148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255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255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255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148</v>
      </c>
      <c r="N359" s="195" t="s">
        <v>148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255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255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255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255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255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255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148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255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256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256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256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256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256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256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256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256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256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256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256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256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256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256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256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256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256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256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256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256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256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256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256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256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256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256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287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256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256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256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256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256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256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256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256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256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256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256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256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256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256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256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256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256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256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256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256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287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256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256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256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256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256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256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256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256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256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256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256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256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256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256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287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256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256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256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256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256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256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256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256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256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287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256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256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256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256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256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256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256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256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256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256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256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287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256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256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256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256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256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256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256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256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256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256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256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256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256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256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256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256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256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256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256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256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256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256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256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256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256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256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149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256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256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256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256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256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256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256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256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256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256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256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256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256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256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257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257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257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257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257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148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257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257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257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257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257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257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257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257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257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257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257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257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257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257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257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149</v>
      </c>
      <c r="L506">
        <v>17</v>
      </c>
      <c r="M506">
        <v>2700</v>
      </c>
      <c r="N506" t="s">
        <v>148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257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257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257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257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257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257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257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257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257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257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287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257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257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257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257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257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257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257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257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148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257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257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287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257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257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257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257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257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257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257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257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257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257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257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257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257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148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257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257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257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148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257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257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257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257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258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258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258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258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258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148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258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258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258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258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258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258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258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258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287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258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258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258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258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258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258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258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148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258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258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258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287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258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258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258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258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258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258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258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287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258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147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258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258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258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258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258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258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258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258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258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287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258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258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258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258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258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258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258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258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258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258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258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258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258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258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258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258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258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258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258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258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259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259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259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259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259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148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259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259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259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259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259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259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259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259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287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259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259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259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259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148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259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259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259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259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259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148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259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259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259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259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259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259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259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259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287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259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259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259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259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259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259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259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259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259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259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287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259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259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259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259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259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259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259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148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259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259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259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259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259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259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148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259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259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259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259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259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259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259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260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260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260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260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260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260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260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260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260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260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260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260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260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260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260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260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148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260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260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260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260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260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260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260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260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260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260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287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260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260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260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260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260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260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260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260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260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260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260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260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260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260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149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260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260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260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260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260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260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287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260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260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260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260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260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260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260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260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260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260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260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260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260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260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287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260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260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260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260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260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260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260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260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260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260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260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260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260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260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260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260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260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260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260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260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260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260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260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260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260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260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260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260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260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260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260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260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260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260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260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260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260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260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260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260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148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260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260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260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260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260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260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260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260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260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260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260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260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260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260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260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260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260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260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260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260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261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261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261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261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261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148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261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261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261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261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261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261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261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261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261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261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261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261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261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261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261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148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261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261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261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261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261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261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261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261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261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261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287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261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261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261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261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261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261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261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261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261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261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287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261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261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261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261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261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261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261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261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261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261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261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261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261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148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261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261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261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261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261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261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148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261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297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297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297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297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297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297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297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297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297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297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297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297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297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287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297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297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297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297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297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297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297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297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297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297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287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297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297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297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297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297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297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297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287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297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147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297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297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297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297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297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297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297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297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297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297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297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297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297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297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297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297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297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297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297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297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297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297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297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297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297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297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297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297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297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263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263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263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263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263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263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263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263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263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263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263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263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263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263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263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263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263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263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263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263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263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263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263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263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263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263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263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263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263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263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263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263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263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263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263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263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263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263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263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263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263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263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263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263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263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263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287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263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263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263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263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263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263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263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263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263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263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263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263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263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263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287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263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263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263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263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263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263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263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263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263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263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263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263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263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263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263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263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263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263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263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263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263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263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263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263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263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263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263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263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263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263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263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263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263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263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263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292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263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263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292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263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294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263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263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263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263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263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263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263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263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263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263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263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148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263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263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263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263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263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263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263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263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263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264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264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149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264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264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289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264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264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264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264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148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264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149</v>
      </c>
      <c r="L1033" s="218">
        <v>80</v>
      </c>
      <c r="M1033" s="218" t="s">
        <v>148</v>
      </c>
      <c r="N1033" s="218" t="s">
        <v>148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264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148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264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264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264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264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264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148</v>
      </c>
      <c r="N1039" s="218" t="s">
        <v>148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264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288</v>
      </c>
      <c r="K1040" s="218">
        <v>8</v>
      </c>
      <c r="L1040" s="218">
        <v>90</v>
      </c>
      <c r="M1040" s="218" t="s">
        <v>148</v>
      </c>
      <c r="N1040" s="218" t="s">
        <v>148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264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149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264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264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264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149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264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148</v>
      </c>
      <c r="N1045" s="218" t="s">
        <v>148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264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288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264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264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264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264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288</v>
      </c>
      <c r="K1050" s="218">
        <v>6</v>
      </c>
      <c r="L1050" s="218">
        <v>39</v>
      </c>
      <c r="M1050" s="218">
        <v>1700</v>
      </c>
      <c r="N1050" s="218" t="s">
        <v>148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264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148</v>
      </c>
      <c r="N1051" s="218" t="s">
        <v>148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264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148</v>
      </c>
      <c r="N1052" s="218" t="s">
        <v>148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264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264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287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264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264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264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149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264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290</v>
      </c>
      <c r="N1058" s="218" t="s">
        <v>148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264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264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264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264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148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264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148</v>
      </c>
      <c r="N1063" s="218" t="s">
        <v>148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264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149</v>
      </c>
      <c r="L1064" s="218">
        <v>68</v>
      </c>
      <c r="M1064" s="218" t="s">
        <v>148</v>
      </c>
      <c r="N1064" s="218" t="s">
        <v>148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264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264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264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264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149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264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264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148</v>
      </c>
      <c r="N1070" s="218" t="s">
        <v>148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264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264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264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264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264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148</v>
      </c>
      <c r="N1075" s="218" t="s">
        <v>148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264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264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264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264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264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264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148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264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148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264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264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252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252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252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252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252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252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252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252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252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252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252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252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253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253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253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253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253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253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254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254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254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254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149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254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254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254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149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254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148</v>
      </c>
      <c r="N1110" s="218" t="s">
        <v>148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254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148</v>
      </c>
      <c r="N1111" s="218" t="s">
        <v>148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254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148</v>
      </c>
      <c r="N1112" s="218" t="s">
        <v>148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254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254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255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255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255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255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255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255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256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256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256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256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256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256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256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256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256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256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256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256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257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257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257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257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257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257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258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258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258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258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258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258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259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259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259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259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259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259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260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260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260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260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260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260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260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260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260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260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260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260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261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261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261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261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261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148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261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262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262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262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262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262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262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263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263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263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263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263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263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263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263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263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263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263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263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264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264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148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264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264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264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264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218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218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252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252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252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252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148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252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252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252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252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252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252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252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252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252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252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252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252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252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252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252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252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287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252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252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252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252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252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252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252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252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252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148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252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252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252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252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252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252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253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253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253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253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253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253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253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253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253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253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253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253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253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253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253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253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253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253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254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254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254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149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254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148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254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149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254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254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148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254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148</v>
      </c>
      <c r="N1255" t="s">
        <v>148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254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148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254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254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254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254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254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254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254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149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254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149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254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149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254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149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254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148</v>
      </c>
      <c r="N1267" t="s">
        <v>148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254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254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254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254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254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254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254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149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254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149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254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149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254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254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254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149</v>
      </c>
      <c r="L1279">
        <v>48</v>
      </c>
      <c r="M1279">
        <v>190</v>
      </c>
      <c r="N1279" t="s">
        <v>148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254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288</v>
      </c>
      <c r="K1280">
        <v>17</v>
      </c>
      <c r="L1280">
        <v>340</v>
      </c>
      <c r="M1280" t="s">
        <v>148</v>
      </c>
      <c r="N1280" t="s">
        <v>148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254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148</v>
      </c>
      <c r="N1281" t="s">
        <v>148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254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255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255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255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255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255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255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255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255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255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255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255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255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255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255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255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255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255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255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256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256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256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256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256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256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256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256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256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256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256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256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256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256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256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256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256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256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256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256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256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256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256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256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256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256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256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256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256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256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256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256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256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256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257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257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257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257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257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257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257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257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257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257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257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257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257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257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257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257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257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257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258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258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258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258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258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258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258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258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258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258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258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258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258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258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258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258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258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258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259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259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259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259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259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259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259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259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259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259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259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259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259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259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259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259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259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259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266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266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149</v>
      </c>
      <c r="L1390">
        <v>28</v>
      </c>
      <c r="M1390">
        <v>4900</v>
      </c>
      <c r="N1390" t="s">
        <v>148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266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266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148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266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266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149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266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266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266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148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266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266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266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148</v>
      </c>
      <c r="N1400" t="s">
        <v>148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266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266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148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266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266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266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266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148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267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267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267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267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267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267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267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267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267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267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267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267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267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267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267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267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267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267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267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267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267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267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267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267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267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267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267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267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267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267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267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267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267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267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267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260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260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260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260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260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260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260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260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260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260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260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260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260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260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260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260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260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260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260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260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260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260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260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260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260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260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260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260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149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260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260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260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260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260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260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260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261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261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261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261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261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261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261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261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261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261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261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261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261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261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261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261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261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261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261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261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261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299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261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148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261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261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261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261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261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261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261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261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261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261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261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261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261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268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268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268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268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268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268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268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268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268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268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268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268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268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268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268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268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268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148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268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268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268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268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268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268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268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268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297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297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297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297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297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297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297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297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297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297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297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297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297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297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297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297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297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297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269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269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269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269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269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269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269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269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269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269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269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269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269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269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269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269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269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269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269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263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263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148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263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148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263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148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263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263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263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263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263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263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263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263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263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263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148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263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263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263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263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263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263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263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263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263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263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263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263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263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263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263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263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263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263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263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263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264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264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148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264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290</v>
      </c>
      <c r="N1610" t="s">
        <v>290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264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148</v>
      </c>
      <c r="N1611" t="s">
        <v>148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264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264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264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264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264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149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264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264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148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264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264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264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149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264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264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148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264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288</v>
      </c>
      <c r="K1624">
        <v>16</v>
      </c>
      <c r="L1624">
        <v>210</v>
      </c>
      <c r="M1624" t="s">
        <v>290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264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295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295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295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149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295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295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149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295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295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148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295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295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295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295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295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295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148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295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295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149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295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149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295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149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295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149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295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295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295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295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295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148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295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295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295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295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295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295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148</v>
      </c>
      <c r="N1654" t="s">
        <v>148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295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296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296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149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296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296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296</v>
      </c>
      <c r="C1660" s="216">
        <v>44396</v>
      </c>
      <c r="D1660">
        <v>17.399999999999999</v>
      </c>
      <c r="E1660" s="116" t="s">
        <v>298</v>
      </c>
      <c r="F1660" s="101" t="s">
        <v>149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296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296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296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296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296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296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296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149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296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296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149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296</v>
      </c>
      <c r="C1670" s="216">
        <v>44791</v>
      </c>
      <c r="D1670">
        <v>19.399999999999999</v>
      </c>
      <c r="E1670" s="116" t="s">
        <v>298</v>
      </c>
      <c r="F1670" s="101" t="s">
        <v>149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296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296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296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296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296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149</v>
      </c>
      <c r="L1675">
        <v>40</v>
      </c>
      <c r="M1675">
        <v>3800</v>
      </c>
      <c r="N1675" t="s">
        <v>148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296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296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296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296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296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252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254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256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260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261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267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252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367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403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252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148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252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252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252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252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252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252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252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148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252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252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252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253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367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403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253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253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253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253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148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253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265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367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403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265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265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265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265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265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265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265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265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148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265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265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265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254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367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403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254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254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148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254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254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254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254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148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254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148</v>
      </c>
      <c r="N1724" t="s">
        <v>148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254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148</v>
      </c>
      <c r="N1725" t="s">
        <v>148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254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254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254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255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367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403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255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255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255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255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255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256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367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403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256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256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256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256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256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256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256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256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148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256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148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256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256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257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367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403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257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257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257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404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257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148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257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258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367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403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258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258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258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404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258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148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258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259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367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403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259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259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259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404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259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148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259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266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367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403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266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148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266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266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404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266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148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266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260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367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403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260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260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260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260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260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260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404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260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260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260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260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260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267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367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403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267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267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267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267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267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288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267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404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267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267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148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267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267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267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261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367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403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261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148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261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261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261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261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261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404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261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261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148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261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148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261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261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148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268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367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403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268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268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268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404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268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148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268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297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367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403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297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297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297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404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297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405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297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269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367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403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269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269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269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404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269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148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269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263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367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403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263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406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263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263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263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263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263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404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263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263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148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263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263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263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264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367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403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264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264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149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264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404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264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264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295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149</v>
      </c>
      <c r="L1843">
        <v>66</v>
      </c>
      <c r="M1843">
        <v>3700</v>
      </c>
      <c r="N1843">
        <v>100</v>
      </c>
      <c r="O1843">
        <v>4700</v>
      </c>
      <c r="P1843" t="s">
        <v>407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295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295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295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295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295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396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295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295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148</v>
      </c>
      <c r="N1850" t="s">
        <v>148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295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148</v>
      </c>
      <c r="N1851" t="s">
        <v>148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295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295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295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296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408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296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296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296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296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149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296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396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296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149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296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148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296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296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296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296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148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252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252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252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148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252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252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252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252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252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252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252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252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252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253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253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253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253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253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253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265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265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265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265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265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265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265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265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265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265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265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265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254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254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254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148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254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149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254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149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254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149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254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149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254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148</v>
      </c>
      <c r="N1904" t="s">
        <v>148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254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254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254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254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255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255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148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255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255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255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255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256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256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256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256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256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256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256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256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256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256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256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256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257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257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148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257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257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290</v>
      </c>
      <c r="O1930">
        <v>1400</v>
      </c>
      <c r="P1930" t="s">
        <v>421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257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257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258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258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258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258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258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258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148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259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259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148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259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148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259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259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259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266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266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148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266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148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266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266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148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266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260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260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260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148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260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260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260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260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260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260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260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260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260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267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267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267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267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267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267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267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267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267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267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149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267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267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261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261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261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148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261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261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261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261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261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261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261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261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261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268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268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148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268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268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268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268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297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297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297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297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297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297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269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269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148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269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148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269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269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269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263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263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263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263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263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263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263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263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263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263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263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263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264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264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149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264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264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264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264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295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412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295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148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295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149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295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149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295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148</v>
      </c>
      <c r="N2027" t="s">
        <v>148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295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295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295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295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295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417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295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420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295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420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296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413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296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148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296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149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296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149</v>
      </c>
      <c r="L2038">
        <v>25</v>
      </c>
      <c r="M2038">
        <v>2000</v>
      </c>
      <c r="N2038">
        <v>44</v>
      </c>
      <c r="O2038">
        <v>2500</v>
      </c>
      <c r="P2038" t="s">
        <v>419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296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148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296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296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296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296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417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296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420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296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420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296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424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430</v>
      </c>
      <c r="C1" s="440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 thickBot="1">
      <c r="A2" s="389"/>
      <c r="B2" s="439" t="s">
        <v>118</v>
      </c>
      <c r="C2" s="440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428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304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270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271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60" customFormat="1" ht="17.25" customHeight="1">
      <c r="A9" s="473">
        <v>250</v>
      </c>
      <c r="B9" s="474" t="s">
        <v>96</v>
      </c>
      <c r="C9" s="479"/>
      <c r="D9" s="508"/>
      <c r="E9" s="508"/>
      <c r="F9" s="509"/>
      <c r="G9" s="508"/>
      <c r="H9" s="510"/>
      <c r="I9" s="511"/>
      <c r="J9" s="508"/>
      <c r="K9" s="509"/>
      <c r="L9" s="509"/>
      <c r="M9" s="509"/>
      <c r="N9" s="509"/>
      <c r="O9" s="509"/>
      <c r="P9" s="509"/>
      <c r="Q9" s="512"/>
      <c r="R9" s="458"/>
      <c r="S9" s="459"/>
    </row>
    <row r="10" spans="1:44" s="102" customFormat="1" ht="12" customHeight="1">
      <c r="A10" s="118">
        <v>3</v>
      </c>
      <c r="B10" s="102" t="s">
        <v>252</v>
      </c>
      <c r="C10" s="745">
        <v>46035</v>
      </c>
      <c r="D10" s="746">
        <v>13.7</v>
      </c>
      <c r="E10" s="746"/>
      <c r="F10" s="747" t="s">
        <v>18</v>
      </c>
      <c r="G10" s="746"/>
      <c r="H10" s="746"/>
      <c r="I10" s="746"/>
      <c r="J10" s="748"/>
      <c r="K10" s="748"/>
      <c r="L10" s="748"/>
      <c r="M10" s="748"/>
      <c r="N10" s="748"/>
      <c r="O10" s="748"/>
      <c r="P10" s="748"/>
      <c r="Q10" s="749"/>
      <c r="R10" s="461"/>
      <c r="S10" s="461"/>
      <c r="T10" s="461"/>
      <c r="U10" s="461"/>
      <c r="V10" s="461"/>
      <c r="W10" s="461"/>
      <c r="X10" s="461"/>
      <c r="Y10" s="461"/>
      <c r="Z10" s="461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1"/>
      <c r="AO10" s="461"/>
      <c r="AP10" s="461"/>
      <c r="AQ10" s="461"/>
      <c r="AR10" s="461"/>
    </row>
    <row r="11" spans="1:44" s="102" customFormat="1" ht="12" customHeight="1">
      <c r="A11" s="118">
        <v>5</v>
      </c>
      <c r="B11" s="102" t="s">
        <v>253</v>
      </c>
      <c r="C11" s="745">
        <v>46035</v>
      </c>
      <c r="D11" s="746">
        <v>11.6</v>
      </c>
      <c r="E11" s="746"/>
      <c r="F11" s="747" t="s">
        <v>18</v>
      </c>
      <c r="G11" s="746"/>
      <c r="H11" s="746"/>
      <c r="I11" s="746"/>
      <c r="J11" s="748"/>
      <c r="K11" s="748"/>
      <c r="L11" s="748"/>
      <c r="M11" s="748"/>
      <c r="N11" s="748"/>
      <c r="O11" s="748"/>
      <c r="P11" s="748"/>
      <c r="Q11" s="749"/>
      <c r="R11" s="461"/>
      <c r="S11" s="461"/>
      <c r="T11" s="461"/>
      <c r="U11" s="461"/>
      <c r="V11" s="461"/>
      <c r="W11" s="461"/>
      <c r="X11" s="461"/>
      <c r="Y11" s="461"/>
      <c r="Z11" s="461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1"/>
      <c r="AO11" s="461"/>
      <c r="AP11" s="461"/>
      <c r="AQ11" s="461"/>
      <c r="AR11" s="461"/>
    </row>
    <row r="12" spans="1:44" s="102" customFormat="1" ht="12" customHeight="1">
      <c r="A12" s="118">
        <v>6</v>
      </c>
      <c r="B12" s="102" t="s">
        <v>265</v>
      </c>
      <c r="C12" s="745">
        <v>46035</v>
      </c>
      <c r="D12" s="746"/>
      <c r="E12" s="746"/>
      <c r="F12" s="747" t="s">
        <v>18</v>
      </c>
      <c r="G12" s="746"/>
      <c r="H12" s="746"/>
      <c r="I12" s="746"/>
      <c r="J12" s="748"/>
      <c r="K12" s="748"/>
      <c r="L12" s="748"/>
      <c r="M12" s="748"/>
      <c r="N12" s="748"/>
      <c r="O12" s="748"/>
      <c r="P12" s="748"/>
      <c r="Q12" s="749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</row>
    <row r="13" spans="1:44" s="102" customFormat="1" ht="12" customHeight="1">
      <c r="A13" s="118">
        <v>7</v>
      </c>
      <c r="B13" s="102" t="s">
        <v>254</v>
      </c>
      <c r="C13" s="745">
        <v>46034</v>
      </c>
      <c r="D13" s="746">
        <v>14.74</v>
      </c>
      <c r="E13" s="746"/>
      <c r="F13" s="747" t="s">
        <v>18</v>
      </c>
      <c r="G13" s="746"/>
      <c r="H13" s="746"/>
      <c r="I13" s="746"/>
      <c r="J13" s="748"/>
      <c r="K13" s="748"/>
      <c r="L13" s="748"/>
      <c r="M13" s="748"/>
      <c r="N13" s="748"/>
      <c r="O13" s="748"/>
      <c r="P13" s="748"/>
      <c r="Q13" s="749"/>
      <c r="R13" s="461"/>
      <c r="S13" s="461"/>
      <c r="T13" s="461"/>
      <c r="U13" s="461"/>
      <c r="V13" s="461"/>
      <c r="W13" s="461"/>
      <c r="X13" s="461"/>
      <c r="Y13" s="461"/>
      <c r="Z13" s="461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1"/>
      <c r="AO13" s="461"/>
      <c r="AP13" s="461"/>
      <c r="AQ13" s="461"/>
      <c r="AR13" s="461"/>
    </row>
    <row r="14" spans="1:44" s="102" customFormat="1" ht="12" customHeight="1">
      <c r="A14" s="118">
        <v>9</v>
      </c>
      <c r="B14" s="102" t="s">
        <v>255</v>
      </c>
      <c r="C14" s="745">
        <v>46034</v>
      </c>
      <c r="D14" s="746">
        <v>13.76</v>
      </c>
      <c r="E14" s="746"/>
      <c r="F14" s="747" t="s">
        <v>18</v>
      </c>
      <c r="G14" s="746"/>
      <c r="H14" s="746"/>
      <c r="I14" s="746"/>
      <c r="J14" s="748"/>
      <c r="K14" s="748"/>
      <c r="L14" s="748"/>
      <c r="M14" s="748"/>
      <c r="N14" s="748"/>
      <c r="O14" s="748"/>
      <c r="P14" s="748"/>
      <c r="Q14" s="749"/>
      <c r="R14" s="461"/>
      <c r="S14" s="461"/>
      <c r="T14" s="461"/>
      <c r="U14" s="461"/>
      <c r="V14" s="461"/>
      <c r="W14" s="461"/>
      <c r="X14" s="461"/>
      <c r="Y14" s="461"/>
      <c r="Z14" s="461"/>
      <c r="AA14" s="461"/>
      <c r="AB14" s="461"/>
      <c r="AC14" s="461"/>
      <c r="AD14" s="461"/>
      <c r="AE14" s="461"/>
      <c r="AF14" s="461"/>
      <c r="AG14" s="461"/>
      <c r="AH14" s="461"/>
      <c r="AI14" s="461"/>
      <c r="AJ14" s="461"/>
      <c r="AK14" s="461"/>
      <c r="AL14" s="461"/>
      <c r="AM14" s="461"/>
      <c r="AN14" s="461"/>
      <c r="AO14" s="461"/>
      <c r="AP14" s="461"/>
      <c r="AQ14" s="461"/>
      <c r="AR14" s="461"/>
    </row>
    <row r="15" spans="1:44" s="102" customFormat="1" ht="12" customHeight="1">
      <c r="A15" s="118">
        <v>11</v>
      </c>
      <c r="B15" s="102" t="s">
        <v>256</v>
      </c>
      <c r="C15" s="745">
        <v>46034</v>
      </c>
      <c r="D15" s="746">
        <v>13.78</v>
      </c>
      <c r="E15" s="746"/>
      <c r="F15" s="747" t="s">
        <v>18</v>
      </c>
      <c r="G15" s="746"/>
      <c r="H15" s="746"/>
      <c r="I15" s="746"/>
      <c r="J15" s="748"/>
      <c r="K15" s="748"/>
      <c r="L15" s="748"/>
      <c r="M15" s="748"/>
      <c r="N15" s="748"/>
      <c r="O15" s="748"/>
      <c r="P15" s="748"/>
      <c r="Q15" s="749"/>
      <c r="R15" s="461"/>
      <c r="S15" s="461"/>
      <c r="T15" s="461"/>
      <c r="U15" s="461"/>
      <c r="V15" s="461"/>
      <c r="W15" s="461"/>
      <c r="X15" s="461"/>
      <c r="Y15" s="461"/>
      <c r="Z15" s="461"/>
      <c r="AA15" s="461"/>
      <c r="AB15" s="461"/>
      <c r="AC15" s="461"/>
      <c r="AD15" s="461"/>
      <c r="AE15" s="461"/>
      <c r="AF15" s="461"/>
      <c r="AG15" s="461"/>
      <c r="AH15" s="461"/>
      <c r="AI15" s="461"/>
      <c r="AJ15" s="461"/>
      <c r="AK15" s="461"/>
      <c r="AL15" s="461"/>
      <c r="AM15" s="461"/>
      <c r="AN15" s="461"/>
      <c r="AO15" s="461"/>
      <c r="AP15" s="461"/>
      <c r="AQ15" s="461"/>
      <c r="AR15" s="461"/>
    </row>
    <row r="16" spans="1:44" s="102" customFormat="1" ht="12" customHeight="1">
      <c r="A16" s="118">
        <v>13</v>
      </c>
      <c r="B16" s="102" t="s">
        <v>257</v>
      </c>
      <c r="C16" s="745">
        <v>46034</v>
      </c>
      <c r="D16" s="746"/>
      <c r="E16" s="746"/>
      <c r="F16" s="747" t="s">
        <v>18</v>
      </c>
      <c r="G16" s="746"/>
      <c r="H16" s="746"/>
      <c r="I16" s="746"/>
      <c r="J16" s="748"/>
      <c r="K16" s="748"/>
      <c r="L16" s="748"/>
      <c r="M16" s="748"/>
      <c r="N16" s="748"/>
      <c r="O16" s="748"/>
      <c r="P16" s="748"/>
      <c r="Q16" s="749"/>
      <c r="R16" s="461"/>
      <c r="S16" s="461"/>
      <c r="T16" s="461"/>
      <c r="U16" s="461"/>
      <c r="V16" s="461"/>
      <c r="W16" s="461"/>
      <c r="X16" s="461"/>
      <c r="Y16" s="461"/>
      <c r="Z16" s="461"/>
      <c r="AA16" s="461"/>
      <c r="AB16" s="461"/>
      <c r="AC16" s="461"/>
      <c r="AD16" s="461"/>
      <c r="AE16" s="461"/>
      <c r="AF16" s="461"/>
      <c r="AG16" s="461"/>
      <c r="AH16" s="461"/>
      <c r="AI16" s="461"/>
      <c r="AJ16" s="461"/>
      <c r="AK16" s="461"/>
      <c r="AL16" s="461"/>
      <c r="AM16" s="461"/>
      <c r="AN16" s="461"/>
      <c r="AO16" s="461"/>
      <c r="AP16" s="461"/>
      <c r="AQ16" s="461"/>
      <c r="AR16" s="461"/>
    </row>
    <row r="17" spans="1:44" s="102" customFormat="1" ht="12" customHeight="1">
      <c r="A17" s="118">
        <v>15</v>
      </c>
      <c r="B17" s="102" t="s">
        <v>258</v>
      </c>
      <c r="C17" s="745">
        <v>46034</v>
      </c>
      <c r="D17" s="746">
        <v>11.66</v>
      </c>
      <c r="E17" s="746"/>
      <c r="F17" s="747" t="s">
        <v>18</v>
      </c>
      <c r="G17" s="746"/>
      <c r="H17" s="746"/>
      <c r="I17" s="746"/>
      <c r="J17" s="748"/>
      <c r="K17" s="748"/>
      <c r="L17" s="748"/>
      <c r="M17" s="748"/>
      <c r="N17" s="748"/>
      <c r="O17" s="748"/>
      <c r="P17" s="748"/>
      <c r="Q17" s="749"/>
      <c r="R17" s="461"/>
      <c r="S17" s="461"/>
      <c r="T17" s="461"/>
      <c r="U17" s="461"/>
      <c r="V17" s="461"/>
      <c r="W17" s="461"/>
      <c r="X17" s="461"/>
      <c r="Y17" s="461"/>
      <c r="Z17" s="461"/>
      <c r="AA17" s="461"/>
      <c r="AB17" s="461"/>
      <c r="AC17" s="461"/>
      <c r="AD17" s="461"/>
      <c r="AE17" s="461"/>
      <c r="AF17" s="461"/>
      <c r="AG17" s="461"/>
      <c r="AH17" s="461"/>
      <c r="AI17" s="461"/>
      <c r="AJ17" s="461"/>
      <c r="AK17" s="461"/>
      <c r="AL17" s="461"/>
      <c r="AM17" s="461"/>
      <c r="AN17" s="461"/>
      <c r="AO17" s="461"/>
      <c r="AP17" s="461"/>
      <c r="AQ17" s="461"/>
      <c r="AR17" s="461"/>
    </row>
    <row r="18" spans="1:44" s="102" customFormat="1" ht="12" customHeight="1">
      <c r="A18" s="118">
        <v>17</v>
      </c>
      <c r="B18" s="102" t="s">
        <v>259</v>
      </c>
      <c r="C18" s="745">
        <v>46034</v>
      </c>
      <c r="D18" s="746"/>
      <c r="E18" s="746"/>
      <c r="F18" s="747" t="s">
        <v>18</v>
      </c>
      <c r="G18" s="746"/>
      <c r="H18" s="746"/>
      <c r="I18" s="746"/>
      <c r="J18" s="748"/>
      <c r="K18" s="748"/>
      <c r="L18" s="748"/>
      <c r="M18" s="748"/>
      <c r="N18" s="748"/>
      <c r="O18" s="748"/>
      <c r="P18" s="748"/>
      <c r="Q18" s="749"/>
      <c r="R18" s="461"/>
      <c r="S18" s="461"/>
      <c r="T18" s="461"/>
      <c r="U18" s="461"/>
      <c r="V18" s="461"/>
      <c r="W18" s="461"/>
      <c r="X18" s="461"/>
      <c r="Y18" s="461"/>
      <c r="Z18" s="461"/>
      <c r="AA18" s="461"/>
      <c r="AB18" s="461"/>
      <c r="AC18" s="461"/>
      <c r="AD18" s="461"/>
      <c r="AE18" s="461"/>
      <c r="AF18" s="461"/>
      <c r="AG18" s="461"/>
      <c r="AH18" s="461"/>
      <c r="AI18" s="461"/>
      <c r="AJ18" s="461"/>
      <c r="AK18" s="461"/>
      <c r="AL18" s="461"/>
      <c r="AM18" s="461"/>
      <c r="AN18" s="461"/>
      <c r="AO18" s="461"/>
      <c r="AP18" s="461"/>
      <c r="AQ18" s="461"/>
      <c r="AR18" s="461"/>
    </row>
    <row r="19" spans="1:44" s="102" customFormat="1" ht="12" customHeight="1">
      <c r="A19" s="118">
        <v>18</v>
      </c>
      <c r="B19" s="102" t="s">
        <v>266</v>
      </c>
      <c r="C19" s="745">
        <v>46034</v>
      </c>
      <c r="D19" s="746">
        <v>14.84</v>
      </c>
      <c r="E19" s="746"/>
      <c r="F19" s="747" t="s">
        <v>18</v>
      </c>
      <c r="G19" s="746"/>
      <c r="H19" s="746"/>
      <c r="I19" s="746"/>
      <c r="J19" s="748"/>
      <c r="K19" s="748"/>
      <c r="L19" s="748"/>
      <c r="M19" s="748"/>
      <c r="N19" s="748"/>
      <c r="O19" s="748"/>
      <c r="P19" s="748"/>
      <c r="Q19" s="749"/>
      <c r="R19" s="461"/>
      <c r="S19" s="461"/>
      <c r="T19" s="461"/>
      <c r="U19" s="461"/>
      <c r="V19" s="461"/>
      <c r="W19" s="461"/>
      <c r="X19" s="461"/>
      <c r="Y19" s="461"/>
      <c r="Z19" s="461"/>
      <c r="AA19" s="461"/>
      <c r="AB19" s="461"/>
      <c r="AC19" s="461"/>
      <c r="AD19" s="461"/>
      <c r="AE19" s="461"/>
      <c r="AF19" s="461"/>
      <c r="AG19" s="461"/>
      <c r="AH19" s="461"/>
      <c r="AI19" s="461"/>
      <c r="AJ19" s="461"/>
      <c r="AK19" s="461"/>
      <c r="AL19" s="461"/>
      <c r="AM19" s="461"/>
      <c r="AN19" s="461"/>
      <c r="AO19" s="461"/>
      <c r="AP19" s="461"/>
      <c r="AQ19" s="461"/>
      <c r="AR19" s="461"/>
    </row>
    <row r="20" spans="1:44" s="102" customFormat="1" ht="12" customHeight="1">
      <c r="A20" s="118">
        <v>19</v>
      </c>
      <c r="B20" s="102" t="s">
        <v>260</v>
      </c>
      <c r="C20" s="745">
        <v>46035</v>
      </c>
      <c r="D20" s="746">
        <v>12.7</v>
      </c>
      <c r="E20" s="746"/>
      <c r="F20" s="747" t="s">
        <v>18</v>
      </c>
      <c r="G20" s="746"/>
      <c r="H20" s="746"/>
      <c r="I20" s="746"/>
      <c r="J20" s="748"/>
      <c r="K20" s="748"/>
      <c r="L20" s="748"/>
      <c r="M20" s="748"/>
      <c r="N20" s="748"/>
      <c r="O20" s="748"/>
      <c r="P20" s="748"/>
      <c r="Q20" s="749"/>
      <c r="R20" s="461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AP20" s="461"/>
      <c r="AQ20" s="461"/>
      <c r="AR20" s="461"/>
    </row>
    <row r="21" spans="1:44" s="102" customFormat="1" ht="12" customHeight="1">
      <c r="A21" s="118">
        <v>20</v>
      </c>
      <c r="B21" s="102" t="s">
        <v>267</v>
      </c>
      <c r="C21" s="745">
        <v>46035</v>
      </c>
      <c r="D21" s="746">
        <v>13.9</v>
      </c>
      <c r="E21" s="746"/>
      <c r="F21" s="747" t="s">
        <v>18</v>
      </c>
      <c r="G21" s="746"/>
      <c r="H21" s="746"/>
      <c r="I21" s="746"/>
      <c r="J21" s="748"/>
      <c r="K21" s="748"/>
      <c r="L21" s="748"/>
      <c r="M21" s="748"/>
      <c r="N21" s="748"/>
      <c r="O21" s="748"/>
      <c r="P21" s="748"/>
      <c r="Q21" s="749"/>
      <c r="R21" s="461"/>
      <c r="S21" s="461"/>
      <c r="T21" s="461"/>
      <c r="U21" s="461"/>
      <c r="V21" s="461"/>
      <c r="W21" s="461"/>
      <c r="X21" s="461"/>
      <c r="Y21" s="461"/>
      <c r="Z21" s="461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1"/>
      <c r="AO21" s="461"/>
      <c r="AP21" s="461"/>
      <c r="AQ21" s="461"/>
      <c r="AR21" s="461"/>
    </row>
    <row r="22" spans="1:44" s="102" customFormat="1" ht="12" customHeight="1">
      <c r="A22" s="118">
        <v>21</v>
      </c>
      <c r="B22" s="102" t="s">
        <v>261</v>
      </c>
      <c r="C22" s="745">
        <v>46035</v>
      </c>
      <c r="D22" s="746">
        <v>12.8</v>
      </c>
      <c r="E22" s="746"/>
      <c r="F22" s="747" t="s">
        <v>18</v>
      </c>
      <c r="G22" s="746"/>
      <c r="H22" s="746"/>
      <c r="I22" s="746"/>
      <c r="J22" s="748"/>
      <c r="K22" s="748"/>
      <c r="L22" s="748"/>
      <c r="M22" s="748"/>
      <c r="N22" s="748"/>
      <c r="O22" s="748"/>
      <c r="P22" s="748"/>
      <c r="Q22" s="749"/>
      <c r="R22" s="461"/>
      <c r="S22" s="461"/>
      <c r="T22" s="461"/>
      <c r="U22" s="461"/>
      <c r="V22" s="461"/>
      <c r="W22" s="461"/>
      <c r="X22" s="461"/>
      <c r="Y22" s="461"/>
      <c r="Z22" s="461"/>
      <c r="AA22" s="461"/>
      <c r="AB22" s="461"/>
      <c r="AC22" s="461"/>
      <c r="AD22" s="461"/>
      <c r="AE22" s="461"/>
      <c r="AF22" s="461"/>
      <c r="AG22" s="461"/>
      <c r="AH22" s="461"/>
      <c r="AI22" s="461"/>
      <c r="AJ22" s="461"/>
      <c r="AK22" s="461"/>
      <c r="AL22" s="461"/>
      <c r="AM22" s="461"/>
      <c r="AN22" s="461"/>
      <c r="AO22" s="461"/>
      <c r="AP22" s="461"/>
      <c r="AQ22" s="461"/>
      <c r="AR22" s="461"/>
    </row>
    <row r="23" spans="1:44" s="102" customFormat="1" ht="12" customHeight="1">
      <c r="A23" s="118">
        <v>22</v>
      </c>
      <c r="B23" s="102" t="s">
        <v>268</v>
      </c>
      <c r="C23" s="745">
        <v>46035</v>
      </c>
      <c r="D23" s="746">
        <v>13.22</v>
      </c>
      <c r="E23" s="746"/>
      <c r="F23" s="747" t="s">
        <v>18</v>
      </c>
      <c r="G23" s="746"/>
      <c r="H23" s="746"/>
      <c r="I23" s="746"/>
      <c r="J23" s="748"/>
      <c r="K23" s="748"/>
      <c r="L23" s="748"/>
      <c r="M23" s="748"/>
      <c r="N23" s="748"/>
      <c r="O23" s="748"/>
      <c r="P23" s="748"/>
      <c r="Q23" s="749"/>
      <c r="R23" s="461"/>
      <c r="S23" s="461"/>
      <c r="T23" s="461"/>
      <c r="U23" s="461"/>
      <c r="V23" s="461"/>
      <c r="W23" s="461"/>
      <c r="X23" s="461"/>
      <c r="Y23" s="461"/>
      <c r="Z23" s="461"/>
      <c r="AA23" s="461"/>
      <c r="AB23" s="461"/>
      <c r="AC23" s="461"/>
      <c r="AD23" s="461"/>
      <c r="AE23" s="461"/>
      <c r="AF23" s="461"/>
      <c r="AG23" s="461"/>
      <c r="AH23" s="461"/>
      <c r="AI23" s="461"/>
      <c r="AJ23" s="461"/>
      <c r="AK23" s="461"/>
      <c r="AL23" s="461"/>
      <c r="AM23" s="461"/>
      <c r="AN23" s="461"/>
      <c r="AO23" s="461"/>
      <c r="AP23" s="461"/>
      <c r="AQ23" s="461"/>
      <c r="AR23" s="461"/>
    </row>
    <row r="24" spans="1:44" s="102" customFormat="1" ht="12" customHeight="1">
      <c r="A24" s="118">
        <v>23</v>
      </c>
      <c r="B24" s="102" t="s">
        <v>297</v>
      </c>
      <c r="C24" s="745">
        <v>46035</v>
      </c>
      <c r="D24" s="746">
        <v>13.1</v>
      </c>
      <c r="E24" s="746"/>
      <c r="F24" s="747" t="s">
        <v>18</v>
      </c>
      <c r="G24" s="746"/>
      <c r="H24" s="746"/>
      <c r="I24" s="746"/>
      <c r="J24" s="748"/>
      <c r="K24" s="748"/>
      <c r="L24" s="748"/>
      <c r="M24" s="748"/>
      <c r="N24" s="748"/>
      <c r="O24" s="748"/>
      <c r="P24" s="748"/>
      <c r="Q24" s="749"/>
      <c r="R24" s="461"/>
      <c r="S24" s="461"/>
      <c r="T24" s="461"/>
      <c r="U24" s="461"/>
      <c r="V24" s="461"/>
      <c r="W24" s="461"/>
      <c r="X24" s="461"/>
      <c r="Y24" s="461"/>
      <c r="Z24" s="461"/>
      <c r="AA24" s="461"/>
      <c r="AB24" s="461"/>
      <c r="AC24" s="461"/>
      <c r="AD24" s="461"/>
      <c r="AE24" s="461"/>
      <c r="AF24" s="461"/>
      <c r="AG24" s="461"/>
      <c r="AH24" s="461"/>
      <c r="AI24" s="461"/>
      <c r="AJ24" s="461"/>
      <c r="AK24" s="461"/>
      <c r="AL24" s="461"/>
      <c r="AM24" s="461"/>
      <c r="AN24" s="461"/>
      <c r="AO24" s="461"/>
      <c r="AP24" s="461"/>
      <c r="AQ24" s="461"/>
      <c r="AR24" s="461"/>
    </row>
    <row r="25" spans="1:44" s="102" customFormat="1" ht="12" customHeight="1">
      <c r="A25" s="118">
        <v>24</v>
      </c>
      <c r="B25" s="102" t="s">
        <v>269</v>
      </c>
      <c r="C25" s="745">
        <v>46035</v>
      </c>
      <c r="D25" s="746">
        <v>13.3</v>
      </c>
      <c r="E25" s="746"/>
      <c r="F25" s="747" t="s">
        <v>18</v>
      </c>
      <c r="G25" s="746"/>
      <c r="H25" s="746"/>
      <c r="I25" s="746"/>
      <c r="J25" s="748"/>
      <c r="K25" s="748"/>
      <c r="L25" s="748"/>
      <c r="M25" s="748"/>
      <c r="N25" s="748"/>
      <c r="O25" s="748"/>
      <c r="P25" s="748"/>
      <c r="Q25" s="749"/>
      <c r="R25" s="461"/>
      <c r="S25" s="461"/>
      <c r="T25" s="461"/>
      <c r="U25" s="461"/>
      <c r="V25" s="461"/>
      <c r="W25" s="461"/>
      <c r="X25" s="461"/>
      <c r="Y25" s="461"/>
      <c r="Z25" s="461"/>
      <c r="AA25" s="461"/>
      <c r="AB25" s="461"/>
      <c r="AC25" s="461"/>
      <c r="AD25" s="461"/>
      <c r="AE25" s="461"/>
      <c r="AF25" s="461"/>
      <c r="AG25" s="461"/>
      <c r="AH25" s="461"/>
      <c r="AI25" s="461"/>
      <c r="AJ25" s="461"/>
      <c r="AK25" s="461"/>
      <c r="AL25" s="461"/>
      <c r="AM25" s="461"/>
      <c r="AN25" s="461"/>
      <c r="AO25" s="461"/>
      <c r="AP25" s="461"/>
      <c r="AQ25" s="461"/>
      <c r="AR25" s="461"/>
    </row>
    <row r="26" spans="1:44" s="102" customFormat="1" ht="12" customHeight="1">
      <c r="A26" s="118">
        <v>25</v>
      </c>
      <c r="B26" s="102" t="s">
        <v>263</v>
      </c>
      <c r="C26" s="745">
        <v>46034</v>
      </c>
      <c r="D26" s="746">
        <v>13.47</v>
      </c>
      <c r="E26" s="746"/>
      <c r="F26" s="747" t="s">
        <v>18</v>
      </c>
      <c r="G26" s="746"/>
      <c r="H26" s="746"/>
      <c r="I26" s="746"/>
      <c r="J26" s="748"/>
      <c r="K26" s="748"/>
      <c r="L26" s="748"/>
      <c r="M26" s="748"/>
      <c r="N26" s="748"/>
      <c r="O26" s="748"/>
      <c r="P26" s="748"/>
      <c r="Q26" s="749"/>
      <c r="R26" s="461"/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AP26" s="461"/>
      <c r="AQ26" s="461"/>
      <c r="AR26" s="461"/>
    </row>
    <row r="27" spans="1:44" s="102" customFormat="1" ht="12" customHeight="1">
      <c r="A27" s="118">
        <v>27</v>
      </c>
      <c r="B27" s="102" t="s">
        <v>264</v>
      </c>
      <c r="C27" s="745">
        <v>46034</v>
      </c>
      <c r="D27" s="746">
        <v>14.2</v>
      </c>
      <c r="E27" s="746"/>
      <c r="F27" s="747" t="s">
        <v>18</v>
      </c>
      <c r="G27" s="746"/>
      <c r="H27" s="746"/>
      <c r="I27" s="746"/>
      <c r="J27" s="748"/>
      <c r="K27" s="748"/>
      <c r="L27" s="748"/>
      <c r="M27" s="748"/>
      <c r="N27" s="748"/>
      <c r="O27" s="748"/>
      <c r="P27" s="748"/>
      <c r="Q27" s="749"/>
      <c r="R27" s="461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O27" s="461"/>
      <c r="AP27" s="461"/>
      <c r="AQ27" s="461"/>
      <c r="AR27" s="461"/>
    </row>
    <row r="28" spans="1:44" s="102" customFormat="1" ht="12" customHeight="1">
      <c r="A28" s="118">
        <v>29</v>
      </c>
      <c r="B28" s="102" t="s">
        <v>295</v>
      </c>
      <c r="C28" s="745">
        <v>46034</v>
      </c>
      <c r="D28" s="746">
        <v>14.7</v>
      </c>
      <c r="E28" s="746"/>
      <c r="F28" s="747" t="s">
        <v>18</v>
      </c>
      <c r="G28" s="746"/>
      <c r="H28" s="746"/>
      <c r="I28" s="746"/>
      <c r="J28" s="748"/>
      <c r="K28" s="748"/>
      <c r="L28" s="748"/>
      <c r="M28" s="748"/>
      <c r="N28" s="748"/>
      <c r="O28" s="748"/>
      <c r="P28" s="748"/>
      <c r="Q28" s="749"/>
      <c r="R28" s="461"/>
      <c r="S28" s="461"/>
      <c r="T28" s="461"/>
      <c r="U28" s="461"/>
      <c r="V28" s="461"/>
      <c r="W28" s="461"/>
      <c r="X28" s="461"/>
      <c r="Y28" s="461"/>
      <c r="Z28" s="461"/>
      <c r="AA28" s="461"/>
      <c r="AB28" s="461"/>
      <c r="AC28" s="461"/>
      <c r="AD28" s="461"/>
      <c r="AE28" s="461"/>
      <c r="AF28" s="461"/>
      <c r="AG28" s="461"/>
      <c r="AH28" s="461"/>
      <c r="AI28" s="461"/>
      <c r="AJ28" s="461"/>
      <c r="AK28" s="461"/>
      <c r="AL28" s="461"/>
      <c r="AM28" s="461"/>
      <c r="AN28" s="461"/>
      <c r="AO28" s="461"/>
      <c r="AP28" s="461"/>
      <c r="AQ28" s="461"/>
      <c r="AR28" s="461"/>
    </row>
    <row r="29" spans="1:44" s="102" customFormat="1" ht="12" customHeight="1">
      <c r="A29" s="118">
        <v>30</v>
      </c>
      <c r="B29" s="102" t="s">
        <v>296</v>
      </c>
      <c r="C29" s="745">
        <v>46034</v>
      </c>
      <c r="D29" s="746"/>
      <c r="E29" s="746"/>
      <c r="F29" s="747" t="s">
        <v>18</v>
      </c>
      <c r="G29" s="746"/>
      <c r="H29" s="746"/>
      <c r="I29" s="746"/>
      <c r="J29" s="748"/>
      <c r="K29" s="748"/>
      <c r="L29" s="748"/>
      <c r="M29" s="748"/>
      <c r="N29" s="748"/>
      <c r="O29" s="748"/>
      <c r="P29" s="748"/>
      <c r="Q29" s="749"/>
      <c r="R29" s="461"/>
      <c r="S29" s="461"/>
      <c r="T29" s="461"/>
      <c r="U29" s="461"/>
      <c r="V29" s="461"/>
      <c r="W29" s="461"/>
      <c r="X29" s="461"/>
      <c r="Y29" s="461"/>
      <c r="Z29" s="461"/>
      <c r="AA29" s="461"/>
      <c r="AB29" s="461"/>
      <c r="AC29" s="461"/>
      <c r="AD29" s="461"/>
      <c r="AE29" s="461"/>
      <c r="AF29" s="461"/>
      <c r="AG29" s="461"/>
      <c r="AH29" s="461"/>
      <c r="AI29" s="461"/>
      <c r="AJ29" s="461"/>
      <c r="AK29" s="461"/>
      <c r="AL29" s="461"/>
      <c r="AM29" s="461"/>
      <c r="AN29" s="461"/>
      <c r="AO29" s="461"/>
      <c r="AP29" s="461"/>
      <c r="AQ29" s="461"/>
      <c r="AR29" s="461"/>
    </row>
    <row r="30" spans="1:44">
      <c r="A30" s="1">
        <v>200</v>
      </c>
      <c r="B30" s="62" t="s">
        <v>97</v>
      </c>
      <c r="C30" s="745"/>
      <c r="D30" s="750" t="s">
        <v>441</v>
      </c>
      <c r="E30" s="751"/>
      <c r="F30" s="752"/>
      <c r="G30" s="751"/>
      <c r="H30" s="751"/>
      <c r="I30" s="751"/>
      <c r="J30" s="751"/>
      <c r="K30" s="752"/>
      <c r="L30" s="752"/>
      <c r="M30" s="752"/>
      <c r="N30" s="752"/>
      <c r="O30" s="752"/>
      <c r="P30" s="752"/>
      <c r="Q30" s="749"/>
      <c r="R30" s="462"/>
      <c r="S30" s="463"/>
      <c r="T30" s="464"/>
      <c r="U30" s="464"/>
      <c r="V30" s="460"/>
      <c r="W30" s="460"/>
      <c r="X30" s="460"/>
      <c r="Y30" s="460"/>
      <c r="Z30" s="460"/>
      <c r="AA30" s="460"/>
      <c r="AB30" s="460"/>
      <c r="AC30" s="460"/>
      <c r="AD30" s="460"/>
      <c r="AE30" s="460"/>
      <c r="AF30" s="460"/>
      <c r="AG30" s="460"/>
      <c r="AH30" s="460"/>
      <c r="AI30" s="460"/>
      <c r="AJ30" s="460"/>
      <c r="AK30" s="460"/>
      <c r="AL30" s="460"/>
      <c r="AM30" s="460"/>
      <c r="AN30" s="460"/>
      <c r="AO30" s="460"/>
      <c r="AP30" s="460"/>
      <c r="AQ30" s="460"/>
      <c r="AR30" s="460"/>
    </row>
    <row r="31" spans="1:44" s="460" customFormat="1" ht="17.25" customHeight="1">
      <c r="A31" s="473">
        <v>250</v>
      </c>
      <c r="B31" s="474" t="s">
        <v>21</v>
      </c>
      <c r="C31" s="753"/>
      <c r="D31" s="754"/>
      <c r="E31" s="754"/>
      <c r="F31" s="755"/>
      <c r="G31" s="754"/>
      <c r="H31" s="754"/>
      <c r="I31" s="754"/>
      <c r="J31" s="754"/>
      <c r="K31" s="755"/>
      <c r="L31" s="755"/>
      <c r="M31" s="755"/>
      <c r="N31" s="755"/>
      <c r="O31" s="755"/>
      <c r="P31" s="755"/>
      <c r="Q31" s="756"/>
      <c r="R31" s="465"/>
      <c r="S31" s="463"/>
      <c r="T31" s="464"/>
      <c r="U31" s="464"/>
    </row>
    <row r="32" spans="1:44" s="102" customFormat="1" ht="12" customHeight="1">
      <c r="A32" s="117">
        <v>3</v>
      </c>
      <c r="B32" s="102" t="s">
        <v>252</v>
      </c>
      <c r="C32" s="745">
        <v>46065</v>
      </c>
      <c r="D32" s="746">
        <v>13.24</v>
      </c>
      <c r="E32" s="746"/>
      <c r="F32" s="747" t="s">
        <v>18</v>
      </c>
      <c r="G32" s="746"/>
      <c r="H32" s="746"/>
      <c r="I32" s="746"/>
      <c r="J32" s="748"/>
      <c r="K32" s="748"/>
      <c r="L32" s="748"/>
      <c r="M32" s="748"/>
      <c r="N32" s="748"/>
      <c r="O32" s="748"/>
      <c r="P32" s="748"/>
      <c r="Q32" s="757"/>
      <c r="R32" s="466"/>
      <c r="S32" s="461"/>
      <c r="T32" s="461"/>
      <c r="U32" s="461"/>
      <c r="V32" s="461"/>
      <c r="W32" s="461"/>
      <c r="X32" s="461"/>
      <c r="Y32" s="461"/>
      <c r="Z32" s="461"/>
      <c r="AA32" s="461"/>
      <c r="AB32" s="461"/>
      <c r="AC32" s="461"/>
      <c r="AD32" s="461"/>
      <c r="AE32" s="461"/>
      <c r="AF32" s="461"/>
      <c r="AG32" s="461"/>
      <c r="AH32" s="461"/>
      <c r="AI32" s="461"/>
      <c r="AJ32" s="461"/>
      <c r="AK32" s="461"/>
      <c r="AL32" s="461"/>
      <c r="AM32" s="461"/>
      <c r="AN32" s="461"/>
      <c r="AO32" s="461"/>
      <c r="AP32" s="461"/>
      <c r="AQ32" s="461"/>
      <c r="AR32" s="461"/>
    </row>
    <row r="33" spans="1:44" s="102" customFormat="1" ht="12" customHeight="1">
      <c r="A33" s="117">
        <v>6</v>
      </c>
      <c r="B33" s="102" t="s">
        <v>265</v>
      </c>
      <c r="C33" s="745">
        <v>46065</v>
      </c>
      <c r="D33" s="746">
        <v>12</v>
      </c>
      <c r="E33" s="746"/>
      <c r="F33" s="747" t="s">
        <v>18</v>
      </c>
      <c r="G33" s="746"/>
      <c r="H33" s="746"/>
      <c r="I33" s="746"/>
      <c r="J33" s="748"/>
      <c r="K33" s="748"/>
      <c r="L33" s="748"/>
      <c r="M33" s="748"/>
      <c r="N33" s="748"/>
      <c r="O33" s="748"/>
      <c r="P33" s="748"/>
      <c r="Q33" s="757"/>
      <c r="R33" s="466"/>
      <c r="S33" s="461"/>
      <c r="T33" s="461"/>
      <c r="U33" s="461"/>
      <c r="V33" s="461"/>
      <c r="W33" s="461"/>
      <c r="X33" s="461"/>
      <c r="Y33" s="461"/>
      <c r="Z33" s="461"/>
      <c r="AA33" s="461"/>
      <c r="AB33" s="461"/>
      <c r="AC33" s="461"/>
      <c r="AD33" s="461"/>
      <c r="AE33" s="461"/>
      <c r="AF33" s="461"/>
      <c r="AG33" s="461"/>
      <c r="AH33" s="461"/>
      <c r="AI33" s="461"/>
      <c r="AJ33" s="461"/>
      <c r="AK33" s="461"/>
      <c r="AL33" s="461"/>
      <c r="AM33" s="461"/>
      <c r="AN33" s="461"/>
      <c r="AO33" s="461"/>
      <c r="AP33" s="461"/>
      <c r="AQ33" s="461"/>
      <c r="AR33" s="461"/>
    </row>
    <row r="34" spans="1:44" s="102" customFormat="1" ht="12" customHeight="1">
      <c r="A34" s="117">
        <v>7</v>
      </c>
      <c r="B34" s="122" t="s">
        <v>254</v>
      </c>
      <c r="C34" s="745">
        <v>46065</v>
      </c>
      <c r="D34" s="746">
        <v>14.07</v>
      </c>
      <c r="E34" s="746"/>
      <c r="F34" s="747" t="s">
        <v>18</v>
      </c>
      <c r="G34" s="746"/>
      <c r="H34" s="746"/>
      <c r="I34" s="746"/>
      <c r="J34" s="748"/>
      <c r="K34" s="748"/>
      <c r="L34" s="748"/>
      <c r="M34" s="748"/>
      <c r="N34" s="748"/>
      <c r="O34" s="748"/>
      <c r="P34" s="748"/>
      <c r="Q34" s="757"/>
      <c r="R34" s="466"/>
      <c r="S34" s="461"/>
      <c r="T34" s="461"/>
      <c r="U34" s="461"/>
      <c r="V34" s="461"/>
      <c r="W34" s="461"/>
      <c r="X34" s="461"/>
      <c r="Y34" s="461"/>
      <c r="Z34" s="461"/>
      <c r="AA34" s="461"/>
      <c r="AB34" s="461"/>
      <c r="AC34" s="461"/>
      <c r="AD34" s="461"/>
      <c r="AE34" s="461"/>
      <c r="AF34" s="461"/>
      <c r="AG34" s="461"/>
      <c r="AH34" s="461"/>
      <c r="AI34" s="461"/>
      <c r="AJ34" s="461"/>
      <c r="AK34" s="461"/>
      <c r="AL34" s="461"/>
      <c r="AM34" s="461"/>
      <c r="AN34" s="461"/>
      <c r="AO34" s="461"/>
      <c r="AP34" s="461"/>
      <c r="AQ34" s="461"/>
      <c r="AR34" s="461"/>
    </row>
    <row r="35" spans="1:44" s="102" customFormat="1" ht="12" customHeight="1">
      <c r="A35" s="117">
        <v>11</v>
      </c>
      <c r="B35" s="102" t="s">
        <v>256</v>
      </c>
      <c r="C35" s="745">
        <v>46065</v>
      </c>
      <c r="D35" s="746">
        <v>13.6</v>
      </c>
      <c r="E35" s="746"/>
      <c r="F35" s="747" t="s">
        <v>18</v>
      </c>
      <c r="G35" s="746"/>
      <c r="H35" s="746"/>
      <c r="I35" s="746"/>
      <c r="J35" s="748"/>
      <c r="K35" s="748"/>
      <c r="L35" s="748"/>
      <c r="M35" s="748"/>
      <c r="N35" s="748"/>
      <c r="O35" s="748"/>
      <c r="P35" s="748"/>
      <c r="Q35" s="757"/>
      <c r="R35" s="466"/>
      <c r="S35" s="461"/>
      <c r="T35" s="461"/>
      <c r="U35" s="461"/>
      <c r="V35" s="461"/>
      <c r="W35" s="461"/>
      <c r="X35" s="461"/>
      <c r="Y35" s="461"/>
      <c r="Z35" s="461"/>
      <c r="AA35" s="461"/>
      <c r="AB35" s="461"/>
      <c r="AC35" s="461"/>
      <c r="AD35" s="461"/>
      <c r="AE35" s="461"/>
      <c r="AF35" s="461"/>
      <c r="AG35" s="461"/>
      <c r="AH35" s="461"/>
      <c r="AI35" s="461"/>
      <c r="AJ35" s="461"/>
      <c r="AK35" s="461"/>
      <c r="AL35" s="461"/>
      <c r="AM35" s="461"/>
      <c r="AN35" s="461"/>
      <c r="AO35" s="461"/>
      <c r="AP35" s="461"/>
      <c r="AQ35" s="461"/>
      <c r="AR35" s="461"/>
    </row>
    <row r="36" spans="1:44" s="102" customFormat="1" ht="12" customHeight="1">
      <c r="A36" s="118">
        <v>19</v>
      </c>
      <c r="B36" s="102" t="s">
        <v>260</v>
      </c>
      <c r="C36" s="745">
        <v>46065</v>
      </c>
      <c r="D36" s="746">
        <v>12.77</v>
      </c>
      <c r="E36" s="746"/>
      <c r="F36" s="747" t="s">
        <v>18</v>
      </c>
      <c r="G36" s="746"/>
      <c r="H36" s="746"/>
      <c r="I36" s="746"/>
      <c r="J36" s="746"/>
      <c r="K36" s="748"/>
      <c r="L36" s="748"/>
      <c r="M36" s="748"/>
      <c r="N36" s="748"/>
      <c r="O36" s="748"/>
      <c r="P36" s="748"/>
      <c r="Q36" s="757"/>
      <c r="R36" s="466"/>
      <c r="S36" s="461"/>
      <c r="T36" s="461"/>
      <c r="U36" s="461"/>
      <c r="V36" s="461"/>
      <c r="W36" s="461"/>
      <c r="X36" s="461"/>
      <c r="Y36" s="461"/>
      <c r="Z36" s="461"/>
      <c r="AA36" s="461"/>
      <c r="AB36" s="461"/>
      <c r="AC36" s="461"/>
      <c r="AD36" s="461"/>
      <c r="AE36" s="461"/>
      <c r="AF36" s="461"/>
      <c r="AG36" s="461"/>
      <c r="AH36" s="461"/>
      <c r="AI36" s="461"/>
      <c r="AJ36" s="461"/>
      <c r="AK36" s="461"/>
      <c r="AL36" s="461"/>
      <c r="AM36" s="461"/>
      <c r="AN36" s="461"/>
      <c r="AO36" s="461"/>
      <c r="AP36" s="461"/>
      <c r="AQ36" s="461"/>
      <c r="AR36" s="461"/>
    </row>
    <row r="37" spans="1:44" s="102" customFormat="1" ht="12" customHeight="1">
      <c r="A37" s="118">
        <v>20</v>
      </c>
      <c r="B37" s="102" t="s">
        <v>267</v>
      </c>
      <c r="C37" s="745">
        <v>46065</v>
      </c>
      <c r="D37" s="746">
        <v>13.94</v>
      </c>
      <c r="E37" s="746"/>
      <c r="F37" s="747" t="s">
        <v>18</v>
      </c>
      <c r="G37" s="746"/>
      <c r="H37" s="746"/>
      <c r="I37" s="746"/>
      <c r="J37" s="748"/>
      <c r="K37" s="748"/>
      <c r="L37" s="748"/>
      <c r="M37" s="748"/>
      <c r="N37" s="748"/>
      <c r="O37" s="748"/>
      <c r="P37" s="748"/>
      <c r="Q37" s="757"/>
      <c r="R37" s="466"/>
      <c r="S37" s="461"/>
      <c r="T37" s="461"/>
      <c r="U37" s="461"/>
      <c r="V37" s="461"/>
      <c r="W37" s="461"/>
      <c r="X37" s="461"/>
      <c r="Y37" s="461"/>
      <c r="Z37" s="461"/>
      <c r="AA37" s="461"/>
      <c r="AB37" s="461"/>
      <c r="AC37" s="461"/>
      <c r="AD37" s="461"/>
      <c r="AE37" s="461"/>
      <c r="AF37" s="461"/>
      <c r="AG37" s="461"/>
      <c r="AH37" s="461"/>
      <c r="AI37" s="461"/>
      <c r="AJ37" s="461"/>
      <c r="AK37" s="461"/>
      <c r="AL37" s="461"/>
      <c r="AM37" s="461"/>
      <c r="AN37" s="461"/>
      <c r="AO37" s="461"/>
      <c r="AP37" s="461"/>
      <c r="AQ37" s="461"/>
      <c r="AR37" s="461"/>
    </row>
    <row r="38" spans="1:44" s="102" customFormat="1" ht="12" customHeight="1">
      <c r="A38" s="117">
        <v>21</v>
      </c>
      <c r="B38" s="102" t="s">
        <v>261</v>
      </c>
      <c r="C38" s="745">
        <v>46065</v>
      </c>
      <c r="D38" s="746">
        <v>14.23</v>
      </c>
      <c r="E38" s="746"/>
      <c r="F38" s="747" t="s">
        <v>18</v>
      </c>
      <c r="G38" s="746"/>
      <c r="H38" s="746"/>
      <c r="I38" s="746"/>
      <c r="J38" s="748"/>
      <c r="K38" s="748"/>
      <c r="L38" s="748"/>
      <c r="M38" s="748"/>
      <c r="N38" s="748"/>
      <c r="O38" s="748"/>
      <c r="P38" s="748"/>
      <c r="Q38" s="757"/>
      <c r="R38" s="466"/>
      <c r="S38" s="461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</row>
    <row r="39" spans="1:44" s="102" customFormat="1" ht="12" customHeight="1">
      <c r="A39" s="117">
        <v>25</v>
      </c>
      <c r="B39" s="122" t="s">
        <v>263</v>
      </c>
      <c r="C39" s="745">
        <v>46065</v>
      </c>
      <c r="D39" s="746">
        <v>12.68</v>
      </c>
      <c r="E39" s="746"/>
      <c r="F39" s="747" t="s">
        <v>18</v>
      </c>
      <c r="G39" s="746"/>
      <c r="H39" s="746"/>
      <c r="I39" s="746"/>
      <c r="J39" s="748"/>
      <c r="K39" s="748"/>
      <c r="L39" s="748"/>
      <c r="M39" s="748"/>
      <c r="N39" s="748"/>
      <c r="O39" s="748"/>
      <c r="P39" s="748"/>
      <c r="Q39" s="757"/>
      <c r="R39" s="466"/>
      <c r="S39" s="461"/>
      <c r="T39" s="461"/>
      <c r="U39" s="461"/>
      <c r="V39" s="461"/>
      <c r="W39" s="461"/>
      <c r="X39" s="461"/>
      <c r="Y39" s="461"/>
      <c r="Z39" s="461"/>
      <c r="AA39" s="461"/>
      <c r="AB39" s="461"/>
      <c r="AC39" s="461"/>
      <c r="AD39" s="461"/>
      <c r="AE39" s="461"/>
      <c r="AF39" s="461"/>
      <c r="AG39" s="461"/>
      <c r="AH39" s="461"/>
      <c r="AI39" s="461"/>
      <c r="AJ39" s="461"/>
      <c r="AK39" s="461"/>
      <c r="AL39" s="461"/>
      <c r="AM39" s="461"/>
      <c r="AN39" s="461"/>
      <c r="AO39" s="461"/>
      <c r="AP39" s="461"/>
      <c r="AQ39" s="461"/>
      <c r="AR39" s="461"/>
    </row>
    <row r="40" spans="1:44" s="102" customFormat="1" ht="12" customHeight="1">
      <c r="A40" s="118">
        <v>29</v>
      </c>
      <c r="B40" s="102" t="s">
        <v>295</v>
      </c>
      <c r="C40" s="745">
        <v>46065</v>
      </c>
      <c r="D40" s="746">
        <v>14.01</v>
      </c>
      <c r="E40" s="746">
        <v>4.2</v>
      </c>
      <c r="F40" s="747" t="s">
        <v>18</v>
      </c>
      <c r="G40" s="746"/>
      <c r="H40" s="746"/>
      <c r="I40" s="746"/>
      <c r="J40" s="748"/>
      <c r="K40" s="748"/>
      <c r="L40" s="748"/>
      <c r="M40" s="748"/>
      <c r="N40" s="748"/>
      <c r="O40" s="748"/>
      <c r="P40" s="748"/>
      <c r="Q40" s="757"/>
      <c r="R40" s="466"/>
      <c r="S40" s="461"/>
      <c r="T40" s="461"/>
      <c r="U40" s="461"/>
      <c r="V40" s="461"/>
      <c r="W40" s="461"/>
      <c r="X40" s="461"/>
      <c r="Y40" s="461"/>
      <c r="Z40" s="461"/>
      <c r="AA40" s="461"/>
      <c r="AB40" s="461"/>
      <c r="AC40" s="461"/>
      <c r="AD40" s="461"/>
      <c r="AE40" s="461"/>
      <c r="AF40" s="461"/>
      <c r="AG40" s="461"/>
      <c r="AH40" s="461"/>
      <c r="AI40" s="461"/>
      <c r="AJ40" s="461"/>
      <c r="AK40" s="461"/>
      <c r="AL40" s="461"/>
      <c r="AM40" s="461"/>
      <c r="AN40" s="461"/>
      <c r="AO40" s="461"/>
      <c r="AP40" s="461"/>
      <c r="AQ40" s="461"/>
      <c r="AR40" s="461"/>
    </row>
    <row r="41" spans="1:44" s="102" customFormat="1" ht="12" customHeight="1">
      <c r="A41" s="118">
        <v>30</v>
      </c>
      <c r="B41" s="102" t="s">
        <v>296</v>
      </c>
      <c r="C41" s="745">
        <v>46065</v>
      </c>
      <c r="D41" s="746">
        <v>13.7</v>
      </c>
      <c r="E41" s="746"/>
      <c r="F41" s="747" t="s">
        <v>18</v>
      </c>
      <c r="G41" s="746"/>
      <c r="H41" s="746"/>
      <c r="I41" s="746"/>
      <c r="J41" s="748"/>
      <c r="K41" s="748"/>
      <c r="L41" s="748"/>
      <c r="M41" s="748"/>
      <c r="N41" s="748"/>
      <c r="O41" s="748"/>
      <c r="P41" s="748"/>
      <c r="Q41" s="757"/>
      <c r="R41" s="466"/>
      <c r="S41" s="461"/>
      <c r="T41" s="461"/>
      <c r="U41" s="461"/>
      <c r="V41" s="461"/>
      <c r="W41" s="461"/>
      <c r="X41" s="461"/>
      <c r="Y41" s="461"/>
      <c r="Z41" s="461"/>
      <c r="AA41" s="461"/>
      <c r="AB41" s="461"/>
      <c r="AC41" s="461"/>
      <c r="AD41" s="461"/>
      <c r="AE41" s="461"/>
      <c r="AF41" s="461"/>
      <c r="AG41" s="461"/>
      <c r="AH41" s="461"/>
      <c r="AI41" s="461"/>
      <c r="AJ41" s="461"/>
      <c r="AK41" s="461"/>
      <c r="AL41" s="461"/>
      <c r="AM41" s="461"/>
      <c r="AN41" s="461"/>
      <c r="AO41" s="461"/>
      <c r="AP41" s="461"/>
      <c r="AQ41" s="461"/>
      <c r="AR41" s="461"/>
    </row>
    <row r="42" spans="1:44">
      <c r="A42" s="1">
        <v>200</v>
      </c>
      <c r="B42" s="62" t="s">
        <v>97</v>
      </c>
      <c r="C42" s="758"/>
      <c r="D42" s="750" t="s">
        <v>447</v>
      </c>
      <c r="E42" s="751"/>
      <c r="F42" s="747"/>
      <c r="G42" s="751"/>
      <c r="H42" s="751"/>
      <c r="I42" s="751"/>
      <c r="J42" s="751"/>
      <c r="K42" s="752"/>
      <c r="L42" s="752"/>
      <c r="M42" s="752"/>
      <c r="N42" s="752"/>
      <c r="O42" s="752"/>
      <c r="P42" s="752"/>
      <c r="Q42" s="749"/>
      <c r="R42" s="462"/>
      <c r="S42" s="463"/>
      <c r="T42" s="464"/>
      <c r="U42" s="464"/>
      <c r="V42" s="460"/>
      <c r="W42" s="460"/>
      <c r="X42" s="460"/>
      <c r="Y42" s="460"/>
      <c r="Z42" s="460"/>
      <c r="AA42" s="460"/>
      <c r="AB42" s="460"/>
      <c r="AC42" s="460"/>
      <c r="AD42" s="460"/>
      <c r="AE42" s="460"/>
      <c r="AF42" s="460"/>
      <c r="AG42" s="460"/>
      <c r="AH42" s="460"/>
      <c r="AI42" s="460"/>
      <c r="AJ42" s="460"/>
      <c r="AK42" s="460"/>
      <c r="AL42" s="460"/>
      <c r="AM42" s="460"/>
      <c r="AN42" s="460"/>
      <c r="AO42" s="460"/>
      <c r="AP42" s="460"/>
      <c r="AQ42" s="460"/>
      <c r="AR42" s="460"/>
    </row>
    <row r="43" spans="1:44" s="460" customFormat="1" ht="17.25" customHeight="1">
      <c r="A43" s="473">
        <v>250</v>
      </c>
      <c r="B43" s="474" t="s">
        <v>22</v>
      </c>
      <c r="C43" s="759"/>
      <c r="D43" s="754"/>
      <c r="E43" s="754"/>
      <c r="F43" s="760"/>
      <c r="G43" s="754"/>
      <c r="H43" s="754"/>
      <c r="I43" s="754"/>
      <c r="J43" s="754"/>
      <c r="K43" s="755"/>
      <c r="L43" s="755"/>
      <c r="M43" s="755"/>
      <c r="N43" s="755"/>
      <c r="O43" s="755"/>
      <c r="P43" s="755"/>
      <c r="Q43" s="756"/>
      <c r="R43" s="465"/>
      <c r="S43" s="463"/>
      <c r="T43" s="464"/>
      <c r="U43" s="464"/>
    </row>
    <row r="44" spans="1:44" s="102" customFormat="1" ht="12" customHeight="1">
      <c r="A44" s="117">
        <v>3</v>
      </c>
      <c r="B44" s="102" t="s">
        <v>252</v>
      </c>
      <c r="C44" s="761">
        <v>46094</v>
      </c>
      <c r="D44" s="746">
        <v>12</v>
      </c>
      <c r="E44" s="746"/>
      <c r="F44" s="747" t="s">
        <v>18</v>
      </c>
      <c r="G44" s="746"/>
      <c r="H44" s="746"/>
      <c r="I44" s="746"/>
      <c r="J44" s="748"/>
      <c r="K44" s="748"/>
      <c r="L44" s="748"/>
      <c r="M44" s="748"/>
      <c r="N44" s="748"/>
      <c r="O44" s="748"/>
      <c r="P44" s="748"/>
      <c r="Q44" s="749"/>
      <c r="R44" s="461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AP44" s="461"/>
      <c r="AQ44" s="461"/>
      <c r="AR44" s="461"/>
    </row>
    <row r="45" spans="1:44" s="102" customFormat="1" ht="12" customHeight="1">
      <c r="A45" s="117">
        <v>5</v>
      </c>
      <c r="B45" s="102" t="s">
        <v>253</v>
      </c>
      <c r="C45" s="761">
        <v>46094</v>
      </c>
      <c r="D45" s="746">
        <v>10.94</v>
      </c>
      <c r="E45" s="746"/>
      <c r="F45" s="747" t="s">
        <v>18</v>
      </c>
      <c r="G45" s="746"/>
      <c r="H45" s="746"/>
      <c r="I45" s="746"/>
      <c r="J45" s="748"/>
      <c r="K45" s="748"/>
      <c r="L45" s="748"/>
      <c r="M45" s="748"/>
      <c r="N45" s="748"/>
      <c r="O45" s="748"/>
      <c r="P45" s="748"/>
      <c r="Q45" s="749"/>
      <c r="R45" s="461"/>
      <c r="S45" s="461"/>
      <c r="T45" s="461"/>
      <c r="U45" s="461"/>
      <c r="V45" s="461"/>
      <c r="W45" s="461"/>
      <c r="X45" s="461"/>
      <c r="Y45" s="461"/>
      <c r="Z45" s="461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1"/>
      <c r="AO45" s="461"/>
      <c r="AP45" s="461"/>
      <c r="AQ45" s="461"/>
      <c r="AR45" s="461"/>
    </row>
    <row r="46" spans="1:44" s="102" customFormat="1" ht="12" customHeight="1">
      <c r="A46" s="117">
        <v>6</v>
      </c>
      <c r="B46" s="102" t="s">
        <v>265</v>
      </c>
      <c r="C46" s="761">
        <v>46094</v>
      </c>
      <c r="D46" s="746">
        <v>10.78</v>
      </c>
      <c r="E46" s="746"/>
      <c r="F46" s="747" t="s">
        <v>18</v>
      </c>
      <c r="G46" s="746"/>
      <c r="H46" s="746"/>
      <c r="I46" s="746"/>
      <c r="J46" s="748"/>
      <c r="K46" s="748"/>
      <c r="L46" s="748"/>
      <c r="M46" s="748"/>
      <c r="N46" s="748"/>
      <c r="O46" s="748"/>
      <c r="P46" s="748"/>
      <c r="Q46" s="749"/>
      <c r="R46" s="461"/>
      <c r="S46" s="461"/>
      <c r="T46" s="461"/>
      <c r="U46" s="461"/>
      <c r="V46" s="461"/>
      <c r="W46" s="461"/>
      <c r="X46" s="461"/>
      <c r="Y46" s="461"/>
      <c r="Z46" s="461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1"/>
      <c r="AO46" s="461"/>
      <c r="AP46" s="461"/>
      <c r="AQ46" s="461"/>
      <c r="AR46" s="461"/>
    </row>
    <row r="47" spans="1:44" s="102" customFormat="1" ht="12" customHeight="1">
      <c r="A47" s="117">
        <v>7</v>
      </c>
      <c r="B47" s="102" t="s">
        <v>254</v>
      </c>
      <c r="C47" s="761">
        <v>46100</v>
      </c>
      <c r="D47" s="746">
        <v>19.86</v>
      </c>
      <c r="E47" s="746"/>
      <c r="F47" s="747" t="s">
        <v>18</v>
      </c>
      <c r="G47" s="746"/>
      <c r="H47" s="746"/>
      <c r="I47" s="746"/>
      <c r="J47" s="748"/>
      <c r="K47" s="748"/>
      <c r="L47" s="748"/>
      <c r="M47" s="748"/>
      <c r="N47" s="748"/>
      <c r="O47" s="748"/>
      <c r="P47" s="748"/>
      <c r="Q47" s="749"/>
      <c r="R47" s="461"/>
      <c r="S47" s="461"/>
      <c r="T47" s="461"/>
      <c r="U47" s="461"/>
      <c r="V47" s="461"/>
      <c r="W47" s="461"/>
      <c r="X47" s="461"/>
      <c r="Y47" s="461"/>
      <c r="Z47" s="461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1"/>
      <c r="AO47" s="461"/>
      <c r="AP47" s="461"/>
      <c r="AQ47" s="461"/>
      <c r="AR47" s="461"/>
    </row>
    <row r="48" spans="1:44" s="102" customFormat="1" ht="12" customHeight="1">
      <c r="A48" s="117">
        <v>9</v>
      </c>
      <c r="B48" s="102" t="s">
        <v>255</v>
      </c>
      <c r="C48" s="761">
        <v>46100</v>
      </c>
      <c r="D48" s="746">
        <v>12.9</v>
      </c>
      <c r="E48" s="746"/>
      <c r="F48" s="747" t="s">
        <v>18</v>
      </c>
      <c r="G48" s="746"/>
      <c r="H48" s="746"/>
      <c r="I48" s="746"/>
      <c r="J48" s="746"/>
      <c r="K48" s="748"/>
      <c r="L48" s="748"/>
      <c r="M48" s="748"/>
      <c r="N48" s="748"/>
      <c r="O48" s="748"/>
      <c r="P48" s="748"/>
      <c r="Q48" s="749"/>
      <c r="R48" s="461"/>
      <c r="S48" s="461"/>
      <c r="T48" s="461"/>
      <c r="U48" s="461"/>
      <c r="V48" s="461"/>
      <c r="W48" s="461"/>
      <c r="X48" s="461"/>
      <c r="Y48" s="461"/>
      <c r="Z48" s="461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1"/>
      <c r="AN48" s="461"/>
      <c r="AO48" s="461"/>
      <c r="AP48" s="461"/>
      <c r="AQ48" s="461"/>
      <c r="AR48" s="461"/>
    </row>
    <row r="49" spans="1:44" s="102" customFormat="1" ht="12" customHeight="1">
      <c r="A49" s="117">
        <v>11</v>
      </c>
      <c r="B49" s="102" t="s">
        <v>256</v>
      </c>
      <c r="C49" s="761">
        <v>46100</v>
      </c>
      <c r="D49" s="746">
        <v>12.28</v>
      </c>
      <c r="E49" s="746"/>
      <c r="F49" s="747" t="s">
        <v>18</v>
      </c>
      <c r="G49" s="746"/>
      <c r="H49" s="746"/>
      <c r="I49" s="746"/>
      <c r="J49" s="748"/>
      <c r="K49" s="748"/>
      <c r="L49" s="748"/>
      <c r="M49" s="748"/>
      <c r="N49" s="748"/>
      <c r="O49" s="748"/>
      <c r="P49" s="748"/>
      <c r="Q49" s="749"/>
      <c r="R49" s="461"/>
      <c r="S49" s="461"/>
      <c r="T49" s="461"/>
      <c r="U49" s="461"/>
      <c r="V49" s="461"/>
      <c r="W49" s="461"/>
      <c r="X49" s="461"/>
      <c r="Y49" s="461"/>
      <c r="Z49" s="461"/>
      <c r="AA49" s="461"/>
      <c r="AB49" s="461"/>
      <c r="AC49" s="461"/>
      <c r="AD49" s="461"/>
      <c r="AE49" s="461"/>
      <c r="AF49" s="461"/>
      <c r="AG49" s="461"/>
      <c r="AH49" s="461"/>
      <c r="AI49" s="461"/>
      <c r="AJ49" s="461"/>
      <c r="AK49" s="461"/>
      <c r="AL49" s="461"/>
      <c r="AM49" s="461"/>
      <c r="AN49" s="461"/>
      <c r="AO49" s="461"/>
      <c r="AP49" s="461"/>
      <c r="AQ49" s="461"/>
      <c r="AR49" s="461"/>
    </row>
    <row r="50" spans="1:44" s="102" customFormat="1" ht="12" customHeight="1">
      <c r="A50" s="117">
        <v>13</v>
      </c>
      <c r="B50" s="102" t="s">
        <v>257</v>
      </c>
      <c r="C50" s="761">
        <v>46094</v>
      </c>
      <c r="D50" s="746">
        <v>12.7</v>
      </c>
      <c r="E50" s="746"/>
      <c r="F50" s="747" t="s">
        <v>18</v>
      </c>
      <c r="G50" s="746"/>
      <c r="H50" s="746"/>
      <c r="I50" s="746"/>
      <c r="J50" s="748"/>
      <c r="K50" s="748"/>
      <c r="L50" s="748"/>
      <c r="M50" s="748"/>
      <c r="N50" s="748"/>
      <c r="O50" s="748"/>
      <c r="P50" s="748"/>
      <c r="Q50" s="749"/>
      <c r="R50" s="461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AP50" s="461"/>
      <c r="AQ50" s="461"/>
      <c r="AR50" s="461"/>
    </row>
    <row r="51" spans="1:44" s="102" customFormat="1" ht="12" customHeight="1">
      <c r="A51" s="117">
        <v>15</v>
      </c>
      <c r="B51" s="102" t="s">
        <v>258</v>
      </c>
      <c r="C51" s="761">
        <v>46094</v>
      </c>
      <c r="D51" s="746">
        <v>12.06</v>
      </c>
      <c r="E51" s="746"/>
      <c r="F51" s="747" t="s">
        <v>18</v>
      </c>
      <c r="G51" s="746"/>
      <c r="H51" s="746"/>
      <c r="I51" s="746"/>
      <c r="J51" s="748"/>
      <c r="K51" s="748"/>
      <c r="L51" s="748"/>
      <c r="M51" s="748"/>
      <c r="N51" s="748"/>
      <c r="O51" s="748"/>
      <c r="P51" s="748"/>
      <c r="Q51" s="749"/>
      <c r="R51" s="461"/>
      <c r="S51" s="461"/>
      <c r="T51" s="461"/>
      <c r="U51" s="461"/>
      <c r="V51" s="461"/>
      <c r="W51" s="461"/>
      <c r="X51" s="461"/>
      <c r="Y51" s="461"/>
      <c r="Z51" s="461"/>
      <c r="AA51" s="461"/>
      <c r="AB51" s="461"/>
      <c r="AC51" s="461"/>
      <c r="AD51" s="461"/>
      <c r="AE51" s="461"/>
      <c r="AF51" s="461"/>
      <c r="AG51" s="461"/>
      <c r="AH51" s="461"/>
      <c r="AI51" s="461"/>
      <c r="AJ51" s="461"/>
      <c r="AK51" s="461"/>
      <c r="AL51" s="461"/>
      <c r="AM51" s="461"/>
      <c r="AN51" s="461"/>
      <c r="AO51" s="461"/>
      <c r="AP51" s="461"/>
      <c r="AQ51" s="461"/>
      <c r="AR51" s="461"/>
    </row>
    <row r="52" spans="1:44" s="102" customFormat="1" ht="12" customHeight="1">
      <c r="A52" s="117">
        <v>17</v>
      </c>
      <c r="B52" s="102" t="s">
        <v>259</v>
      </c>
      <c r="C52" s="761">
        <v>46094</v>
      </c>
      <c r="D52" s="746">
        <v>11.85</v>
      </c>
      <c r="E52" s="746"/>
      <c r="F52" s="747" t="s">
        <v>18</v>
      </c>
      <c r="G52" s="746"/>
      <c r="H52" s="746"/>
      <c r="I52" s="746"/>
      <c r="J52" s="746"/>
      <c r="K52" s="748"/>
      <c r="L52" s="748"/>
      <c r="M52" s="748"/>
      <c r="N52" s="748"/>
      <c r="O52" s="748"/>
      <c r="P52" s="748"/>
      <c r="Q52" s="749"/>
      <c r="R52" s="461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O52" s="461"/>
      <c r="AP52" s="461"/>
      <c r="AQ52" s="461"/>
      <c r="AR52" s="461"/>
    </row>
    <row r="53" spans="1:44" s="102" customFormat="1" ht="12" customHeight="1">
      <c r="A53" s="117">
        <v>18</v>
      </c>
      <c r="B53" s="102" t="s">
        <v>266</v>
      </c>
      <c r="C53" s="761">
        <v>46100</v>
      </c>
      <c r="D53" s="746">
        <v>13.39</v>
      </c>
      <c r="E53" s="746"/>
      <c r="F53" s="747" t="s">
        <v>18</v>
      </c>
      <c r="G53" s="746"/>
      <c r="H53" s="746"/>
      <c r="I53" s="746"/>
      <c r="J53" s="748"/>
      <c r="K53" s="748"/>
      <c r="L53" s="748"/>
      <c r="M53" s="748"/>
      <c r="N53" s="748"/>
      <c r="O53" s="748"/>
      <c r="P53" s="748"/>
      <c r="Q53" s="762"/>
      <c r="R53" s="461"/>
      <c r="S53" s="461"/>
      <c r="T53" s="461"/>
      <c r="U53" s="461"/>
      <c r="V53" s="461"/>
      <c r="W53" s="461"/>
      <c r="X53" s="461"/>
      <c r="Y53" s="461"/>
      <c r="Z53" s="461"/>
      <c r="AA53" s="461"/>
      <c r="AB53" s="461"/>
      <c r="AC53" s="461"/>
      <c r="AD53" s="461"/>
      <c r="AE53" s="461"/>
      <c r="AF53" s="461"/>
      <c r="AG53" s="461"/>
      <c r="AH53" s="461"/>
      <c r="AI53" s="461"/>
      <c r="AJ53" s="461"/>
      <c r="AK53" s="461"/>
      <c r="AL53" s="461"/>
      <c r="AM53" s="461"/>
      <c r="AN53" s="461"/>
      <c r="AO53" s="461"/>
      <c r="AP53" s="461"/>
      <c r="AQ53" s="461"/>
      <c r="AR53" s="461"/>
    </row>
    <row r="54" spans="1:44" s="102" customFormat="1" ht="12" customHeight="1">
      <c r="A54" s="118">
        <v>19</v>
      </c>
      <c r="B54" s="102" t="s">
        <v>260</v>
      </c>
      <c r="C54" s="761">
        <v>46094</v>
      </c>
      <c r="D54" s="746">
        <v>13.69</v>
      </c>
      <c r="E54" s="746"/>
      <c r="F54" s="747" t="s">
        <v>18</v>
      </c>
      <c r="G54" s="746"/>
      <c r="H54" s="746"/>
      <c r="I54" s="746"/>
      <c r="J54" s="748"/>
      <c r="K54" s="748"/>
      <c r="L54" s="748"/>
      <c r="M54" s="748"/>
      <c r="N54" s="748"/>
      <c r="O54" s="748"/>
      <c r="P54" s="748"/>
      <c r="Q54" s="762"/>
      <c r="R54" s="461"/>
      <c r="S54" s="461"/>
      <c r="T54" s="461"/>
      <c r="U54" s="461"/>
      <c r="V54" s="461"/>
      <c r="W54" s="461"/>
      <c r="X54" s="461"/>
      <c r="Y54" s="461"/>
      <c r="Z54" s="461"/>
      <c r="AA54" s="461"/>
      <c r="AB54" s="461"/>
      <c r="AC54" s="461"/>
      <c r="AD54" s="461"/>
      <c r="AE54" s="461"/>
      <c r="AF54" s="461"/>
      <c r="AG54" s="461"/>
      <c r="AH54" s="461"/>
      <c r="AI54" s="461"/>
      <c r="AJ54" s="461"/>
      <c r="AK54" s="461"/>
      <c r="AL54" s="461"/>
      <c r="AM54" s="461"/>
      <c r="AN54" s="461"/>
      <c r="AO54" s="461"/>
      <c r="AP54" s="461"/>
      <c r="AQ54" s="461"/>
      <c r="AR54" s="461"/>
    </row>
    <row r="55" spans="1:44" s="102" customFormat="1" ht="12" customHeight="1">
      <c r="A55" s="118">
        <v>20</v>
      </c>
      <c r="B55" s="102" t="s">
        <v>267</v>
      </c>
      <c r="C55" s="761">
        <v>46094</v>
      </c>
      <c r="D55" s="746">
        <v>13.78</v>
      </c>
      <c r="E55" s="746"/>
      <c r="F55" s="747" t="s">
        <v>18</v>
      </c>
      <c r="G55" s="746"/>
      <c r="H55" s="746"/>
      <c r="I55" s="746"/>
      <c r="J55" s="748"/>
      <c r="K55" s="748"/>
      <c r="L55" s="748"/>
      <c r="M55" s="748"/>
      <c r="N55" s="748"/>
      <c r="O55" s="748"/>
      <c r="P55" s="748"/>
      <c r="Q55" s="762"/>
      <c r="R55" s="461"/>
      <c r="S55" s="461"/>
      <c r="T55" s="461"/>
      <c r="U55" s="461"/>
      <c r="V55" s="461"/>
      <c r="W55" s="461"/>
      <c r="X55" s="461"/>
      <c r="Y55" s="461"/>
      <c r="Z55" s="461"/>
      <c r="AA55" s="461"/>
      <c r="AB55" s="461"/>
      <c r="AC55" s="461"/>
      <c r="AD55" s="461"/>
      <c r="AE55" s="461"/>
      <c r="AF55" s="461"/>
      <c r="AG55" s="461"/>
      <c r="AH55" s="461"/>
      <c r="AI55" s="461"/>
      <c r="AJ55" s="461"/>
      <c r="AK55" s="461"/>
      <c r="AL55" s="461"/>
      <c r="AM55" s="461"/>
      <c r="AN55" s="461"/>
      <c r="AO55" s="461"/>
      <c r="AP55" s="461"/>
      <c r="AQ55" s="461"/>
      <c r="AR55" s="461"/>
    </row>
    <row r="56" spans="1:44" s="102" customFormat="1" ht="12" customHeight="1">
      <c r="A56" s="117">
        <v>21</v>
      </c>
      <c r="B56" s="102" t="s">
        <v>261</v>
      </c>
      <c r="C56" s="761">
        <v>46094</v>
      </c>
      <c r="D56" s="746">
        <v>13.72</v>
      </c>
      <c r="E56" s="746"/>
      <c r="F56" s="747" t="s">
        <v>18</v>
      </c>
      <c r="G56" s="746"/>
      <c r="H56" s="746"/>
      <c r="I56" s="746"/>
      <c r="J56" s="748"/>
      <c r="K56" s="748"/>
      <c r="L56" s="748"/>
      <c r="M56" s="748"/>
      <c r="N56" s="748"/>
      <c r="O56" s="748"/>
      <c r="P56" s="748"/>
      <c r="Q56" s="762"/>
      <c r="R56" s="461"/>
      <c r="S56" s="461"/>
      <c r="T56" s="461"/>
      <c r="U56" s="461"/>
      <c r="V56" s="461"/>
      <c r="W56" s="461"/>
      <c r="X56" s="461"/>
      <c r="Y56" s="461"/>
      <c r="Z56" s="461"/>
      <c r="AA56" s="461"/>
      <c r="AB56" s="461"/>
      <c r="AC56" s="461"/>
      <c r="AD56" s="461"/>
      <c r="AE56" s="461"/>
      <c r="AF56" s="461"/>
      <c r="AG56" s="461"/>
      <c r="AH56" s="461"/>
      <c r="AI56" s="461"/>
      <c r="AJ56" s="461"/>
      <c r="AK56" s="461"/>
      <c r="AL56" s="461"/>
      <c r="AM56" s="461"/>
      <c r="AN56" s="461"/>
      <c r="AO56" s="461"/>
      <c r="AP56" s="461"/>
      <c r="AQ56" s="461"/>
      <c r="AR56" s="461"/>
    </row>
    <row r="57" spans="1:44" s="102" customFormat="1" ht="12" customHeight="1">
      <c r="A57" s="117">
        <v>22</v>
      </c>
      <c r="B57" s="102" t="s">
        <v>268</v>
      </c>
      <c r="C57" s="761">
        <v>46094</v>
      </c>
      <c r="D57" s="746">
        <v>12.3</v>
      </c>
      <c r="E57" s="746"/>
      <c r="F57" s="747" t="s">
        <v>18</v>
      </c>
      <c r="G57" s="746"/>
      <c r="H57" s="746"/>
      <c r="I57" s="746"/>
      <c r="J57" s="748"/>
      <c r="K57" s="748"/>
      <c r="L57" s="748"/>
      <c r="M57" s="748"/>
      <c r="N57" s="748"/>
      <c r="O57" s="748"/>
      <c r="P57" s="748"/>
      <c r="Q57" s="762"/>
      <c r="R57" s="461"/>
      <c r="S57" s="461"/>
      <c r="T57" s="461"/>
      <c r="U57" s="461"/>
      <c r="V57" s="461"/>
      <c r="W57" s="461"/>
      <c r="X57" s="461"/>
      <c r="Y57" s="461"/>
      <c r="Z57" s="461"/>
      <c r="AA57" s="461"/>
      <c r="AB57" s="461"/>
      <c r="AC57" s="461"/>
      <c r="AD57" s="461"/>
      <c r="AE57" s="461"/>
      <c r="AF57" s="461"/>
      <c r="AG57" s="461"/>
      <c r="AH57" s="461"/>
      <c r="AI57" s="461"/>
      <c r="AJ57" s="461"/>
      <c r="AK57" s="461"/>
      <c r="AL57" s="461"/>
      <c r="AM57" s="461"/>
      <c r="AN57" s="461"/>
      <c r="AO57" s="461"/>
      <c r="AP57" s="461"/>
      <c r="AQ57" s="461"/>
      <c r="AR57" s="461"/>
    </row>
    <row r="58" spans="1:44" s="102" customFormat="1" ht="12" customHeight="1">
      <c r="A58" s="117">
        <v>23</v>
      </c>
      <c r="B58" s="102" t="s">
        <v>297</v>
      </c>
      <c r="C58" s="761">
        <v>46094</v>
      </c>
      <c r="D58" s="746">
        <v>13.56</v>
      </c>
      <c r="E58" s="746"/>
      <c r="F58" s="747" t="s">
        <v>18</v>
      </c>
      <c r="G58" s="746"/>
      <c r="H58" s="746"/>
      <c r="I58" s="746"/>
      <c r="J58" s="748"/>
      <c r="K58" s="748"/>
      <c r="L58" s="748"/>
      <c r="M58" s="748"/>
      <c r="N58" s="748"/>
      <c r="O58" s="748"/>
      <c r="P58" s="748"/>
      <c r="Q58" s="762"/>
      <c r="R58" s="461"/>
      <c r="S58" s="461"/>
      <c r="T58" s="461"/>
      <c r="U58" s="461"/>
      <c r="V58" s="461"/>
      <c r="W58" s="461"/>
      <c r="X58" s="461"/>
      <c r="Y58" s="461"/>
      <c r="Z58" s="461"/>
      <c r="AA58" s="461"/>
      <c r="AB58" s="461"/>
      <c r="AC58" s="461"/>
      <c r="AD58" s="461"/>
      <c r="AE58" s="461"/>
      <c r="AF58" s="461"/>
      <c r="AG58" s="461"/>
      <c r="AH58" s="461"/>
      <c r="AI58" s="461"/>
      <c r="AJ58" s="461"/>
      <c r="AK58" s="461"/>
      <c r="AL58" s="461"/>
      <c r="AM58" s="461"/>
      <c r="AN58" s="461"/>
      <c r="AO58" s="461"/>
      <c r="AP58" s="461"/>
      <c r="AQ58" s="461"/>
      <c r="AR58" s="461"/>
    </row>
    <row r="59" spans="1:44" s="102" customFormat="1" ht="12" customHeight="1">
      <c r="A59" s="117">
        <v>24</v>
      </c>
      <c r="B59" s="102" t="s">
        <v>269</v>
      </c>
      <c r="C59" s="761">
        <v>46094</v>
      </c>
      <c r="D59" s="746">
        <v>14.1</v>
      </c>
      <c r="E59" s="746"/>
      <c r="F59" s="747" t="s">
        <v>18</v>
      </c>
      <c r="G59" s="746"/>
      <c r="H59" s="746"/>
      <c r="I59" s="746"/>
      <c r="J59" s="748"/>
      <c r="K59" s="748"/>
      <c r="L59" s="748"/>
      <c r="M59" s="748"/>
      <c r="N59" s="748"/>
      <c r="O59" s="748"/>
      <c r="P59" s="748"/>
      <c r="Q59" s="762"/>
      <c r="R59" s="461"/>
      <c r="S59" s="461"/>
      <c r="T59" s="461"/>
      <c r="U59" s="461"/>
      <c r="V59" s="461"/>
      <c r="W59" s="461"/>
      <c r="X59" s="461"/>
      <c r="Y59" s="461"/>
      <c r="Z59" s="461"/>
      <c r="AA59" s="461"/>
      <c r="AB59" s="461"/>
      <c r="AC59" s="461"/>
      <c r="AD59" s="461"/>
      <c r="AE59" s="461"/>
      <c r="AF59" s="461"/>
      <c r="AG59" s="461"/>
      <c r="AH59" s="461"/>
      <c r="AI59" s="461"/>
      <c r="AJ59" s="461"/>
      <c r="AK59" s="461"/>
      <c r="AL59" s="461"/>
      <c r="AM59" s="461"/>
      <c r="AN59" s="461"/>
      <c r="AO59" s="461"/>
      <c r="AP59" s="461"/>
      <c r="AQ59" s="461"/>
      <c r="AR59" s="461"/>
    </row>
    <row r="60" spans="1:44" s="102" customFormat="1" ht="12" customHeight="1">
      <c r="A60" s="117">
        <v>25</v>
      </c>
      <c r="B60" s="102" t="s">
        <v>263</v>
      </c>
      <c r="C60" s="761">
        <v>46100</v>
      </c>
      <c r="D60" s="746">
        <v>11.44</v>
      </c>
      <c r="E60" s="746"/>
      <c r="F60" s="747" t="s">
        <v>18</v>
      </c>
      <c r="G60" s="746"/>
      <c r="H60" s="746"/>
      <c r="I60" s="746"/>
      <c r="J60" s="748"/>
      <c r="K60" s="748"/>
      <c r="L60" s="748"/>
      <c r="M60" s="748"/>
      <c r="N60" s="748"/>
      <c r="O60" s="748"/>
      <c r="P60" s="748"/>
      <c r="Q60" s="762"/>
      <c r="R60" s="461"/>
      <c r="S60" s="461"/>
      <c r="T60" s="461"/>
      <c r="U60" s="461"/>
      <c r="V60" s="461"/>
      <c r="W60" s="461"/>
      <c r="X60" s="461"/>
      <c r="Y60" s="461"/>
      <c r="Z60" s="461"/>
      <c r="AA60" s="461"/>
      <c r="AB60" s="461"/>
      <c r="AC60" s="461"/>
      <c r="AD60" s="461"/>
      <c r="AE60" s="461"/>
      <c r="AF60" s="461"/>
      <c r="AG60" s="461"/>
      <c r="AH60" s="461"/>
      <c r="AI60" s="461"/>
      <c r="AJ60" s="461"/>
      <c r="AK60" s="461"/>
      <c r="AL60" s="461"/>
      <c r="AM60" s="461"/>
      <c r="AN60" s="461"/>
      <c r="AO60" s="461"/>
      <c r="AP60" s="461"/>
      <c r="AQ60" s="461"/>
      <c r="AR60" s="461"/>
    </row>
    <row r="61" spans="1:44" s="102" customFormat="1" ht="12" customHeight="1">
      <c r="A61" s="117">
        <v>27</v>
      </c>
      <c r="B61" s="102" t="s">
        <v>264</v>
      </c>
      <c r="C61" s="761">
        <v>46094</v>
      </c>
      <c r="D61" s="746">
        <v>15.1</v>
      </c>
      <c r="E61" s="746"/>
      <c r="F61" s="747" t="s">
        <v>18</v>
      </c>
      <c r="G61" s="746"/>
      <c r="H61" s="746"/>
      <c r="I61" s="746"/>
      <c r="J61" s="748"/>
      <c r="K61" s="748"/>
      <c r="L61" s="748"/>
      <c r="M61" s="748"/>
      <c r="N61" s="748"/>
      <c r="O61" s="748"/>
      <c r="P61" s="748"/>
      <c r="Q61" s="762"/>
      <c r="R61" s="461"/>
      <c r="S61" s="461"/>
      <c r="T61" s="461"/>
      <c r="U61" s="461"/>
      <c r="V61" s="461"/>
      <c r="W61" s="461"/>
      <c r="X61" s="461"/>
      <c r="Y61" s="461"/>
      <c r="Z61" s="461"/>
      <c r="AA61" s="461"/>
      <c r="AB61" s="461"/>
      <c r="AC61" s="461"/>
      <c r="AD61" s="461"/>
      <c r="AE61" s="461"/>
      <c r="AF61" s="461"/>
      <c r="AG61" s="461"/>
      <c r="AH61" s="461"/>
      <c r="AI61" s="461"/>
      <c r="AJ61" s="461"/>
      <c r="AK61" s="461"/>
      <c r="AL61" s="461"/>
      <c r="AM61" s="461"/>
      <c r="AN61" s="461"/>
      <c r="AO61" s="461"/>
      <c r="AP61" s="461"/>
      <c r="AQ61" s="461"/>
      <c r="AR61" s="461"/>
    </row>
    <row r="62" spans="1:44" s="102" customFormat="1" ht="12" customHeight="1">
      <c r="A62" s="118">
        <v>29</v>
      </c>
      <c r="B62" s="102" t="s">
        <v>295</v>
      </c>
      <c r="C62" s="761">
        <v>46100</v>
      </c>
      <c r="D62" s="746">
        <v>18.899999999999999</v>
      </c>
      <c r="E62" s="746">
        <v>1</v>
      </c>
      <c r="F62" s="747" t="s">
        <v>18</v>
      </c>
      <c r="G62" s="746"/>
      <c r="H62" s="746"/>
      <c r="I62" s="746"/>
      <c r="J62" s="748"/>
      <c r="K62" s="748"/>
      <c r="L62" s="748"/>
      <c r="M62" s="748"/>
      <c r="N62" s="748"/>
      <c r="O62" s="748"/>
      <c r="P62" s="748"/>
      <c r="Q62" s="762"/>
      <c r="R62" s="461"/>
      <c r="S62" s="461"/>
      <c r="T62" s="461"/>
      <c r="U62" s="461"/>
      <c r="V62" s="461"/>
      <c r="W62" s="461"/>
      <c r="X62" s="461"/>
      <c r="Y62" s="461"/>
      <c r="Z62" s="461"/>
      <c r="AA62" s="461"/>
      <c r="AB62" s="461"/>
      <c r="AC62" s="461"/>
      <c r="AD62" s="461"/>
      <c r="AE62" s="461"/>
      <c r="AF62" s="461"/>
      <c r="AG62" s="461"/>
      <c r="AH62" s="461"/>
      <c r="AI62" s="461"/>
      <c r="AJ62" s="461"/>
      <c r="AK62" s="461"/>
      <c r="AL62" s="461"/>
      <c r="AM62" s="461"/>
      <c r="AN62" s="461"/>
      <c r="AO62" s="461"/>
      <c r="AP62" s="461"/>
      <c r="AQ62" s="461"/>
      <c r="AR62" s="461"/>
    </row>
    <row r="63" spans="1:44" s="102" customFormat="1" ht="12" customHeight="1">
      <c r="A63" s="118">
        <v>30</v>
      </c>
      <c r="B63" s="102" t="s">
        <v>296</v>
      </c>
      <c r="C63" s="761">
        <v>46100</v>
      </c>
      <c r="D63" s="746">
        <v>17.899999999999999</v>
      </c>
      <c r="E63" s="746"/>
      <c r="F63" s="747" t="s">
        <v>18</v>
      </c>
      <c r="G63" s="746"/>
      <c r="H63" s="746"/>
      <c r="I63" s="746"/>
      <c r="J63" s="748"/>
      <c r="K63" s="748"/>
      <c r="L63" s="748"/>
      <c r="M63" s="748"/>
      <c r="N63" s="748"/>
      <c r="O63" s="748"/>
      <c r="P63" s="748"/>
      <c r="Q63" s="762"/>
      <c r="R63" s="461"/>
      <c r="S63" s="461"/>
      <c r="T63" s="461"/>
      <c r="U63" s="461"/>
      <c r="V63" s="461"/>
      <c r="W63" s="461"/>
      <c r="X63" s="461"/>
      <c r="Y63" s="461"/>
      <c r="Z63" s="461"/>
      <c r="AA63" s="461"/>
      <c r="AB63" s="461"/>
      <c r="AC63" s="461"/>
      <c r="AD63" s="461"/>
      <c r="AE63" s="461"/>
      <c r="AF63" s="461"/>
      <c r="AG63" s="461"/>
      <c r="AH63" s="461"/>
      <c r="AI63" s="461"/>
      <c r="AJ63" s="461"/>
      <c r="AK63" s="461"/>
      <c r="AL63" s="461"/>
      <c r="AM63" s="461"/>
      <c r="AN63" s="461"/>
      <c r="AO63" s="461"/>
      <c r="AP63" s="461"/>
      <c r="AQ63" s="461"/>
      <c r="AR63" s="461"/>
    </row>
    <row r="64" spans="1:44">
      <c r="A64" s="1">
        <v>200</v>
      </c>
      <c r="B64" s="62" t="s">
        <v>97</v>
      </c>
      <c r="C64" s="763"/>
      <c r="D64" s="750" t="s">
        <v>401</v>
      </c>
      <c r="E64" s="751"/>
      <c r="F64" s="752"/>
      <c r="G64" s="751"/>
      <c r="H64" s="751"/>
      <c r="I64" s="751"/>
      <c r="J64" s="751"/>
      <c r="K64" s="752"/>
      <c r="L64" s="752"/>
      <c r="M64" s="752"/>
      <c r="N64" s="752"/>
      <c r="O64" s="748"/>
      <c r="P64" s="748"/>
      <c r="Q64" s="749"/>
      <c r="R64" s="462"/>
      <c r="S64" s="463"/>
      <c r="T64" s="464"/>
      <c r="U64" s="464"/>
      <c r="V64" s="460"/>
      <c r="W64" s="460"/>
      <c r="X64" s="460"/>
      <c r="Y64" s="460"/>
      <c r="Z64" s="460"/>
      <c r="AA64" s="460"/>
      <c r="AB64" s="460"/>
      <c r="AC64" s="460"/>
      <c r="AD64" s="460"/>
      <c r="AE64" s="460"/>
      <c r="AF64" s="460"/>
      <c r="AG64" s="460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</row>
    <row r="65" spans="1:44" s="460" customFormat="1" ht="17.25" customHeight="1">
      <c r="A65" s="473">
        <v>250</v>
      </c>
      <c r="B65" s="474" t="s">
        <v>23</v>
      </c>
      <c r="C65" s="764"/>
      <c r="D65" s="754"/>
      <c r="E65" s="754"/>
      <c r="F65" s="760"/>
      <c r="G65" s="754"/>
      <c r="H65" s="754"/>
      <c r="I65" s="754"/>
      <c r="J65" s="754"/>
      <c r="K65" s="755"/>
      <c r="L65" s="755"/>
      <c r="M65" s="755"/>
      <c r="N65" s="755"/>
      <c r="O65" s="755"/>
      <c r="P65" s="755"/>
      <c r="Q65" s="756"/>
      <c r="R65" s="465"/>
      <c r="S65" s="463"/>
      <c r="T65" s="464"/>
      <c r="U65" s="464"/>
    </row>
    <row r="66" spans="1:44" s="110" customFormat="1" ht="12" customHeight="1">
      <c r="A66" s="117">
        <v>3</v>
      </c>
      <c r="B66" s="102" t="s">
        <v>252</v>
      </c>
      <c r="C66" s="761">
        <v>46125</v>
      </c>
      <c r="D66" s="746">
        <v>11.22</v>
      </c>
      <c r="E66" s="746"/>
      <c r="F66" s="747" t="s">
        <v>18</v>
      </c>
      <c r="G66" s="746"/>
      <c r="H66" s="746"/>
      <c r="I66" s="746"/>
      <c r="J66" s="746"/>
      <c r="K66" s="748"/>
      <c r="L66" s="748"/>
      <c r="M66" s="765"/>
      <c r="N66" s="765"/>
      <c r="O66" s="765"/>
      <c r="P66" s="765"/>
      <c r="Q66" s="749"/>
      <c r="R66" s="467"/>
      <c r="S66" s="467"/>
      <c r="T66" s="467"/>
      <c r="U66" s="467"/>
      <c r="V66" s="467"/>
      <c r="W66" s="467"/>
      <c r="X66" s="467"/>
      <c r="Y66" s="467"/>
      <c r="Z66" s="467"/>
      <c r="AA66" s="467"/>
      <c r="AB66" s="467"/>
      <c r="AC66" s="467"/>
      <c r="AD66" s="467"/>
      <c r="AE66" s="467"/>
      <c r="AF66" s="467"/>
      <c r="AG66" s="467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</row>
    <row r="67" spans="1:44" s="110" customFormat="1" ht="12" customHeight="1">
      <c r="A67" s="117">
        <v>6</v>
      </c>
      <c r="B67" s="102" t="s">
        <v>265</v>
      </c>
      <c r="C67" s="761">
        <v>46125</v>
      </c>
      <c r="D67" s="746">
        <v>10.81</v>
      </c>
      <c r="E67" s="766"/>
      <c r="F67" s="747" t="s">
        <v>18</v>
      </c>
      <c r="G67" s="746"/>
      <c r="H67" s="766"/>
      <c r="I67" s="746"/>
      <c r="J67" s="748"/>
      <c r="K67" s="748"/>
      <c r="L67" s="748"/>
      <c r="M67" s="765"/>
      <c r="N67" s="765"/>
      <c r="O67" s="765"/>
      <c r="P67" s="765"/>
      <c r="Q67" s="749"/>
      <c r="R67" s="467"/>
      <c r="S67" s="467"/>
      <c r="T67" s="467"/>
      <c r="U67" s="467"/>
      <c r="V67" s="467"/>
      <c r="W67" s="467"/>
      <c r="X67" s="467"/>
      <c r="Y67" s="467"/>
      <c r="Z67" s="467"/>
      <c r="AA67" s="467"/>
      <c r="AB67" s="467"/>
      <c r="AC67" s="467"/>
      <c r="AD67" s="467"/>
      <c r="AE67" s="467"/>
      <c r="AF67" s="467"/>
      <c r="AG67" s="467"/>
      <c r="AH67" s="467"/>
      <c r="AI67" s="467"/>
      <c r="AJ67" s="467"/>
      <c r="AK67" s="467"/>
      <c r="AL67" s="467"/>
      <c r="AM67" s="467"/>
      <c r="AN67" s="467"/>
      <c r="AO67" s="467"/>
      <c r="AP67" s="467"/>
      <c r="AQ67" s="467"/>
      <c r="AR67" s="467"/>
    </row>
    <row r="68" spans="1:44" s="110" customFormat="1" ht="12" customHeight="1">
      <c r="A68" s="117">
        <v>7</v>
      </c>
      <c r="B68" s="102" t="s">
        <v>254</v>
      </c>
      <c r="C68" s="761">
        <v>46125</v>
      </c>
      <c r="D68" s="746">
        <v>13.19</v>
      </c>
      <c r="E68" s="766"/>
      <c r="F68" s="747" t="s">
        <v>18</v>
      </c>
      <c r="G68" s="746"/>
      <c r="H68" s="766"/>
      <c r="I68" s="746"/>
      <c r="J68" s="748"/>
      <c r="K68" s="748"/>
      <c r="L68" s="748"/>
      <c r="M68" s="765"/>
      <c r="N68" s="765"/>
      <c r="O68" s="765"/>
      <c r="P68" s="765"/>
      <c r="Q68" s="749"/>
      <c r="R68" s="467"/>
      <c r="S68" s="467"/>
      <c r="T68" s="467"/>
      <c r="U68" s="467"/>
      <c r="V68" s="467"/>
      <c r="W68" s="467"/>
      <c r="X68" s="467"/>
      <c r="Y68" s="467"/>
      <c r="Z68" s="467"/>
      <c r="AA68" s="467"/>
      <c r="AB68" s="467"/>
      <c r="AC68" s="467"/>
      <c r="AD68" s="467"/>
      <c r="AE68" s="467"/>
      <c r="AF68" s="467"/>
      <c r="AG68" s="467"/>
      <c r="AH68" s="467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</row>
    <row r="69" spans="1:44" s="102" customFormat="1" ht="12" customHeight="1">
      <c r="A69" s="117">
        <v>11</v>
      </c>
      <c r="B69" s="102" t="s">
        <v>256</v>
      </c>
      <c r="C69" s="761">
        <v>46125</v>
      </c>
      <c r="D69" s="746">
        <v>12.6</v>
      </c>
      <c r="E69" s="746"/>
      <c r="F69" s="747" t="s">
        <v>18</v>
      </c>
      <c r="G69" s="746"/>
      <c r="H69" s="746"/>
      <c r="I69" s="746"/>
      <c r="J69" s="748"/>
      <c r="K69" s="748"/>
      <c r="L69" s="748"/>
      <c r="M69" s="748"/>
      <c r="N69" s="748"/>
      <c r="O69" s="748"/>
      <c r="P69" s="748"/>
      <c r="Q69" s="749"/>
      <c r="R69" s="461"/>
      <c r="S69" s="461"/>
      <c r="T69" s="461"/>
      <c r="U69" s="461"/>
      <c r="V69" s="461"/>
      <c r="W69" s="461"/>
      <c r="X69" s="461"/>
      <c r="Y69" s="461"/>
      <c r="Z69" s="461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1"/>
      <c r="AO69" s="461"/>
      <c r="AP69" s="461"/>
      <c r="AQ69" s="461"/>
      <c r="AR69" s="461"/>
    </row>
    <row r="70" spans="1:44" s="102" customFormat="1" ht="12" customHeight="1">
      <c r="A70" s="118">
        <v>19</v>
      </c>
      <c r="B70" s="102" t="s">
        <v>260</v>
      </c>
      <c r="C70" s="761">
        <v>46125</v>
      </c>
      <c r="D70" s="746">
        <v>13.86</v>
      </c>
      <c r="E70" s="746"/>
      <c r="F70" s="747" t="s">
        <v>18</v>
      </c>
      <c r="G70" s="746"/>
      <c r="H70" s="746"/>
      <c r="I70" s="746"/>
      <c r="J70" s="746"/>
      <c r="K70" s="748"/>
      <c r="L70" s="748"/>
      <c r="M70" s="748"/>
      <c r="N70" s="748"/>
      <c r="O70" s="748"/>
      <c r="P70" s="748"/>
      <c r="Q70" s="749"/>
      <c r="R70" s="461"/>
      <c r="S70" s="461"/>
      <c r="T70" s="461"/>
      <c r="U70" s="461"/>
      <c r="V70" s="461"/>
      <c r="W70" s="461"/>
      <c r="X70" s="461"/>
      <c r="Y70" s="461"/>
      <c r="Z70" s="461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1"/>
      <c r="AO70" s="461"/>
      <c r="AP70" s="461"/>
      <c r="AQ70" s="461"/>
      <c r="AR70" s="461"/>
    </row>
    <row r="71" spans="1:44" s="102" customFormat="1" ht="12" customHeight="1">
      <c r="A71" s="118">
        <v>20</v>
      </c>
      <c r="B71" s="102" t="s">
        <v>267</v>
      </c>
      <c r="C71" s="761">
        <v>46125</v>
      </c>
      <c r="D71" s="746">
        <v>14.3</v>
      </c>
      <c r="E71" s="746"/>
      <c r="F71" s="747" t="s">
        <v>18</v>
      </c>
      <c r="G71" s="746"/>
      <c r="H71" s="746"/>
      <c r="I71" s="746"/>
      <c r="J71" s="746"/>
      <c r="K71" s="748"/>
      <c r="L71" s="748"/>
      <c r="M71" s="748"/>
      <c r="N71" s="748"/>
      <c r="O71" s="748"/>
      <c r="P71" s="748"/>
      <c r="Q71" s="749"/>
      <c r="R71" s="461"/>
      <c r="S71" s="461"/>
      <c r="T71" s="461"/>
      <c r="U71" s="461"/>
      <c r="V71" s="461"/>
      <c r="W71" s="461"/>
      <c r="X71" s="461"/>
      <c r="Y71" s="461"/>
      <c r="Z71" s="461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1"/>
      <c r="AO71" s="461"/>
      <c r="AP71" s="461"/>
      <c r="AQ71" s="461"/>
      <c r="AR71" s="461"/>
    </row>
    <row r="72" spans="1:44" s="102" customFormat="1" ht="12" customHeight="1">
      <c r="A72" s="117">
        <v>21</v>
      </c>
      <c r="B72" s="102" t="s">
        <v>261</v>
      </c>
      <c r="C72" s="761">
        <v>46125</v>
      </c>
      <c r="D72" s="746">
        <v>14.2</v>
      </c>
      <c r="E72" s="746"/>
      <c r="F72" s="747" t="s">
        <v>18</v>
      </c>
      <c r="G72" s="746"/>
      <c r="H72" s="746"/>
      <c r="I72" s="746"/>
      <c r="J72" s="748"/>
      <c r="K72" s="748"/>
      <c r="L72" s="748"/>
      <c r="M72" s="748"/>
      <c r="N72" s="748"/>
      <c r="O72" s="748"/>
      <c r="P72" s="748"/>
      <c r="Q72" s="749"/>
      <c r="R72" s="461"/>
      <c r="S72" s="461"/>
      <c r="T72" s="461"/>
      <c r="U72" s="461"/>
      <c r="V72" s="461"/>
      <c r="W72" s="461"/>
      <c r="X72" s="461"/>
      <c r="Y72" s="461"/>
      <c r="Z72" s="461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1"/>
      <c r="AO72" s="461"/>
      <c r="AP72" s="461"/>
      <c r="AQ72" s="461"/>
      <c r="AR72" s="461"/>
    </row>
    <row r="73" spans="1:44" s="102" customFormat="1" ht="12" customHeight="1">
      <c r="A73" s="117">
        <v>25</v>
      </c>
      <c r="B73" s="102" t="s">
        <v>263</v>
      </c>
      <c r="C73" s="761">
        <v>46125</v>
      </c>
      <c r="D73" s="746">
        <v>10.98</v>
      </c>
      <c r="E73" s="746"/>
      <c r="F73" s="747" t="s">
        <v>18</v>
      </c>
      <c r="G73" s="746"/>
      <c r="H73" s="746"/>
      <c r="I73" s="746"/>
      <c r="J73" s="748"/>
      <c r="K73" s="748"/>
      <c r="L73" s="748"/>
      <c r="M73" s="748"/>
      <c r="N73" s="748"/>
      <c r="O73" s="748"/>
      <c r="P73" s="748"/>
      <c r="Q73" s="749"/>
      <c r="R73" s="461"/>
      <c r="S73" s="461"/>
      <c r="T73" s="461"/>
      <c r="U73" s="461"/>
      <c r="V73" s="461"/>
      <c r="W73" s="461"/>
      <c r="X73" s="461"/>
      <c r="Y73" s="461"/>
      <c r="Z73" s="461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1"/>
      <c r="AN73" s="461"/>
      <c r="AO73" s="461"/>
      <c r="AP73" s="461"/>
      <c r="AQ73" s="461"/>
      <c r="AR73" s="461"/>
    </row>
    <row r="74" spans="1:44" s="102" customFormat="1" ht="12" customHeight="1">
      <c r="A74" s="118">
        <v>29</v>
      </c>
      <c r="B74" s="102" t="s">
        <v>295</v>
      </c>
      <c r="C74" s="761">
        <v>46125</v>
      </c>
      <c r="D74" s="746">
        <v>12.87</v>
      </c>
      <c r="E74" s="746">
        <v>1.4</v>
      </c>
      <c r="F74" s="747" t="s">
        <v>18</v>
      </c>
      <c r="G74" s="746"/>
      <c r="H74" s="746"/>
      <c r="I74" s="746"/>
      <c r="J74" s="748"/>
      <c r="K74" s="748"/>
      <c r="L74" s="748"/>
      <c r="M74" s="748"/>
      <c r="N74" s="748"/>
      <c r="O74" s="748"/>
      <c r="P74" s="748"/>
      <c r="Q74" s="749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61"/>
      <c r="AR74" s="461"/>
    </row>
    <row r="75" spans="1:44" s="102" customFormat="1" ht="12" customHeight="1">
      <c r="A75" s="118">
        <v>30</v>
      </c>
      <c r="B75" s="102" t="s">
        <v>296</v>
      </c>
      <c r="C75" s="761">
        <v>46125</v>
      </c>
      <c r="D75" s="746">
        <v>12.5</v>
      </c>
      <c r="E75" s="746"/>
      <c r="F75" s="747" t="s">
        <v>18</v>
      </c>
      <c r="G75" s="746"/>
      <c r="H75" s="746"/>
      <c r="I75" s="746"/>
      <c r="J75" s="748"/>
      <c r="K75" s="748"/>
      <c r="L75" s="748"/>
      <c r="M75" s="748"/>
      <c r="N75" s="748"/>
      <c r="O75" s="748"/>
      <c r="P75" s="748"/>
      <c r="Q75" s="749"/>
      <c r="R75" s="461"/>
      <c r="S75" s="461"/>
      <c r="T75" s="461"/>
      <c r="U75" s="461"/>
      <c r="V75" s="461"/>
      <c r="W75" s="461"/>
      <c r="X75" s="461"/>
      <c r="Y75" s="461"/>
      <c r="Z75" s="461"/>
      <c r="AA75" s="461"/>
      <c r="AB75" s="461"/>
      <c r="AC75" s="461"/>
      <c r="AD75" s="461"/>
      <c r="AE75" s="461"/>
      <c r="AF75" s="461"/>
      <c r="AG75" s="461"/>
      <c r="AH75" s="461"/>
      <c r="AI75" s="461"/>
      <c r="AJ75" s="461"/>
      <c r="AK75" s="461"/>
      <c r="AL75" s="461"/>
      <c r="AM75" s="461"/>
      <c r="AN75" s="461"/>
      <c r="AO75" s="461"/>
      <c r="AP75" s="461"/>
      <c r="AQ75" s="461"/>
      <c r="AR75" s="461"/>
    </row>
    <row r="76" spans="1:44">
      <c r="A76" s="1">
        <v>200</v>
      </c>
      <c r="B76" s="62" t="s">
        <v>97</v>
      </c>
      <c r="C76" s="763"/>
      <c r="D76" s="750" t="s">
        <v>452</v>
      </c>
      <c r="E76" s="751"/>
      <c r="F76" s="752"/>
      <c r="G76" s="751"/>
      <c r="H76" s="751"/>
      <c r="I76" s="751"/>
      <c r="J76" s="751"/>
      <c r="K76" s="752"/>
      <c r="L76" s="752"/>
      <c r="M76" s="752"/>
      <c r="N76" s="752"/>
      <c r="O76" s="752"/>
      <c r="P76" s="752"/>
      <c r="Q76" s="749"/>
      <c r="R76" s="462"/>
      <c r="S76" s="463"/>
      <c r="T76" s="464"/>
      <c r="U76" s="464"/>
      <c r="V76" s="460"/>
      <c r="W76" s="460"/>
      <c r="X76" s="460"/>
      <c r="Y76" s="460"/>
      <c r="Z76" s="460"/>
      <c r="AA76" s="460"/>
      <c r="AB76" s="460"/>
      <c r="AC76" s="460"/>
      <c r="AD76" s="460"/>
      <c r="AE76" s="460"/>
      <c r="AF76" s="460"/>
      <c r="AG76" s="460"/>
      <c r="AH76" s="460"/>
      <c r="AI76" s="460"/>
      <c r="AJ76" s="460"/>
      <c r="AK76" s="460"/>
      <c r="AL76" s="460"/>
      <c r="AM76" s="460"/>
      <c r="AN76" s="460"/>
      <c r="AO76" s="460"/>
      <c r="AP76" s="460"/>
      <c r="AQ76" s="460"/>
      <c r="AR76" s="460"/>
    </row>
    <row r="77" spans="1:44" s="460" customFormat="1" ht="17.25" customHeight="1">
      <c r="A77" s="473">
        <v>250</v>
      </c>
      <c r="B77" s="474" t="s">
        <v>24</v>
      </c>
      <c r="C77" s="767"/>
      <c r="D77" s="754"/>
      <c r="E77" s="754"/>
      <c r="F77" s="760"/>
      <c r="G77" s="754"/>
      <c r="H77" s="754"/>
      <c r="I77" s="754"/>
      <c r="J77" s="754"/>
      <c r="K77" s="755"/>
      <c r="L77" s="755"/>
      <c r="M77" s="755"/>
      <c r="N77" s="755"/>
      <c r="O77" s="755"/>
      <c r="P77" s="755"/>
      <c r="Q77" s="756"/>
      <c r="R77" s="465"/>
      <c r="S77" s="463"/>
      <c r="T77" s="464"/>
      <c r="U77" s="464"/>
    </row>
    <row r="78" spans="1:44" s="102" customFormat="1" ht="12" customHeight="1">
      <c r="A78" s="117">
        <v>3</v>
      </c>
      <c r="B78" s="102" t="s">
        <v>252</v>
      </c>
      <c r="C78" s="761">
        <v>46154</v>
      </c>
      <c r="D78" s="746">
        <v>8.4</v>
      </c>
      <c r="E78" s="746"/>
      <c r="F78" s="747" t="s">
        <v>18</v>
      </c>
      <c r="G78" s="746"/>
      <c r="H78" s="746"/>
      <c r="I78" s="746"/>
      <c r="J78" s="748"/>
      <c r="K78" s="748"/>
      <c r="L78" s="748"/>
      <c r="M78" s="748"/>
      <c r="N78" s="748"/>
      <c r="O78" s="748"/>
      <c r="P78" s="748"/>
      <c r="Q78" s="749"/>
      <c r="R78" s="461"/>
      <c r="S78" s="461"/>
      <c r="T78" s="461"/>
      <c r="U78" s="461"/>
      <c r="V78" s="461"/>
      <c r="W78" s="461"/>
      <c r="X78" s="461"/>
      <c r="Y78" s="461"/>
      <c r="Z78" s="461"/>
      <c r="AA78" s="461"/>
      <c r="AB78" s="461"/>
      <c r="AC78" s="461"/>
      <c r="AD78" s="461"/>
      <c r="AE78" s="461"/>
      <c r="AF78" s="461"/>
      <c r="AG78" s="461"/>
      <c r="AH78" s="461"/>
      <c r="AI78" s="461"/>
      <c r="AJ78" s="461"/>
      <c r="AK78" s="461"/>
      <c r="AL78" s="461"/>
      <c r="AM78" s="461"/>
      <c r="AN78" s="461"/>
      <c r="AO78" s="461"/>
      <c r="AP78" s="461"/>
      <c r="AQ78" s="461"/>
      <c r="AR78" s="461"/>
    </row>
    <row r="79" spans="1:44" s="102" customFormat="1" ht="12" customHeight="1">
      <c r="A79" s="117">
        <v>5</v>
      </c>
      <c r="B79" s="102" t="s">
        <v>253</v>
      </c>
      <c r="C79" s="761">
        <v>46154</v>
      </c>
      <c r="D79" s="746">
        <v>9.9</v>
      </c>
      <c r="E79" s="746"/>
      <c r="F79" s="747" t="s">
        <v>18</v>
      </c>
      <c r="G79" s="746"/>
      <c r="H79" s="746"/>
      <c r="I79" s="746"/>
      <c r="J79" s="748"/>
      <c r="K79" s="748"/>
      <c r="L79" s="748"/>
      <c r="M79" s="748"/>
      <c r="N79" s="748"/>
      <c r="O79" s="748"/>
      <c r="P79" s="748"/>
      <c r="Q79" s="749"/>
      <c r="R79" s="461"/>
      <c r="S79" s="461"/>
      <c r="T79" s="461"/>
      <c r="U79" s="461"/>
      <c r="V79" s="461"/>
      <c r="W79" s="461"/>
      <c r="X79" s="461"/>
      <c r="Y79" s="461"/>
      <c r="Z79" s="461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1"/>
      <c r="AO79" s="461"/>
      <c r="AP79" s="461"/>
      <c r="AQ79" s="461"/>
      <c r="AR79" s="461"/>
    </row>
    <row r="80" spans="1:44" s="102" customFormat="1" ht="12" customHeight="1">
      <c r="A80" s="117">
        <v>6</v>
      </c>
      <c r="B80" s="102" t="s">
        <v>265</v>
      </c>
      <c r="C80" s="761">
        <v>46154</v>
      </c>
      <c r="D80" s="746">
        <v>8.4</v>
      </c>
      <c r="E80" s="746"/>
      <c r="F80" s="747" t="s">
        <v>18</v>
      </c>
      <c r="G80" s="746"/>
      <c r="H80" s="746"/>
      <c r="I80" s="746"/>
      <c r="J80" s="748"/>
      <c r="K80" s="748"/>
      <c r="L80" s="748"/>
      <c r="M80" s="748"/>
      <c r="N80" s="748"/>
      <c r="O80" s="748"/>
      <c r="P80" s="748"/>
      <c r="Q80" s="749"/>
      <c r="R80" s="461"/>
      <c r="S80" s="461"/>
      <c r="T80" s="461"/>
      <c r="U80" s="461"/>
      <c r="V80" s="461"/>
      <c r="W80" s="461"/>
      <c r="X80" s="461"/>
      <c r="Y80" s="461"/>
      <c r="Z80" s="461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1"/>
      <c r="AO80" s="461"/>
      <c r="AP80" s="461"/>
      <c r="AQ80" s="461"/>
      <c r="AR80" s="461"/>
    </row>
    <row r="81" spans="1:44" s="102" customFormat="1" ht="12" customHeight="1">
      <c r="A81" s="117">
        <v>7</v>
      </c>
      <c r="B81" s="102" t="s">
        <v>254</v>
      </c>
      <c r="C81" s="761">
        <v>46153</v>
      </c>
      <c r="D81" s="746">
        <v>11.21</v>
      </c>
      <c r="E81" s="746"/>
      <c r="F81" s="747" t="s">
        <v>18</v>
      </c>
      <c r="G81" s="746"/>
      <c r="H81" s="746"/>
      <c r="I81" s="746"/>
      <c r="J81" s="748"/>
      <c r="K81" s="748"/>
      <c r="L81" s="748"/>
      <c r="M81" s="748"/>
      <c r="N81" s="748"/>
      <c r="O81" s="748"/>
      <c r="P81" s="748"/>
      <c r="Q81" s="749"/>
      <c r="R81" s="461"/>
      <c r="S81" s="461"/>
      <c r="T81" s="461"/>
      <c r="U81" s="461"/>
      <c r="V81" s="461"/>
      <c r="W81" s="461"/>
      <c r="X81" s="461"/>
      <c r="Y81" s="461"/>
      <c r="Z81" s="461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1"/>
      <c r="AO81" s="461"/>
      <c r="AP81" s="461"/>
      <c r="AQ81" s="461"/>
      <c r="AR81" s="461"/>
    </row>
    <row r="82" spans="1:44" s="102" customFormat="1" ht="12" customHeight="1">
      <c r="A82" s="117">
        <v>9</v>
      </c>
      <c r="B82" s="102" t="s">
        <v>255</v>
      </c>
      <c r="C82" s="761">
        <v>46153</v>
      </c>
      <c r="D82" s="746">
        <v>8.9700000000000006</v>
      </c>
      <c r="E82" s="746"/>
      <c r="F82" s="747" t="s">
        <v>18</v>
      </c>
      <c r="G82" s="746"/>
      <c r="H82" s="746"/>
      <c r="I82" s="746"/>
      <c r="J82" s="746"/>
      <c r="K82" s="748"/>
      <c r="L82" s="748"/>
      <c r="M82" s="748"/>
      <c r="N82" s="748"/>
      <c r="O82" s="748"/>
      <c r="P82" s="748"/>
      <c r="Q82" s="749"/>
      <c r="R82" s="461"/>
      <c r="S82" s="461"/>
      <c r="T82" s="461"/>
      <c r="U82" s="461"/>
      <c r="V82" s="461"/>
      <c r="W82" s="461"/>
      <c r="X82" s="461"/>
      <c r="Y82" s="461"/>
      <c r="Z82" s="461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1"/>
      <c r="AO82" s="461"/>
      <c r="AP82" s="461"/>
      <c r="AQ82" s="461"/>
      <c r="AR82" s="461"/>
    </row>
    <row r="83" spans="1:44" s="102" customFormat="1" ht="12" customHeight="1">
      <c r="A83" s="117">
        <v>11</v>
      </c>
      <c r="B83" s="102" t="s">
        <v>256</v>
      </c>
      <c r="C83" s="761">
        <v>46153</v>
      </c>
      <c r="D83" s="746">
        <v>10.47</v>
      </c>
      <c r="E83" s="746"/>
      <c r="F83" s="747" t="s">
        <v>18</v>
      </c>
      <c r="G83" s="746"/>
      <c r="H83" s="746"/>
      <c r="I83" s="746"/>
      <c r="J83" s="748"/>
      <c r="K83" s="748"/>
      <c r="L83" s="748"/>
      <c r="M83" s="748"/>
      <c r="N83" s="748"/>
      <c r="O83" s="748"/>
      <c r="P83" s="748"/>
      <c r="Q83" s="749"/>
      <c r="R83" s="461"/>
      <c r="S83" s="461"/>
      <c r="T83" s="461"/>
      <c r="U83" s="461"/>
      <c r="V83" s="461"/>
      <c r="W83" s="461"/>
      <c r="X83" s="461"/>
      <c r="Y83" s="461"/>
      <c r="Z83" s="461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1"/>
      <c r="AO83" s="461"/>
      <c r="AP83" s="461"/>
      <c r="AQ83" s="461"/>
      <c r="AR83" s="461"/>
    </row>
    <row r="84" spans="1:44" s="102" customFormat="1" ht="12" customHeight="1">
      <c r="A84" s="117">
        <v>13</v>
      </c>
      <c r="B84" s="102" t="s">
        <v>257</v>
      </c>
      <c r="C84" s="761">
        <v>46153</v>
      </c>
      <c r="D84" s="746">
        <v>11.02</v>
      </c>
      <c r="E84" s="746"/>
      <c r="F84" s="747" t="s">
        <v>18</v>
      </c>
      <c r="G84" s="746"/>
      <c r="H84" s="746"/>
      <c r="I84" s="746"/>
      <c r="J84" s="748"/>
      <c r="K84" s="748"/>
      <c r="L84" s="748"/>
      <c r="M84" s="748"/>
      <c r="N84" s="748"/>
      <c r="O84" s="748"/>
      <c r="P84" s="748"/>
      <c r="Q84" s="749"/>
      <c r="R84" s="461"/>
      <c r="S84" s="461"/>
      <c r="T84" s="461"/>
      <c r="U84" s="461"/>
      <c r="V84" s="461"/>
      <c r="W84" s="461"/>
      <c r="X84" s="461"/>
      <c r="Y84" s="461"/>
      <c r="Z84" s="461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1"/>
      <c r="AO84" s="461"/>
      <c r="AP84" s="461"/>
      <c r="AQ84" s="461"/>
      <c r="AR84" s="461"/>
    </row>
    <row r="85" spans="1:44" s="102" customFormat="1" ht="12" customHeight="1">
      <c r="A85" s="117">
        <v>15</v>
      </c>
      <c r="B85" s="102" t="s">
        <v>258</v>
      </c>
      <c r="C85" s="761">
        <v>46153</v>
      </c>
      <c r="D85" s="746">
        <v>10.888999999999999</v>
      </c>
      <c r="E85" s="746"/>
      <c r="F85" s="747" t="s">
        <v>18</v>
      </c>
      <c r="G85" s="746"/>
      <c r="H85" s="746"/>
      <c r="I85" s="746"/>
      <c r="J85" s="748"/>
      <c r="K85" s="748"/>
      <c r="L85" s="748"/>
      <c r="M85" s="748"/>
      <c r="N85" s="748"/>
      <c r="O85" s="748"/>
      <c r="P85" s="748"/>
      <c r="Q85" s="749"/>
      <c r="R85" s="461"/>
      <c r="S85" s="461"/>
      <c r="T85" s="461"/>
      <c r="U85" s="461"/>
      <c r="V85" s="461"/>
      <c r="W85" s="461"/>
      <c r="X85" s="461"/>
      <c r="Y85" s="461"/>
      <c r="Z85" s="461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61"/>
      <c r="AR85" s="461"/>
    </row>
    <row r="86" spans="1:44" s="102" customFormat="1" ht="12" customHeight="1">
      <c r="A86" s="117">
        <v>17</v>
      </c>
      <c r="B86" s="102" t="s">
        <v>259</v>
      </c>
      <c r="C86" s="761">
        <v>46153</v>
      </c>
      <c r="D86" s="746">
        <v>11.07</v>
      </c>
      <c r="E86" s="746"/>
      <c r="F86" s="747" t="s">
        <v>18</v>
      </c>
      <c r="G86" s="746"/>
      <c r="H86" s="746"/>
      <c r="I86" s="746"/>
      <c r="J86" s="748"/>
      <c r="K86" s="748"/>
      <c r="L86" s="748"/>
      <c r="M86" s="748"/>
      <c r="N86" s="748"/>
      <c r="O86" s="748"/>
      <c r="P86" s="748"/>
      <c r="Q86" s="749"/>
      <c r="R86" s="461"/>
      <c r="S86" s="461"/>
      <c r="T86" s="461"/>
      <c r="U86" s="461"/>
      <c r="V86" s="461"/>
      <c r="W86" s="461"/>
      <c r="X86" s="461"/>
      <c r="Y86" s="461"/>
      <c r="Z86" s="461"/>
      <c r="AA86" s="461"/>
      <c r="AB86" s="461"/>
      <c r="AC86" s="461"/>
      <c r="AD86" s="461"/>
      <c r="AE86" s="461"/>
      <c r="AF86" s="461"/>
      <c r="AG86" s="461"/>
      <c r="AH86" s="461"/>
      <c r="AI86" s="461"/>
      <c r="AJ86" s="461"/>
      <c r="AK86" s="461"/>
      <c r="AL86" s="461"/>
      <c r="AM86" s="461"/>
      <c r="AN86" s="461"/>
      <c r="AO86" s="461"/>
      <c r="AP86" s="461"/>
      <c r="AQ86" s="461"/>
      <c r="AR86" s="461"/>
    </row>
    <row r="87" spans="1:44" s="102" customFormat="1" ht="12" customHeight="1">
      <c r="A87" s="117">
        <v>18</v>
      </c>
      <c r="B87" s="102" t="s">
        <v>266</v>
      </c>
      <c r="C87" s="761">
        <v>46153</v>
      </c>
      <c r="D87" s="746">
        <v>11.61</v>
      </c>
      <c r="E87" s="746"/>
      <c r="F87" s="747" t="s">
        <v>18</v>
      </c>
      <c r="G87" s="746"/>
      <c r="H87" s="746"/>
      <c r="I87" s="746"/>
      <c r="J87" s="748"/>
      <c r="K87" s="748"/>
      <c r="L87" s="748"/>
      <c r="M87" s="748"/>
      <c r="N87" s="748"/>
      <c r="O87" s="748"/>
      <c r="P87" s="748"/>
      <c r="Q87" s="749"/>
      <c r="R87" s="461"/>
      <c r="S87" s="461"/>
      <c r="T87" s="461"/>
      <c r="U87" s="461"/>
      <c r="V87" s="461"/>
      <c r="W87" s="461"/>
      <c r="X87" s="461"/>
      <c r="Y87" s="461"/>
      <c r="Z87" s="461"/>
      <c r="AA87" s="461"/>
      <c r="AB87" s="461"/>
      <c r="AC87" s="461"/>
      <c r="AD87" s="461"/>
      <c r="AE87" s="461"/>
      <c r="AF87" s="461"/>
      <c r="AG87" s="461"/>
      <c r="AH87" s="461"/>
      <c r="AI87" s="461"/>
      <c r="AJ87" s="461"/>
      <c r="AK87" s="461"/>
      <c r="AL87" s="461"/>
      <c r="AM87" s="461"/>
      <c r="AN87" s="461"/>
      <c r="AO87" s="461"/>
      <c r="AP87" s="461"/>
      <c r="AQ87" s="461"/>
      <c r="AR87" s="461"/>
    </row>
    <row r="88" spans="1:44" s="102" customFormat="1" ht="12" customHeight="1">
      <c r="A88" s="118">
        <v>19</v>
      </c>
      <c r="B88" s="102" t="s">
        <v>260</v>
      </c>
      <c r="C88" s="761">
        <v>46154</v>
      </c>
      <c r="D88" s="746">
        <v>8.4</v>
      </c>
      <c r="E88" s="746"/>
      <c r="F88" s="747" t="s">
        <v>18</v>
      </c>
      <c r="G88" s="746"/>
      <c r="H88" s="746"/>
      <c r="I88" s="746"/>
      <c r="J88" s="748"/>
      <c r="K88" s="748"/>
      <c r="L88" s="748"/>
      <c r="M88" s="748"/>
      <c r="N88" s="748"/>
      <c r="O88" s="748"/>
      <c r="P88" s="748"/>
      <c r="Q88" s="749"/>
      <c r="R88" s="461"/>
      <c r="S88" s="461"/>
      <c r="T88" s="461"/>
      <c r="U88" s="461"/>
      <c r="V88" s="461"/>
      <c r="W88" s="461"/>
      <c r="X88" s="461"/>
      <c r="Y88" s="461"/>
      <c r="Z88" s="461"/>
      <c r="AA88" s="461"/>
      <c r="AB88" s="461"/>
      <c r="AC88" s="461"/>
      <c r="AD88" s="461"/>
      <c r="AE88" s="461"/>
      <c r="AF88" s="461"/>
      <c r="AG88" s="461"/>
      <c r="AH88" s="461"/>
      <c r="AI88" s="461"/>
      <c r="AJ88" s="461"/>
      <c r="AK88" s="461"/>
      <c r="AL88" s="461"/>
      <c r="AM88" s="461"/>
      <c r="AN88" s="461"/>
      <c r="AO88" s="461"/>
      <c r="AP88" s="461"/>
      <c r="AQ88" s="461"/>
      <c r="AR88" s="461"/>
    </row>
    <row r="89" spans="1:44" s="102" customFormat="1" ht="12" customHeight="1">
      <c r="A89" s="118">
        <v>20</v>
      </c>
      <c r="B89" s="102" t="s">
        <v>267</v>
      </c>
      <c r="C89" s="761">
        <v>46154</v>
      </c>
      <c r="D89" s="746">
        <v>10.7</v>
      </c>
      <c r="E89" s="746"/>
      <c r="F89" s="747" t="s">
        <v>18</v>
      </c>
      <c r="G89" s="746"/>
      <c r="H89" s="746"/>
      <c r="I89" s="746"/>
      <c r="J89" s="748"/>
      <c r="K89" s="748"/>
      <c r="L89" s="748"/>
      <c r="M89" s="748"/>
      <c r="N89" s="748"/>
      <c r="O89" s="748"/>
      <c r="P89" s="748"/>
      <c r="Q89" s="749"/>
      <c r="R89" s="461"/>
      <c r="S89" s="461"/>
      <c r="T89" s="461"/>
      <c r="U89" s="461"/>
      <c r="V89" s="461"/>
      <c r="W89" s="461"/>
      <c r="X89" s="461"/>
      <c r="Y89" s="461"/>
      <c r="Z89" s="461"/>
      <c r="AA89" s="461"/>
      <c r="AB89" s="461"/>
      <c r="AC89" s="461"/>
      <c r="AD89" s="461"/>
      <c r="AE89" s="461"/>
      <c r="AF89" s="461"/>
      <c r="AG89" s="461"/>
      <c r="AH89" s="461"/>
      <c r="AI89" s="461"/>
      <c r="AJ89" s="461"/>
      <c r="AK89" s="461"/>
      <c r="AL89" s="461"/>
      <c r="AM89" s="461"/>
      <c r="AN89" s="461"/>
      <c r="AO89" s="461"/>
      <c r="AP89" s="461"/>
      <c r="AQ89" s="461"/>
      <c r="AR89" s="461"/>
    </row>
    <row r="90" spans="1:44" s="102" customFormat="1" ht="12" customHeight="1">
      <c r="A90" s="117">
        <v>21</v>
      </c>
      <c r="B90" s="102" t="s">
        <v>261</v>
      </c>
      <c r="C90" s="761">
        <v>46154</v>
      </c>
      <c r="D90" s="746">
        <v>10.4</v>
      </c>
      <c r="E90" s="746"/>
      <c r="F90" s="747" t="s">
        <v>18</v>
      </c>
      <c r="G90" s="746"/>
      <c r="H90" s="746"/>
      <c r="I90" s="746"/>
      <c r="J90" s="748"/>
      <c r="K90" s="748"/>
      <c r="L90" s="748"/>
      <c r="M90" s="748"/>
      <c r="N90" s="748"/>
      <c r="O90" s="748"/>
      <c r="P90" s="748"/>
      <c r="Q90" s="749"/>
      <c r="R90" s="461"/>
      <c r="S90" s="461"/>
      <c r="T90" s="461"/>
      <c r="U90" s="461"/>
      <c r="V90" s="461"/>
      <c r="W90" s="461"/>
      <c r="X90" s="461"/>
      <c r="Y90" s="461"/>
      <c r="Z90" s="461"/>
      <c r="AA90" s="461"/>
      <c r="AB90" s="461"/>
      <c r="AC90" s="461"/>
      <c r="AD90" s="461"/>
      <c r="AE90" s="461"/>
      <c r="AF90" s="461"/>
      <c r="AG90" s="461"/>
      <c r="AH90" s="461"/>
      <c r="AI90" s="461"/>
      <c r="AJ90" s="461"/>
      <c r="AK90" s="461"/>
      <c r="AL90" s="461"/>
      <c r="AM90" s="461"/>
      <c r="AN90" s="461"/>
      <c r="AO90" s="461"/>
      <c r="AP90" s="461"/>
      <c r="AQ90" s="461"/>
      <c r="AR90" s="461"/>
    </row>
    <row r="91" spans="1:44" s="102" customFormat="1" ht="12" customHeight="1">
      <c r="A91" s="117">
        <v>22</v>
      </c>
      <c r="B91" s="102" t="s">
        <v>268</v>
      </c>
      <c r="C91" s="761">
        <v>46153</v>
      </c>
      <c r="D91" s="746">
        <v>9.5</v>
      </c>
      <c r="E91" s="746"/>
      <c r="F91" s="747" t="s">
        <v>18</v>
      </c>
      <c r="G91" s="746"/>
      <c r="H91" s="746"/>
      <c r="I91" s="746"/>
      <c r="J91" s="748"/>
      <c r="K91" s="748"/>
      <c r="L91" s="748"/>
      <c r="M91" s="748"/>
      <c r="N91" s="748"/>
      <c r="O91" s="748"/>
      <c r="P91" s="748"/>
      <c r="Q91" s="749"/>
      <c r="R91" s="461"/>
      <c r="S91" s="461"/>
      <c r="T91" s="461"/>
      <c r="U91" s="461"/>
      <c r="V91" s="461"/>
      <c r="W91" s="461"/>
      <c r="X91" s="461"/>
      <c r="Y91" s="461"/>
      <c r="Z91" s="461"/>
      <c r="AA91" s="461"/>
      <c r="AB91" s="461"/>
      <c r="AC91" s="461"/>
      <c r="AD91" s="461"/>
      <c r="AE91" s="461"/>
      <c r="AF91" s="461"/>
      <c r="AG91" s="461"/>
      <c r="AH91" s="461"/>
      <c r="AI91" s="461"/>
      <c r="AJ91" s="461"/>
      <c r="AK91" s="461"/>
      <c r="AL91" s="461"/>
      <c r="AM91" s="461"/>
      <c r="AN91" s="461"/>
      <c r="AO91" s="461"/>
      <c r="AP91" s="461"/>
      <c r="AQ91" s="461"/>
      <c r="AR91" s="461"/>
    </row>
    <row r="92" spans="1:44" s="102" customFormat="1" ht="12" customHeight="1">
      <c r="A92" s="117">
        <v>23</v>
      </c>
      <c r="B92" s="102" t="s">
        <v>297</v>
      </c>
      <c r="C92" s="761">
        <v>46154</v>
      </c>
      <c r="D92" s="746">
        <v>9.6999999999999993</v>
      </c>
      <c r="E92" s="746"/>
      <c r="F92" s="747" t="s">
        <v>18</v>
      </c>
      <c r="G92" s="746"/>
      <c r="H92" s="746"/>
      <c r="I92" s="746"/>
      <c r="J92" s="748"/>
      <c r="K92" s="748"/>
      <c r="L92" s="748"/>
      <c r="M92" s="748"/>
      <c r="N92" s="748"/>
      <c r="O92" s="748"/>
      <c r="P92" s="748"/>
      <c r="Q92" s="749"/>
      <c r="R92" s="461"/>
      <c r="S92" s="461"/>
      <c r="T92" s="461"/>
      <c r="U92" s="461"/>
      <c r="V92" s="461"/>
      <c r="W92" s="461"/>
      <c r="X92" s="461"/>
      <c r="Y92" s="461"/>
      <c r="Z92" s="461"/>
      <c r="AA92" s="461"/>
      <c r="AB92" s="461"/>
      <c r="AC92" s="461"/>
      <c r="AD92" s="461"/>
      <c r="AE92" s="461"/>
      <c r="AF92" s="461"/>
      <c r="AG92" s="461"/>
      <c r="AH92" s="461"/>
      <c r="AI92" s="461"/>
      <c r="AJ92" s="461"/>
      <c r="AK92" s="461"/>
      <c r="AL92" s="461"/>
      <c r="AM92" s="461"/>
      <c r="AN92" s="461"/>
      <c r="AO92" s="461"/>
      <c r="AP92" s="461"/>
      <c r="AQ92" s="461"/>
      <c r="AR92" s="461"/>
    </row>
    <row r="93" spans="1:44" s="102" customFormat="1" ht="12" customHeight="1">
      <c r="A93" s="117">
        <v>24</v>
      </c>
      <c r="B93" s="102" t="s">
        <v>269</v>
      </c>
      <c r="C93" s="761">
        <v>46154</v>
      </c>
      <c r="D93" s="746">
        <v>10.4</v>
      </c>
      <c r="E93" s="746"/>
      <c r="F93" s="747" t="s">
        <v>18</v>
      </c>
      <c r="G93" s="746"/>
      <c r="H93" s="746"/>
      <c r="I93" s="746"/>
      <c r="J93" s="748"/>
      <c r="K93" s="748"/>
      <c r="L93" s="748"/>
      <c r="M93" s="748"/>
      <c r="N93" s="748"/>
      <c r="O93" s="748"/>
      <c r="P93" s="748"/>
      <c r="Q93" s="749"/>
      <c r="R93" s="461"/>
      <c r="S93" s="461"/>
      <c r="T93" s="461"/>
      <c r="U93" s="461"/>
      <c r="V93" s="461"/>
      <c r="W93" s="461"/>
      <c r="X93" s="461"/>
      <c r="Y93" s="461"/>
      <c r="Z93" s="461"/>
      <c r="AA93" s="461"/>
      <c r="AB93" s="461"/>
      <c r="AC93" s="461"/>
      <c r="AD93" s="461"/>
      <c r="AE93" s="461"/>
      <c r="AF93" s="461"/>
      <c r="AG93" s="461"/>
      <c r="AH93" s="461"/>
      <c r="AI93" s="461"/>
      <c r="AJ93" s="461"/>
      <c r="AK93" s="461"/>
      <c r="AL93" s="461"/>
      <c r="AM93" s="461"/>
      <c r="AN93" s="461"/>
      <c r="AO93" s="461"/>
      <c r="AP93" s="461"/>
      <c r="AQ93" s="461"/>
      <c r="AR93" s="461"/>
    </row>
    <row r="94" spans="1:44" s="102" customFormat="1" ht="12" customHeight="1">
      <c r="A94" s="117">
        <v>25</v>
      </c>
      <c r="B94" s="102" t="s">
        <v>263</v>
      </c>
      <c r="C94" s="761">
        <v>46153</v>
      </c>
      <c r="D94" s="746">
        <v>8.92</v>
      </c>
      <c r="E94" s="746"/>
      <c r="F94" s="747" t="s">
        <v>18</v>
      </c>
      <c r="G94" s="746"/>
      <c r="H94" s="746"/>
      <c r="I94" s="746"/>
      <c r="J94" s="748"/>
      <c r="K94" s="748"/>
      <c r="L94" s="748"/>
      <c r="M94" s="748"/>
      <c r="N94" s="748"/>
      <c r="O94" s="748"/>
      <c r="P94" s="748"/>
      <c r="Q94" s="749"/>
      <c r="R94" s="461"/>
      <c r="S94" s="461"/>
      <c r="T94" s="461"/>
      <c r="U94" s="461"/>
      <c r="V94" s="461"/>
      <c r="W94" s="461"/>
      <c r="X94" s="461"/>
      <c r="Y94" s="461"/>
      <c r="Z94" s="461"/>
      <c r="AA94" s="461"/>
      <c r="AB94" s="461"/>
      <c r="AC94" s="461"/>
      <c r="AD94" s="461"/>
      <c r="AE94" s="461"/>
      <c r="AF94" s="461"/>
      <c r="AG94" s="461"/>
      <c r="AH94" s="461"/>
      <c r="AI94" s="461"/>
      <c r="AJ94" s="461"/>
      <c r="AK94" s="461"/>
      <c r="AL94" s="461"/>
      <c r="AM94" s="461"/>
      <c r="AN94" s="461"/>
      <c r="AO94" s="461"/>
      <c r="AP94" s="461"/>
      <c r="AQ94" s="461"/>
      <c r="AR94" s="461"/>
    </row>
    <row r="95" spans="1:44" s="102" customFormat="1" ht="12" customHeight="1">
      <c r="A95" s="117">
        <v>27</v>
      </c>
      <c r="B95" s="102" t="s">
        <v>264</v>
      </c>
      <c r="C95" s="761">
        <v>46153</v>
      </c>
      <c r="D95" s="746">
        <v>9.83</v>
      </c>
      <c r="E95" s="746"/>
      <c r="F95" s="747" t="s">
        <v>18</v>
      </c>
      <c r="G95" s="746"/>
      <c r="H95" s="746"/>
      <c r="I95" s="746"/>
      <c r="J95" s="748"/>
      <c r="K95" s="748"/>
      <c r="L95" s="748"/>
      <c r="M95" s="748"/>
      <c r="N95" s="748"/>
      <c r="O95" s="748"/>
      <c r="P95" s="748"/>
      <c r="Q95" s="749"/>
      <c r="R95" s="461"/>
      <c r="S95" s="461"/>
      <c r="T95" s="461"/>
      <c r="U95" s="461"/>
      <c r="V95" s="461"/>
      <c r="W95" s="461"/>
      <c r="X95" s="461"/>
      <c r="Y95" s="461"/>
      <c r="Z95" s="461"/>
      <c r="AA95" s="461"/>
      <c r="AB95" s="461"/>
      <c r="AC95" s="461"/>
      <c r="AD95" s="461"/>
      <c r="AE95" s="461"/>
      <c r="AF95" s="461"/>
      <c r="AG95" s="461"/>
      <c r="AH95" s="461"/>
      <c r="AI95" s="461"/>
      <c r="AJ95" s="461"/>
      <c r="AK95" s="461"/>
      <c r="AL95" s="461"/>
      <c r="AM95" s="461"/>
      <c r="AN95" s="461"/>
      <c r="AO95" s="461"/>
      <c r="AP95" s="461"/>
      <c r="AQ95" s="461"/>
      <c r="AR95" s="461"/>
    </row>
    <row r="96" spans="1:44" s="102" customFormat="1" ht="12" customHeight="1">
      <c r="A96" s="118">
        <v>29</v>
      </c>
      <c r="B96" s="102" t="s">
        <v>295</v>
      </c>
      <c r="C96" s="761">
        <v>46153</v>
      </c>
      <c r="D96" s="746">
        <v>10.1</v>
      </c>
      <c r="E96" s="746">
        <v>3</v>
      </c>
      <c r="F96" s="747" t="s">
        <v>18</v>
      </c>
      <c r="G96" s="746"/>
      <c r="H96" s="746"/>
      <c r="I96" s="746"/>
      <c r="J96" s="748"/>
      <c r="K96" s="748"/>
      <c r="L96" s="748"/>
      <c r="M96" s="748"/>
      <c r="N96" s="748"/>
      <c r="O96" s="748"/>
      <c r="P96" s="748"/>
      <c r="Q96" s="749"/>
      <c r="R96" s="461"/>
      <c r="S96" s="461"/>
      <c r="T96" s="461"/>
      <c r="U96" s="461"/>
      <c r="V96" s="461"/>
      <c r="W96" s="461"/>
      <c r="X96" s="461"/>
      <c r="Y96" s="461"/>
      <c r="Z96" s="461"/>
      <c r="AA96" s="461"/>
      <c r="AB96" s="461"/>
      <c r="AC96" s="461"/>
      <c r="AD96" s="461"/>
      <c r="AE96" s="461"/>
      <c r="AF96" s="461"/>
      <c r="AG96" s="461"/>
      <c r="AH96" s="461"/>
      <c r="AI96" s="461"/>
      <c r="AJ96" s="461"/>
      <c r="AK96" s="461"/>
      <c r="AL96" s="461"/>
      <c r="AM96" s="461"/>
      <c r="AN96" s="461"/>
      <c r="AO96" s="461"/>
      <c r="AP96" s="461"/>
      <c r="AQ96" s="461"/>
      <c r="AR96" s="461"/>
    </row>
    <row r="97" spans="1:44" s="102" customFormat="1" ht="12" customHeight="1">
      <c r="A97" s="118">
        <v>30</v>
      </c>
      <c r="B97" s="102" t="s">
        <v>296</v>
      </c>
      <c r="C97" s="761">
        <v>46153</v>
      </c>
      <c r="D97" s="746">
        <v>5.04</v>
      </c>
      <c r="E97" s="746"/>
      <c r="F97" s="747" t="s">
        <v>18</v>
      </c>
      <c r="G97" s="746"/>
      <c r="H97" s="746"/>
      <c r="I97" s="746"/>
      <c r="J97" s="748"/>
      <c r="K97" s="748"/>
      <c r="L97" s="748"/>
      <c r="M97" s="748"/>
      <c r="N97" s="748"/>
      <c r="O97" s="748"/>
      <c r="P97" s="748"/>
      <c r="Q97" s="749"/>
      <c r="R97" s="461"/>
      <c r="S97" s="461"/>
      <c r="T97" s="461"/>
      <c r="U97" s="461"/>
      <c r="V97" s="461"/>
      <c r="W97" s="461"/>
      <c r="X97" s="461"/>
      <c r="Y97" s="461"/>
      <c r="Z97" s="461"/>
      <c r="AA97" s="461"/>
      <c r="AB97" s="461"/>
      <c r="AC97" s="461"/>
      <c r="AD97" s="461"/>
      <c r="AE97" s="461"/>
      <c r="AF97" s="461"/>
      <c r="AG97" s="461"/>
      <c r="AH97" s="461"/>
      <c r="AI97" s="461"/>
      <c r="AJ97" s="461"/>
      <c r="AK97" s="461"/>
      <c r="AL97" s="461"/>
      <c r="AM97" s="461"/>
      <c r="AN97" s="461"/>
      <c r="AO97" s="461"/>
      <c r="AP97" s="461"/>
      <c r="AQ97" s="461"/>
      <c r="AR97" s="461"/>
    </row>
    <row r="98" spans="1:44">
      <c r="A98" s="1">
        <v>200</v>
      </c>
      <c r="B98" s="62" t="s">
        <v>97</v>
      </c>
      <c r="C98" s="758"/>
      <c r="D98" s="750" t="s">
        <v>401</v>
      </c>
      <c r="E98" s="751"/>
      <c r="F98" s="752"/>
      <c r="G98" s="751"/>
      <c r="H98" s="751"/>
      <c r="I98" s="751"/>
      <c r="J98" s="751"/>
      <c r="K98" s="752"/>
      <c r="L98" s="752"/>
      <c r="M98" s="752"/>
      <c r="N98" s="752"/>
      <c r="O98" s="752"/>
      <c r="P98" s="752"/>
      <c r="Q98" s="749"/>
      <c r="R98" s="462"/>
      <c r="S98" s="463"/>
      <c r="T98" s="464"/>
      <c r="U98" s="464"/>
      <c r="V98" s="460"/>
      <c r="W98" s="460"/>
      <c r="X98" s="460"/>
      <c r="Y98" s="460"/>
      <c r="Z98" s="460"/>
      <c r="AA98" s="460"/>
      <c r="AB98" s="460"/>
      <c r="AC98" s="460"/>
      <c r="AD98" s="460"/>
      <c r="AE98" s="460"/>
      <c r="AF98" s="460"/>
      <c r="AG98" s="460"/>
      <c r="AH98" s="460"/>
      <c r="AI98" s="460"/>
      <c r="AJ98" s="460"/>
      <c r="AK98" s="460"/>
      <c r="AL98" s="460"/>
      <c r="AM98" s="460"/>
      <c r="AN98" s="460"/>
      <c r="AO98" s="460"/>
      <c r="AP98" s="460"/>
      <c r="AQ98" s="460"/>
      <c r="AR98" s="460"/>
    </row>
    <row r="99" spans="1:44" s="460" customFormat="1" ht="17.25" customHeight="1">
      <c r="A99" s="473">
        <v>250</v>
      </c>
      <c r="B99" s="474" t="s">
        <v>25</v>
      </c>
      <c r="C99" s="764"/>
      <c r="D99" s="754"/>
      <c r="E99" s="754"/>
      <c r="F99" s="760"/>
      <c r="G99" s="754"/>
      <c r="H99" s="754"/>
      <c r="I99" s="754"/>
      <c r="J99" s="754"/>
      <c r="K99" s="755"/>
      <c r="L99" s="755"/>
      <c r="M99" s="755"/>
      <c r="N99" s="755"/>
      <c r="O99" s="755"/>
      <c r="P99" s="755"/>
      <c r="Q99" s="756"/>
      <c r="R99" s="465"/>
      <c r="S99" s="463"/>
      <c r="T99" s="464"/>
      <c r="U99" s="464"/>
    </row>
    <row r="100" spans="1:44" s="102" customFormat="1" ht="12" customHeight="1">
      <c r="A100" s="117">
        <v>3</v>
      </c>
      <c r="B100" s="122" t="s">
        <v>252</v>
      </c>
      <c r="C100" s="761">
        <v>46183</v>
      </c>
      <c r="D100" s="746">
        <v>7.38</v>
      </c>
      <c r="E100" s="746"/>
      <c r="F100" s="747" t="s">
        <v>18</v>
      </c>
      <c r="G100" s="746"/>
      <c r="H100" s="746"/>
      <c r="I100" s="746"/>
      <c r="J100" s="748"/>
      <c r="K100" s="748"/>
      <c r="L100" s="748"/>
      <c r="M100" s="748"/>
      <c r="N100" s="748"/>
      <c r="O100" s="748"/>
      <c r="P100" s="748"/>
      <c r="Q100" s="749"/>
      <c r="R100" s="461"/>
      <c r="S100" s="461"/>
      <c r="T100" s="461"/>
      <c r="U100" s="461"/>
      <c r="V100" s="461"/>
      <c r="W100" s="461"/>
      <c r="X100" s="461"/>
      <c r="Y100" s="461"/>
      <c r="Z100" s="461"/>
      <c r="AA100" s="461"/>
      <c r="AB100" s="461"/>
      <c r="AC100" s="461"/>
      <c r="AD100" s="461"/>
      <c r="AE100" s="461"/>
      <c r="AF100" s="461"/>
      <c r="AG100" s="461"/>
      <c r="AH100" s="461"/>
      <c r="AI100" s="461"/>
      <c r="AJ100" s="461"/>
      <c r="AK100" s="461"/>
      <c r="AL100" s="461"/>
      <c r="AM100" s="461"/>
      <c r="AN100" s="461"/>
      <c r="AO100" s="461"/>
      <c r="AP100" s="461"/>
      <c r="AQ100" s="461"/>
      <c r="AR100" s="461"/>
    </row>
    <row r="101" spans="1:44" s="102" customFormat="1" ht="12" customHeight="1">
      <c r="A101" s="117">
        <v>6</v>
      </c>
      <c r="B101" s="102" t="s">
        <v>265</v>
      </c>
      <c r="C101" s="761">
        <v>46183</v>
      </c>
      <c r="D101" s="746">
        <v>8.0299999999999994</v>
      </c>
      <c r="E101" s="746"/>
      <c r="F101" s="747" t="s">
        <v>18</v>
      </c>
      <c r="G101" s="746"/>
      <c r="H101" s="746"/>
      <c r="I101" s="746"/>
      <c r="J101" s="748"/>
      <c r="K101" s="748"/>
      <c r="L101" s="748"/>
      <c r="M101" s="748"/>
      <c r="N101" s="748"/>
      <c r="O101" s="748"/>
      <c r="P101" s="748"/>
      <c r="Q101" s="749"/>
      <c r="R101" s="461"/>
      <c r="S101" s="461"/>
      <c r="T101" s="461"/>
      <c r="U101" s="461"/>
      <c r="V101" s="461"/>
      <c r="W101" s="461"/>
      <c r="X101" s="461"/>
      <c r="Y101" s="461"/>
      <c r="Z101" s="461"/>
      <c r="AA101" s="461"/>
      <c r="AB101" s="461"/>
      <c r="AC101" s="461"/>
      <c r="AD101" s="461"/>
      <c r="AE101" s="461"/>
      <c r="AF101" s="461"/>
      <c r="AG101" s="461"/>
      <c r="AH101" s="461"/>
      <c r="AI101" s="461"/>
      <c r="AJ101" s="461"/>
      <c r="AK101" s="461"/>
      <c r="AL101" s="461"/>
      <c r="AM101" s="461"/>
      <c r="AN101" s="461"/>
      <c r="AO101" s="461"/>
      <c r="AP101" s="461"/>
      <c r="AQ101" s="461"/>
      <c r="AR101" s="461"/>
    </row>
    <row r="102" spans="1:44" s="102" customFormat="1" ht="12" customHeight="1">
      <c r="A102" s="117">
        <v>7</v>
      </c>
      <c r="B102" s="102" t="s">
        <v>254</v>
      </c>
      <c r="C102" s="761">
        <v>46183</v>
      </c>
      <c r="D102" s="746">
        <v>10.68</v>
      </c>
      <c r="E102" s="746"/>
      <c r="F102" s="747" t="s">
        <v>18</v>
      </c>
      <c r="G102" s="746"/>
      <c r="H102" s="746"/>
      <c r="I102" s="746"/>
      <c r="J102" s="748"/>
      <c r="K102" s="748"/>
      <c r="L102" s="748"/>
      <c r="M102" s="748"/>
      <c r="N102" s="748"/>
      <c r="O102" s="748"/>
      <c r="P102" s="748"/>
      <c r="Q102" s="749"/>
      <c r="R102" s="461"/>
      <c r="S102" s="461"/>
      <c r="T102" s="461"/>
      <c r="U102" s="461"/>
      <c r="V102" s="461"/>
      <c r="W102" s="461"/>
      <c r="X102" s="461"/>
      <c r="Y102" s="461"/>
      <c r="Z102" s="461"/>
      <c r="AA102" s="461"/>
      <c r="AB102" s="461"/>
      <c r="AC102" s="461"/>
      <c r="AD102" s="461"/>
      <c r="AE102" s="461"/>
      <c r="AF102" s="461"/>
      <c r="AG102" s="461"/>
      <c r="AH102" s="461"/>
      <c r="AI102" s="461"/>
      <c r="AJ102" s="461"/>
      <c r="AK102" s="461"/>
      <c r="AL102" s="461"/>
      <c r="AM102" s="461"/>
      <c r="AN102" s="461"/>
      <c r="AO102" s="461"/>
      <c r="AP102" s="461"/>
      <c r="AQ102" s="461"/>
      <c r="AR102" s="461"/>
    </row>
    <row r="103" spans="1:44" s="102" customFormat="1" ht="12" customHeight="1">
      <c r="A103" s="117">
        <v>11</v>
      </c>
      <c r="B103" s="102" t="s">
        <v>256</v>
      </c>
      <c r="C103" s="761">
        <v>46183</v>
      </c>
      <c r="D103" s="746">
        <v>8.81</v>
      </c>
      <c r="E103" s="746"/>
      <c r="F103" s="747" t="s">
        <v>18</v>
      </c>
      <c r="G103" s="746"/>
      <c r="H103" s="746"/>
      <c r="I103" s="746"/>
      <c r="J103" s="748"/>
      <c r="K103" s="748"/>
      <c r="L103" s="748"/>
      <c r="M103" s="748"/>
      <c r="N103" s="748"/>
      <c r="O103" s="748"/>
      <c r="P103" s="748"/>
      <c r="Q103" s="749"/>
      <c r="R103" s="461"/>
      <c r="S103" s="461"/>
      <c r="T103" s="461"/>
      <c r="U103" s="461"/>
      <c r="V103" s="461"/>
      <c r="W103" s="461"/>
      <c r="X103" s="461"/>
      <c r="Y103" s="461"/>
      <c r="Z103" s="461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1"/>
      <c r="AO103" s="461"/>
      <c r="AP103" s="461"/>
      <c r="AQ103" s="461"/>
      <c r="AR103" s="461"/>
    </row>
    <row r="104" spans="1:44" s="102" customFormat="1" ht="12" customHeight="1">
      <c r="A104" s="118">
        <v>19</v>
      </c>
      <c r="B104" s="102" t="s">
        <v>260</v>
      </c>
      <c r="C104" s="761">
        <v>46183</v>
      </c>
      <c r="D104" s="746">
        <v>7.08</v>
      </c>
      <c r="E104" s="746"/>
      <c r="F104" s="747" t="s">
        <v>18</v>
      </c>
      <c r="G104" s="746"/>
      <c r="H104" s="746"/>
      <c r="I104" s="746"/>
      <c r="J104" s="748"/>
      <c r="K104" s="748"/>
      <c r="L104" s="748"/>
      <c r="M104" s="748"/>
      <c r="N104" s="748"/>
      <c r="O104" s="748"/>
      <c r="P104" s="748"/>
      <c r="Q104" s="749"/>
      <c r="R104" s="461"/>
      <c r="S104" s="461"/>
      <c r="T104" s="461"/>
      <c r="U104" s="461"/>
      <c r="V104" s="461"/>
      <c r="W104" s="461"/>
      <c r="X104" s="461"/>
      <c r="Y104" s="461"/>
      <c r="Z104" s="461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1"/>
      <c r="AO104" s="461"/>
      <c r="AP104" s="461"/>
      <c r="AQ104" s="461"/>
      <c r="AR104" s="461"/>
    </row>
    <row r="105" spans="1:44" s="102" customFormat="1" ht="12" customHeight="1">
      <c r="A105" s="118">
        <v>20</v>
      </c>
      <c r="B105" s="102" t="s">
        <v>267</v>
      </c>
      <c r="C105" s="761">
        <v>46183</v>
      </c>
      <c r="D105" s="746">
        <v>8.84</v>
      </c>
      <c r="E105" s="746"/>
      <c r="F105" s="747" t="s">
        <v>18</v>
      </c>
      <c r="G105" s="746"/>
      <c r="H105" s="746"/>
      <c r="I105" s="746"/>
      <c r="J105" s="748"/>
      <c r="K105" s="748"/>
      <c r="L105" s="748"/>
      <c r="M105" s="748"/>
      <c r="N105" s="748"/>
      <c r="O105" s="748"/>
      <c r="P105" s="748"/>
      <c r="Q105" s="749"/>
      <c r="R105" s="461"/>
      <c r="S105" s="461"/>
      <c r="T105" s="461"/>
      <c r="U105" s="461"/>
      <c r="V105" s="461"/>
      <c r="W105" s="461"/>
      <c r="X105" s="461"/>
      <c r="Y105" s="461"/>
      <c r="Z105" s="461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1"/>
      <c r="AO105" s="461"/>
      <c r="AP105" s="461"/>
      <c r="AQ105" s="461"/>
      <c r="AR105" s="461"/>
    </row>
    <row r="106" spans="1:44" s="102" customFormat="1" ht="12" customHeight="1">
      <c r="A106" s="117">
        <v>21</v>
      </c>
      <c r="B106" s="102" t="s">
        <v>261</v>
      </c>
      <c r="C106" s="761">
        <v>46183</v>
      </c>
      <c r="D106" s="746">
        <v>9.49</v>
      </c>
      <c r="E106" s="746"/>
      <c r="F106" s="747" t="s">
        <v>18</v>
      </c>
      <c r="G106" s="746"/>
      <c r="H106" s="746"/>
      <c r="I106" s="746"/>
      <c r="J106" s="748"/>
      <c r="K106" s="748"/>
      <c r="L106" s="748"/>
      <c r="M106" s="748"/>
      <c r="N106" s="748"/>
      <c r="O106" s="748"/>
      <c r="P106" s="748"/>
      <c r="Q106" s="749"/>
      <c r="R106" s="461"/>
      <c r="S106" s="461"/>
      <c r="T106" s="461"/>
      <c r="U106" s="461"/>
      <c r="V106" s="461"/>
      <c r="W106" s="461"/>
      <c r="X106" s="461"/>
      <c r="Y106" s="461"/>
      <c r="Z106" s="461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1"/>
      <c r="AO106" s="461"/>
      <c r="AP106" s="461"/>
      <c r="AQ106" s="461"/>
      <c r="AR106" s="461"/>
    </row>
    <row r="107" spans="1:44" s="102" customFormat="1" ht="12" customHeight="1">
      <c r="A107" s="117">
        <v>25</v>
      </c>
      <c r="B107" s="102" t="s">
        <v>263</v>
      </c>
      <c r="C107" s="761">
        <v>46183</v>
      </c>
      <c r="D107" s="746">
        <v>8.26</v>
      </c>
      <c r="E107" s="746"/>
      <c r="F107" s="747" t="s">
        <v>18</v>
      </c>
      <c r="G107" s="746"/>
      <c r="H107" s="746"/>
      <c r="I107" s="746"/>
      <c r="J107" s="748"/>
      <c r="K107" s="748"/>
      <c r="L107" s="748"/>
      <c r="M107" s="748"/>
      <c r="N107" s="748"/>
      <c r="O107" s="748"/>
      <c r="P107" s="748"/>
      <c r="Q107" s="749"/>
      <c r="R107" s="461"/>
      <c r="S107" s="461"/>
      <c r="T107" s="461"/>
      <c r="U107" s="461"/>
      <c r="V107" s="461"/>
      <c r="W107" s="461"/>
      <c r="X107" s="461"/>
      <c r="Y107" s="461"/>
      <c r="Z107" s="461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1"/>
      <c r="AO107" s="461"/>
      <c r="AP107" s="461"/>
      <c r="AQ107" s="461"/>
      <c r="AR107" s="461"/>
    </row>
    <row r="108" spans="1:44" s="102" customFormat="1" ht="12" customHeight="1">
      <c r="A108" s="118">
        <v>29</v>
      </c>
      <c r="B108" s="102" t="s">
        <v>295</v>
      </c>
      <c r="C108" s="761">
        <v>46183</v>
      </c>
      <c r="D108" s="768">
        <v>10.199999999999999</v>
      </c>
      <c r="E108" s="768">
        <v>3.2</v>
      </c>
      <c r="F108" s="769" t="s">
        <v>18</v>
      </c>
      <c r="G108" s="757"/>
      <c r="H108" s="746"/>
      <c r="I108" s="746"/>
      <c r="J108" s="748"/>
      <c r="K108" s="748"/>
      <c r="L108" s="748"/>
      <c r="M108" s="748"/>
      <c r="N108" s="748"/>
      <c r="O108" s="748"/>
      <c r="P108" s="748"/>
      <c r="Q108" s="757"/>
      <c r="R108" s="461"/>
      <c r="S108" s="461"/>
      <c r="T108" s="461"/>
      <c r="U108" s="461"/>
      <c r="V108" s="461"/>
      <c r="W108" s="461"/>
      <c r="X108" s="461"/>
      <c r="Y108" s="461"/>
      <c r="Z108" s="461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1"/>
      <c r="AO108" s="461"/>
      <c r="AP108" s="461"/>
      <c r="AQ108" s="461"/>
      <c r="AR108" s="461"/>
    </row>
    <row r="109" spans="1:44" s="102" customFormat="1" ht="12" customHeight="1">
      <c r="A109" s="118">
        <v>30</v>
      </c>
      <c r="B109" s="102" t="s">
        <v>296</v>
      </c>
      <c r="C109" s="761">
        <v>46183</v>
      </c>
      <c r="D109" s="768">
        <v>4.7</v>
      </c>
      <c r="E109" s="768"/>
      <c r="F109" s="769" t="s">
        <v>18</v>
      </c>
      <c r="G109" s="757"/>
      <c r="H109" s="746"/>
      <c r="I109" s="746"/>
      <c r="J109" s="748"/>
      <c r="K109" s="748"/>
      <c r="L109" s="748"/>
      <c r="M109" s="748"/>
      <c r="N109" s="748"/>
      <c r="O109" s="748"/>
      <c r="P109" s="748"/>
      <c r="Q109" s="757"/>
      <c r="R109" s="461"/>
      <c r="S109" s="461"/>
      <c r="T109" s="461"/>
      <c r="U109" s="461"/>
      <c r="V109" s="461"/>
      <c r="W109" s="461"/>
      <c r="X109" s="461"/>
      <c r="Y109" s="461"/>
      <c r="Z109" s="461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1"/>
      <c r="AO109" s="461"/>
      <c r="AP109" s="461"/>
      <c r="AQ109" s="461"/>
      <c r="AR109" s="461"/>
    </row>
    <row r="110" spans="1:44">
      <c r="A110" s="1">
        <v>200</v>
      </c>
      <c r="B110" s="62" t="s">
        <v>97</v>
      </c>
      <c r="C110" s="758"/>
      <c r="D110" s="750" t="s">
        <v>452</v>
      </c>
      <c r="E110" s="751"/>
      <c r="F110" s="752"/>
      <c r="G110" s="751"/>
      <c r="H110" s="751"/>
      <c r="I110" s="751"/>
      <c r="J110" s="751"/>
      <c r="K110" s="752"/>
      <c r="L110" s="752"/>
      <c r="M110" s="752"/>
      <c r="N110" s="752"/>
      <c r="O110" s="752"/>
      <c r="P110" s="752"/>
      <c r="Q110" s="749"/>
      <c r="R110" s="462"/>
      <c r="S110" s="463"/>
      <c r="T110" s="464"/>
      <c r="U110" s="464"/>
      <c r="V110" s="460"/>
      <c r="W110" s="460"/>
      <c r="X110" s="460"/>
      <c r="Y110" s="460"/>
      <c r="Z110" s="460"/>
      <c r="AA110" s="460"/>
      <c r="AB110" s="460"/>
      <c r="AC110" s="460"/>
      <c r="AD110" s="460"/>
      <c r="AE110" s="460"/>
      <c r="AF110" s="460"/>
      <c r="AG110" s="460"/>
      <c r="AH110" s="460"/>
      <c r="AI110" s="460"/>
      <c r="AJ110" s="460"/>
      <c r="AK110" s="460"/>
      <c r="AL110" s="460"/>
      <c r="AM110" s="460"/>
      <c r="AN110" s="460"/>
      <c r="AO110" s="460"/>
      <c r="AP110" s="460"/>
      <c r="AQ110" s="460"/>
      <c r="AR110" s="460"/>
    </row>
    <row r="111" spans="1:44" s="460" customFormat="1" ht="17.25" customHeight="1">
      <c r="A111" s="473">
        <v>250</v>
      </c>
      <c r="B111" s="474" t="s">
        <v>26</v>
      </c>
      <c r="C111" s="764"/>
      <c r="D111" s="754"/>
      <c r="E111" s="754"/>
      <c r="F111" s="760"/>
      <c r="G111" s="754"/>
      <c r="H111" s="754"/>
      <c r="I111" s="754"/>
      <c r="J111" s="754"/>
      <c r="K111" s="755"/>
      <c r="L111" s="755"/>
      <c r="M111" s="755"/>
      <c r="N111" s="755"/>
      <c r="O111" s="755"/>
      <c r="P111" s="755"/>
      <c r="Q111" s="756"/>
      <c r="R111" s="465"/>
      <c r="S111" s="463"/>
      <c r="T111" s="464"/>
      <c r="U111" s="464"/>
    </row>
    <row r="112" spans="1:44" s="102" customFormat="1" ht="12" customHeight="1">
      <c r="A112" s="117">
        <v>3</v>
      </c>
      <c r="B112" s="102" t="s">
        <v>252</v>
      </c>
      <c r="C112" s="761"/>
      <c r="D112" s="746"/>
      <c r="E112" s="746"/>
      <c r="F112" s="747" t="s">
        <v>18</v>
      </c>
      <c r="G112" s="746"/>
      <c r="H112" s="746"/>
      <c r="I112" s="746"/>
      <c r="J112" s="748"/>
      <c r="K112" s="748"/>
      <c r="L112" s="748"/>
      <c r="M112" s="748"/>
      <c r="N112" s="748"/>
      <c r="O112" s="748"/>
      <c r="P112" s="748"/>
      <c r="Q112" s="749"/>
      <c r="R112" s="461"/>
      <c r="S112" s="461"/>
      <c r="T112" s="461"/>
      <c r="U112" s="461"/>
      <c r="V112" s="461"/>
      <c r="W112" s="461"/>
      <c r="X112" s="461"/>
      <c r="Y112" s="461"/>
      <c r="Z112" s="461"/>
      <c r="AA112" s="461"/>
      <c r="AB112" s="461"/>
      <c r="AC112" s="461"/>
      <c r="AD112" s="461"/>
      <c r="AE112" s="461"/>
      <c r="AF112" s="461"/>
      <c r="AG112" s="461"/>
      <c r="AH112" s="461"/>
      <c r="AI112" s="461"/>
      <c r="AJ112" s="461"/>
      <c r="AK112" s="461"/>
      <c r="AL112" s="461"/>
      <c r="AM112" s="461"/>
      <c r="AN112" s="461"/>
      <c r="AO112" s="461"/>
      <c r="AP112" s="461"/>
      <c r="AQ112" s="461"/>
      <c r="AR112" s="461"/>
    </row>
    <row r="113" spans="1:44" s="102" customFormat="1" ht="12" customHeight="1">
      <c r="A113" s="117">
        <v>5</v>
      </c>
      <c r="B113" s="102" t="s">
        <v>253</v>
      </c>
      <c r="C113" s="761"/>
      <c r="D113" s="746"/>
      <c r="E113" s="746"/>
      <c r="F113" s="747" t="s">
        <v>18</v>
      </c>
      <c r="G113" s="746"/>
      <c r="H113" s="746"/>
      <c r="I113" s="746"/>
      <c r="J113" s="748"/>
      <c r="K113" s="748"/>
      <c r="L113" s="748"/>
      <c r="M113" s="748"/>
      <c r="N113" s="748"/>
      <c r="O113" s="748"/>
      <c r="P113" s="748"/>
      <c r="Q113" s="749"/>
      <c r="R113" s="461"/>
      <c r="S113" s="461"/>
      <c r="T113" s="461"/>
      <c r="U113" s="461"/>
      <c r="V113" s="461"/>
      <c r="W113" s="461"/>
      <c r="X113" s="461"/>
      <c r="Y113" s="461"/>
      <c r="Z113" s="461"/>
      <c r="AA113" s="461"/>
      <c r="AB113" s="461"/>
      <c r="AC113" s="461"/>
      <c r="AD113" s="461"/>
      <c r="AE113" s="461"/>
      <c r="AF113" s="461"/>
      <c r="AG113" s="461"/>
      <c r="AH113" s="461"/>
      <c r="AI113" s="461"/>
      <c r="AJ113" s="461"/>
      <c r="AK113" s="461"/>
      <c r="AL113" s="461"/>
      <c r="AM113" s="461"/>
      <c r="AN113" s="461"/>
      <c r="AO113" s="461"/>
      <c r="AP113" s="461"/>
      <c r="AQ113" s="461"/>
      <c r="AR113" s="461"/>
    </row>
    <row r="114" spans="1:44" s="102" customFormat="1" ht="12" customHeight="1">
      <c r="A114" s="117">
        <v>6</v>
      </c>
      <c r="B114" s="102" t="s">
        <v>265</v>
      </c>
      <c r="C114" s="761"/>
      <c r="D114" s="746"/>
      <c r="E114" s="746"/>
      <c r="F114" s="747" t="s">
        <v>18</v>
      </c>
      <c r="G114" s="746"/>
      <c r="H114" s="746"/>
      <c r="I114" s="746"/>
      <c r="J114" s="748"/>
      <c r="K114" s="748"/>
      <c r="L114" s="748"/>
      <c r="M114" s="748"/>
      <c r="N114" s="748"/>
      <c r="O114" s="748"/>
      <c r="P114" s="748"/>
      <c r="Q114" s="749"/>
      <c r="R114" s="461"/>
      <c r="S114" s="461"/>
      <c r="T114" s="461"/>
      <c r="U114" s="461"/>
      <c r="V114" s="461"/>
      <c r="W114" s="461"/>
      <c r="X114" s="461"/>
      <c r="Y114" s="461"/>
      <c r="Z114" s="461"/>
      <c r="AA114" s="461"/>
      <c r="AB114" s="461"/>
      <c r="AC114" s="461"/>
      <c r="AD114" s="461"/>
      <c r="AE114" s="461"/>
      <c r="AF114" s="461"/>
      <c r="AG114" s="461"/>
      <c r="AH114" s="461"/>
      <c r="AI114" s="461"/>
      <c r="AJ114" s="461"/>
      <c r="AK114" s="461"/>
      <c r="AL114" s="461"/>
      <c r="AM114" s="461"/>
      <c r="AN114" s="461"/>
      <c r="AO114" s="461"/>
      <c r="AP114" s="461"/>
      <c r="AQ114" s="461"/>
      <c r="AR114" s="461"/>
    </row>
    <row r="115" spans="1:44" s="102" customFormat="1" ht="12" customHeight="1">
      <c r="A115" s="117">
        <v>7</v>
      </c>
      <c r="B115" s="102" t="s">
        <v>254</v>
      </c>
      <c r="C115" s="761"/>
      <c r="D115" s="746"/>
      <c r="E115" s="746"/>
      <c r="F115" s="747" t="s">
        <v>18</v>
      </c>
      <c r="G115" s="746"/>
      <c r="H115" s="746"/>
      <c r="I115" s="746"/>
      <c r="J115" s="748"/>
      <c r="K115" s="748"/>
      <c r="L115" s="748"/>
      <c r="M115" s="748"/>
      <c r="N115" s="748"/>
      <c r="O115" s="748"/>
      <c r="P115" s="748"/>
      <c r="Q115" s="749"/>
      <c r="R115" s="461"/>
      <c r="S115" s="461"/>
      <c r="T115" s="461"/>
      <c r="U115" s="461"/>
      <c r="V115" s="461"/>
      <c r="W115" s="461"/>
      <c r="X115" s="461"/>
      <c r="Y115" s="461"/>
      <c r="Z115" s="461"/>
      <c r="AA115" s="461"/>
      <c r="AB115" s="461"/>
      <c r="AC115" s="461"/>
      <c r="AD115" s="461"/>
      <c r="AE115" s="461"/>
      <c r="AF115" s="461"/>
      <c r="AG115" s="461"/>
      <c r="AH115" s="461"/>
      <c r="AI115" s="461"/>
      <c r="AJ115" s="461"/>
      <c r="AK115" s="461"/>
      <c r="AL115" s="461"/>
      <c r="AM115" s="461"/>
      <c r="AN115" s="461"/>
      <c r="AO115" s="461"/>
      <c r="AP115" s="461"/>
      <c r="AQ115" s="461"/>
      <c r="AR115" s="461"/>
    </row>
    <row r="116" spans="1:44" s="102" customFormat="1" ht="12" customHeight="1">
      <c r="A116" s="117">
        <v>9</v>
      </c>
      <c r="B116" s="102" t="s">
        <v>255</v>
      </c>
      <c r="C116" s="761"/>
      <c r="D116" s="746"/>
      <c r="E116" s="746"/>
      <c r="F116" s="747" t="s">
        <v>18</v>
      </c>
      <c r="G116" s="746"/>
      <c r="H116" s="746"/>
      <c r="I116" s="746"/>
      <c r="J116" s="748"/>
      <c r="K116" s="748"/>
      <c r="L116" s="748"/>
      <c r="M116" s="748"/>
      <c r="N116" s="748"/>
      <c r="O116" s="748"/>
      <c r="P116" s="748"/>
      <c r="Q116" s="749"/>
      <c r="R116" s="461"/>
      <c r="S116" s="461"/>
      <c r="T116" s="461"/>
      <c r="U116" s="461"/>
      <c r="V116" s="461"/>
      <c r="W116" s="461"/>
      <c r="X116" s="461"/>
      <c r="Y116" s="461"/>
      <c r="Z116" s="461"/>
      <c r="AA116" s="461"/>
      <c r="AB116" s="461"/>
      <c r="AC116" s="461"/>
      <c r="AD116" s="461"/>
      <c r="AE116" s="461"/>
      <c r="AF116" s="461"/>
      <c r="AG116" s="461"/>
      <c r="AH116" s="461"/>
      <c r="AI116" s="461"/>
      <c r="AJ116" s="461"/>
      <c r="AK116" s="461"/>
      <c r="AL116" s="461"/>
      <c r="AM116" s="461"/>
      <c r="AN116" s="461"/>
      <c r="AO116" s="461"/>
      <c r="AP116" s="461"/>
      <c r="AQ116" s="461"/>
      <c r="AR116" s="461"/>
    </row>
    <row r="117" spans="1:44" s="102" customFormat="1" ht="12" customHeight="1">
      <c r="A117" s="117">
        <v>11</v>
      </c>
      <c r="B117" s="102" t="s">
        <v>256</v>
      </c>
      <c r="C117" s="761"/>
      <c r="D117" s="746"/>
      <c r="E117" s="746"/>
      <c r="F117" s="747" t="s">
        <v>18</v>
      </c>
      <c r="G117" s="746"/>
      <c r="H117" s="746"/>
      <c r="I117" s="746"/>
      <c r="J117" s="748"/>
      <c r="K117" s="748"/>
      <c r="L117" s="748"/>
      <c r="M117" s="748"/>
      <c r="N117" s="748"/>
      <c r="O117" s="748"/>
      <c r="P117" s="748"/>
      <c r="Q117" s="749"/>
      <c r="R117" s="461"/>
      <c r="S117" s="461"/>
      <c r="T117" s="461"/>
      <c r="U117" s="461"/>
      <c r="V117" s="461"/>
      <c r="W117" s="461"/>
      <c r="X117" s="461"/>
      <c r="Y117" s="461"/>
      <c r="Z117" s="461"/>
      <c r="AA117" s="461"/>
      <c r="AB117" s="461"/>
      <c r="AC117" s="461"/>
      <c r="AD117" s="461"/>
      <c r="AE117" s="461"/>
      <c r="AF117" s="461"/>
      <c r="AG117" s="461"/>
      <c r="AH117" s="461"/>
      <c r="AI117" s="461"/>
      <c r="AJ117" s="461"/>
      <c r="AK117" s="461"/>
      <c r="AL117" s="461"/>
      <c r="AM117" s="461"/>
      <c r="AN117" s="461"/>
      <c r="AO117" s="461"/>
      <c r="AP117" s="461"/>
      <c r="AQ117" s="461"/>
      <c r="AR117" s="461"/>
    </row>
    <row r="118" spans="1:44" s="102" customFormat="1" ht="12" customHeight="1">
      <c r="A118" s="117">
        <v>13</v>
      </c>
      <c r="B118" s="102" t="s">
        <v>257</v>
      </c>
      <c r="C118" s="761"/>
      <c r="D118" s="746"/>
      <c r="E118" s="746"/>
      <c r="F118" s="747" t="s">
        <v>18</v>
      </c>
      <c r="G118" s="746"/>
      <c r="H118" s="746"/>
      <c r="I118" s="746"/>
      <c r="J118" s="748"/>
      <c r="K118" s="748"/>
      <c r="L118" s="748"/>
      <c r="M118" s="748"/>
      <c r="N118" s="748"/>
      <c r="O118" s="748"/>
      <c r="P118" s="748"/>
      <c r="Q118" s="749"/>
      <c r="R118" s="461"/>
      <c r="S118" s="461"/>
      <c r="T118" s="461"/>
      <c r="U118" s="461"/>
      <c r="V118" s="461"/>
      <c r="W118" s="461"/>
      <c r="X118" s="461"/>
      <c r="Y118" s="461"/>
      <c r="Z118" s="461"/>
      <c r="AA118" s="461"/>
      <c r="AB118" s="461"/>
      <c r="AC118" s="461"/>
      <c r="AD118" s="461"/>
      <c r="AE118" s="461"/>
      <c r="AF118" s="461"/>
      <c r="AG118" s="461"/>
      <c r="AH118" s="461"/>
      <c r="AI118" s="461"/>
      <c r="AJ118" s="461"/>
      <c r="AK118" s="461"/>
      <c r="AL118" s="461"/>
      <c r="AM118" s="461"/>
      <c r="AN118" s="461"/>
      <c r="AO118" s="461"/>
      <c r="AP118" s="461"/>
      <c r="AQ118" s="461"/>
      <c r="AR118" s="461"/>
    </row>
    <row r="119" spans="1:44" s="102" customFormat="1" ht="12" customHeight="1">
      <c r="A119" s="117">
        <v>15</v>
      </c>
      <c r="B119" s="102" t="s">
        <v>258</v>
      </c>
      <c r="C119" s="761"/>
      <c r="D119" s="746"/>
      <c r="E119" s="746"/>
      <c r="F119" s="747" t="s">
        <v>18</v>
      </c>
      <c r="G119" s="746"/>
      <c r="H119" s="746"/>
      <c r="I119" s="746"/>
      <c r="J119" s="748"/>
      <c r="K119" s="748"/>
      <c r="L119" s="748"/>
      <c r="M119" s="748"/>
      <c r="N119" s="748"/>
      <c r="O119" s="748"/>
      <c r="P119" s="748"/>
      <c r="Q119" s="749"/>
      <c r="R119" s="461"/>
      <c r="S119" s="461"/>
      <c r="T119" s="461"/>
      <c r="U119" s="461"/>
      <c r="V119" s="461"/>
      <c r="W119" s="461"/>
      <c r="X119" s="461"/>
      <c r="Y119" s="461"/>
      <c r="Z119" s="461"/>
      <c r="AA119" s="461"/>
      <c r="AB119" s="461"/>
      <c r="AC119" s="461"/>
      <c r="AD119" s="461"/>
      <c r="AE119" s="461"/>
      <c r="AF119" s="461"/>
      <c r="AG119" s="461"/>
      <c r="AH119" s="461"/>
      <c r="AI119" s="461"/>
      <c r="AJ119" s="461"/>
      <c r="AK119" s="461"/>
      <c r="AL119" s="461"/>
      <c r="AM119" s="461"/>
      <c r="AN119" s="461"/>
      <c r="AO119" s="461"/>
      <c r="AP119" s="461"/>
      <c r="AQ119" s="461"/>
      <c r="AR119" s="461"/>
    </row>
    <row r="120" spans="1:44" s="102" customFormat="1" ht="12" customHeight="1">
      <c r="A120" s="117">
        <v>17</v>
      </c>
      <c r="B120" s="102" t="s">
        <v>259</v>
      </c>
      <c r="C120" s="761"/>
      <c r="D120" s="746"/>
      <c r="E120" s="746"/>
      <c r="F120" s="747" t="s">
        <v>18</v>
      </c>
      <c r="G120" s="746"/>
      <c r="H120" s="746"/>
      <c r="I120" s="746"/>
      <c r="J120" s="748"/>
      <c r="K120" s="748"/>
      <c r="L120" s="748"/>
      <c r="M120" s="748"/>
      <c r="N120" s="748"/>
      <c r="O120" s="748"/>
      <c r="P120" s="748"/>
      <c r="Q120" s="749"/>
      <c r="R120" s="461"/>
      <c r="S120" s="461"/>
      <c r="T120" s="461"/>
      <c r="U120" s="461"/>
      <c r="V120" s="461"/>
      <c r="W120" s="461"/>
      <c r="X120" s="461"/>
      <c r="Y120" s="461"/>
      <c r="Z120" s="461"/>
      <c r="AA120" s="461"/>
      <c r="AB120" s="461"/>
      <c r="AC120" s="461"/>
      <c r="AD120" s="461"/>
      <c r="AE120" s="461"/>
      <c r="AF120" s="461"/>
      <c r="AG120" s="461"/>
      <c r="AH120" s="461"/>
      <c r="AI120" s="461"/>
      <c r="AJ120" s="461"/>
      <c r="AK120" s="461"/>
      <c r="AL120" s="461"/>
      <c r="AM120" s="461"/>
      <c r="AN120" s="461"/>
      <c r="AO120" s="461"/>
      <c r="AP120" s="461"/>
      <c r="AQ120" s="461"/>
      <c r="AR120" s="461"/>
    </row>
    <row r="121" spans="1:44" s="102" customFormat="1" ht="12" customHeight="1">
      <c r="A121" s="117">
        <v>18</v>
      </c>
      <c r="B121" s="102" t="s">
        <v>266</v>
      </c>
      <c r="C121" s="761"/>
      <c r="D121" s="746"/>
      <c r="E121" s="746"/>
      <c r="F121" s="747" t="s">
        <v>18</v>
      </c>
      <c r="G121" s="746"/>
      <c r="H121" s="746"/>
      <c r="I121" s="746"/>
      <c r="J121" s="748"/>
      <c r="K121" s="748"/>
      <c r="L121" s="748"/>
      <c r="M121" s="748"/>
      <c r="N121" s="748"/>
      <c r="O121" s="748"/>
      <c r="P121" s="748"/>
      <c r="Q121" s="749"/>
      <c r="R121" s="461"/>
      <c r="S121" s="461"/>
      <c r="T121" s="461"/>
      <c r="U121" s="461"/>
      <c r="V121" s="461"/>
      <c r="W121" s="461"/>
      <c r="X121" s="461"/>
      <c r="Y121" s="461"/>
      <c r="Z121" s="461"/>
      <c r="AA121" s="461"/>
      <c r="AB121" s="461"/>
      <c r="AC121" s="461"/>
      <c r="AD121" s="461"/>
      <c r="AE121" s="461"/>
      <c r="AF121" s="461"/>
      <c r="AG121" s="461"/>
      <c r="AH121" s="461"/>
      <c r="AI121" s="461"/>
      <c r="AJ121" s="461"/>
      <c r="AK121" s="461"/>
      <c r="AL121" s="461"/>
      <c r="AM121" s="461"/>
      <c r="AN121" s="461"/>
      <c r="AO121" s="461"/>
      <c r="AP121" s="461"/>
      <c r="AQ121" s="461"/>
      <c r="AR121" s="461"/>
    </row>
    <row r="122" spans="1:44" s="102" customFormat="1" ht="12" customHeight="1">
      <c r="A122" s="118">
        <v>19</v>
      </c>
      <c r="B122" s="102" t="s">
        <v>260</v>
      </c>
      <c r="C122" s="761"/>
      <c r="D122" s="746"/>
      <c r="E122" s="746"/>
      <c r="F122" s="747" t="s">
        <v>18</v>
      </c>
      <c r="G122" s="746"/>
      <c r="H122" s="746"/>
      <c r="I122" s="746"/>
      <c r="J122" s="748"/>
      <c r="K122" s="748"/>
      <c r="L122" s="748"/>
      <c r="M122" s="748"/>
      <c r="N122" s="748"/>
      <c r="O122" s="748"/>
      <c r="P122" s="748"/>
      <c r="Q122" s="749"/>
      <c r="R122" s="461"/>
      <c r="S122" s="461"/>
      <c r="T122" s="461"/>
      <c r="U122" s="461"/>
      <c r="V122" s="461"/>
      <c r="W122" s="461"/>
      <c r="X122" s="461"/>
      <c r="Y122" s="461"/>
      <c r="Z122" s="461"/>
      <c r="AA122" s="461"/>
      <c r="AB122" s="461"/>
      <c r="AC122" s="461"/>
      <c r="AD122" s="461"/>
      <c r="AE122" s="461"/>
      <c r="AF122" s="461"/>
      <c r="AG122" s="461"/>
      <c r="AH122" s="461"/>
      <c r="AI122" s="461"/>
      <c r="AJ122" s="461"/>
      <c r="AK122" s="461"/>
      <c r="AL122" s="461"/>
      <c r="AM122" s="461"/>
      <c r="AN122" s="461"/>
      <c r="AO122" s="461"/>
      <c r="AP122" s="461"/>
      <c r="AQ122" s="461"/>
      <c r="AR122" s="461"/>
    </row>
    <row r="123" spans="1:44" s="102" customFormat="1" ht="12" customHeight="1">
      <c r="A123" s="118">
        <v>20</v>
      </c>
      <c r="B123" s="102" t="s">
        <v>267</v>
      </c>
      <c r="C123" s="761"/>
      <c r="D123" s="746"/>
      <c r="E123" s="746"/>
      <c r="F123" s="747" t="s">
        <v>18</v>
      </c>
      <c r="G123" s="746"/>
      <c r="H123" s="746"/>
      <c r="I123" s="746"/>
      <c r="J123" s="748"/>
      <c r="K123" s="748"/>
      <c r="L123" s="748"/>
      <c r="M123" s="748"/>
      <c r="N123" s="748"/>
      <c r="O123" s="748"/>
      <c r="P123" s="748"/>
      <c r="Q123" s="749"/>
      <c r="R123" s="461"/>
      <c r="S123" s="461"/>
      <c r="T123" s="461"/>
      <c r="U123" s="461"/>
      <c r="V123" s="461"/>
      <c r="W123" s="461"/>
      <c r="X123" s="461"/>
      <c r="Y123" s="461"/>
      <c r="Z123" s="461"/>
      <c r="AA123" s="461"/>
      <c r="AB123" s="461"/>
      <c r="AC123" s="461"/>
      <c r="AD123" s="461"/>
      <c r="AE123" s="461"/>
      <c r="AF123" s="461"/>
      <c r="AG123" s="461"/>
      <c r="AH123" s="461"/>
      <c r="AI123" s="461"/>
      <c r="AJ123" s="461"/>
      <c r="AK123" s="461"/>
      <c r="AL123" s="461"/>
      <c r="AM123" s="461"/>
      <c r="AN123" s="461"/>
      <c r="AO123" s="461"/>
      <c r="AP123" s="461"/>
      <c r="AQ123" s="461"/>
      <c r="AR123" s="461"/>
    </row>
    <row r="124" spans="1:44" s="102" customFormat="1" ht="12" customHeight="1">
      <c r="A124" s="117">
        <v>21</v>
      </c>
      <c r="B124" s="102" t="s">
        <v>261</v>
      </c>
      <c r="C124" s="761"/>
      <c r="D124" s="746"/>
      <c r="E124" s="746"/>
      <c r="F124" s="747" t="s">
        <v>18</v>
      </c>
      <c r="G124" s="746"/>
      <c r="H124" s="746"/>
      <c r="I124" s="746"/>
      <c r="J124" s="748"/>
      <c r="K124" s="748"/>
      <c r="L124" s="748"/>
      <c r="M124" s="748"/>
      <c r="N124" s="748"/>
      <c r="O124" s="748"/>
      <c r="P124" s="748"/>
      <c r="Q124" s="749"/>
      <c r="R124" s="461"/>
      <c r="S124" s="461"/>
      <c r="T124" s="461"/>
      <c r="U124" s="461"/>
      <c r="V124" s="461"/>
      <c r="W124" s="461"/>
      <c r="X124" s="461"/>
      <c r="Y124" s="461"/>
      <c r="Z124" s="461"/>
      <c r="AA124" s="461"/>
      <c r="AB124" s="461"/>
      <c r="AC124" s="461"/>
      <c r="AD124" s="461"/>
      <c r="AE124" s="461"/>
      <c r="AF124" s="461"/>
      <c r="AG124" s="461"/>
      <c r="AH124" s="461"/>
      <c r="AI124" s="461"/>
      <c r="AJ124" s="461"/>
      <c r="AK124" s="461"/>
      <c r="AL124" s="461"/>
      <c r="AM124" s="461"/>
      <c r="AN124" s="461"/>
      <c r="AO124" s="461"/>
      <c r="AP124" s="461"/>
      <c r="AQ124" s="461"/>
      <c r="AR124" s="461"/>
    </row>
    <row r="125" spans="1:44" s="102" customFormat="1" ht="12" customHeight="1">
      <c r="A125" s="117">
        <v>22</v>
      </c>
      <c r="B125" s="102" t="s">
        <v>268</v>
      </c>
      <c r="C125" s="761"/>
      <c r="D125" s="746"/>
      <c r="E125" s="746"/>
      <c r="F125" s="747" t="s">
        <v>18</v>
      </c>
      <c r="G125" s="746"/>
      <c r="H125" s="746"/>
      <c r="I125" s="746"/>
      <c r="J125" s="748"/>
      <c r="K125" s="748"/>
      <c r="L125" s="748"/>
      <c r="M125" s="748"/>
      <c r="N125" s="748"/>
      <c r="O125" s="748"/>
      <c r="P125" s="748"/>
      <c r="Q125" s="749"/>
      <c r="R125" s="461"/>
      <c r="S125" s="461"/>
      <c r="T125" s="461"/>
      <c r="U125" s="461"/>
      <c r="V125" s="461"/>
      <c r="W125" s="461"/>
      <c r="X125" s="461"/>
      <c r="Y125" s="461"/>
      <c r="Z125" s="461"/>
      <c r="AA125" s="461"/>
      <c r="AB125" s="461"/>
      <c r="AC125" s="461"/>
      <c r="AD125" s="461"/>
      <c r="AE125" s="461"/>
      <c r="AF125" s="461"/>
      <c r="AG125" s="461"/>
      <c r="AH125" s="461"/>
      <c r="AI125" s="461"/>
      <c r="AJ125" s="461"/>
      <c r="AK125" s="461"/>
      <c r="AL125" s="461"/>
      <c r="AM125" s="461"/>
      <c r="AN125" s="461"/>
      <c r="AO125" s="461"/>
      <c r="AP125" s="461"/>
      <c r="AQ125" s="461"/>
      <c r="AR125" s="461"/>
    </row>
    <row r="126" spans="1:44" s="102" customFormat="1" ht="12" customHeight="1">
      <c r="A126" s="117">
        <v>23</v>
      </c>
      <c r="B126" s="102" t="s">
        <v>297</v>
      </c>
      <c r="C126" s="761"/>
      <c r="D126" s="746"/>
      <c r="E126" s="746"/>
      <c r="F126" s="747" t="s">
        <v>18</v>
      </c>
      <c r="G126" s="746"/>
      <c r="H126" s="746"/>
      <c r="I126" s="746"/>
      <c r="J126" s="748"/>
      <c r="K126" s="748"/>
      <c r="L126" s="748"/>
      <c r="M126" s="748"/>
      <c r="N126" s="748"/>
      <c r="O126" s="748"/>
      <c r="P126" s="748"/>
      <c r="Q126" s="749"/>
      <c r="R126" s="461"/>
      <c r="S126" s="461"/>
      <c r="T126" s="461"/>
      <c r="U126" s="461"/>
      <c r="V126" s="461"/>
      <c r="W126" s="461"/>
      <c r="X126" s="461"/>
      <c r="Y126" s="461"/>
      <c r="Z126" s="461"/>
      <c r="AA126" s="461"/>
      <c r="AB126" s="461"/>
      <c r="AC126" s="461"/>
      <c r="AD126" s="461"/>
      <c r="AE126" s="461"/>
      <c r="AF126" s="461"/>
      <c r="AG126" s="461"/>
      <c r="AH126" s="461"/>
      <c r="AI126" s="461"/>
      <c r="AJ126" s="461"/>
      <c r="AK126" s="461"/>
      <c r="AL126" s="461"/>
      <c r="AM126" s="461"/>
      <c r="AN126" s="461"/>
      <c r="AO126" s="461"/>
      <c r="AP126" s="461"/>
      <c r="AQ126" s="461"/>
      <c r="AR126" s="461"/>
    </row>
    <row r="127" spans="1:44" s="102" customFormat="1" ht="12" customHeight="1">
      <c r="A127" s="117">
        <v>24</v>
      </c>
      <c r="B127" s="102" t="s">
        <v>269</v>
      </c>
      <c r="C127" s="761"/>
      <c r="D127" s="746"/>
      <c r="E127" s="746"/>
      <c r="F127" s="747" t="s">
        <v>18</v>
      </c>
      <c r="G127" s="746"/>
      <c r="H127" s="746"/>
      <c r="I127" s="746"/>
      <c r="J127" s="748"/>
      <c r="K127" s="748"/>
      <c r="L127" s="748"/>
      <c r="M127" s="748"/>
      <c r="N127" s="748"/>
      <c r="O127" s="748"/>
      <c r="P127" s="748"/>
      <c r="Q127" s="749"/>
      <c r="R127" s="461"/>
      <c r="S127" s="461"/>
      <c r="T127" s="461"/>
      <c r="U127" s="461"/>
      <c r="V127" s="461"/>
      <c r="W127" s="461"/>
      <c r="X127" s="461"/>
      <c r="Y127" s="461"/>
      <c r="Z127" s="461"/>
      <c r="AA127" s="461"/>
      <c r="AB127" s="461"/>
      <c r="AC127" s="461"/>
      <c r="AD127" s="461"/>
      <c r="AE127" s="461"/>
      <c r="AF127" s="461"/>
      <c r="AG127" s="461"/>
      <c r="AH127" s="461"/>
      <c r="AI127" s="461"/>
      <c r="AJ127" s="461"/>
      <c r="AK127" s="461"/>
      <c r="AL127" s="461"/>
      <c r="AM127" s="461"/>
      <c r="AN127" s="461"/>
      <c r="AO127" s="461"/>
      <c r="AP127" s="461"/>
      <c r="AQ127" s="461"/>
      <c r="AR127" s="461"/>
    </row>
    <row r="128" spans="1:44" s="102" customFormat="1" ht="12" customHeight="1">
      <c r="A128" s="117">
        <v>25</v>
      </c>
      <c r="B128" s="102" t="s">
        <v>263</v>
      </c>
      <c r="C128" s="761"/>
      <c r="D128" s="746"/>
      <c r="E128" s="746"/>
      <c r="F128" s="747" t="s">
        <v>18</v>
      </c>
      <c r="G128" s="746"/>
      <c r="H128" s="746"/>
      <c r="I128" s="746"/>
      <c r="J128" s="748"/>
      <c r="K128" s="748"/>
      <c r="L128" s="748"/>
      <c r="M128" s="748"/>
      <c r="N128" s="748"/>
      <c r="O128" s="748"/>
      <c r="P128" s="748"/>
      <c r="Q128" s="749"/>
      <c r="R128" s="461"/>
      <c r="S128" s="461"/>
      <c r="T128" s="461"/>
      <c r="U128" s="461"/>
      <c r="V128" s="461"/>
      <c r="W128" s="461"/>
      <c r="X128" s="461"/>
      <c r="Y128" s="461"/>
      <c r="Z128" s="461"/>
      <c r="AA128" s="461"/>
      <c r="AB128" s="461"/>
      <c r="AC128" s="461"/>
      <c r="AD128" s="461"/>
      <c r="AE128" s="461"/>
      <c r="AF128" s="461"/>
      <c r="AG128" s="461"/>
      <c r="AH128" s="461"/>
      <c r="AI128" s="461"/>
      <c r="AJ128" s="461"/>
      <c r="AK128" s="461"/>
      <c r="AL128" s="461"/>
      <c r="AM128" s="461"/>
      <c r="AN128" s="461"/>
      <c r="AO128" s="461"/>
      <c r="AP128" s="461"/>
      <c r="AQ128" s="461"/>
      <c r="AR128" s="461"/>
    </row>
    <row r="129" spans="1:44" s="102" customFormat="1" ht="12" customHeight="1">
      <c r="A129" s="117">
        <v>27</v>
      </c>
      <c r="B129" s="102" t="s">
        <v>264</v>
      </c>
      <c r="C129" s="761"/>
      <c r="D129" s="746"/>
      <c r="E129" s="746"/>
      <c r="F129" s="747" t="s">
        <v>18</v>
      </c>
      <c r="G129" s="746"/>
      <c r="H129" s="746"/>
      <c r="I129" s="746"/>
      <c r="J129" s="748"/>
      <c r="K129" s="748"/>
      <c r="L129" s="748"/>
      <c r="M129" s="748"/>
      <c r="N129" s="748"/>
      <c r="O129" s="748"/>
      <c r="P129" s="748"/>
      <c r="Q129" s="749"/>
      <c r="R129" s="461"/>
      <c r="S129" s="461"/>
      <c r="T129" s="461"/>
      <c r="U129" s="461"/>
      <c r="V129" s="461"/>
      <c r="W129" s="461"/>
      <c r="X129" s="461"/>
      <c r="Y129" s="461"/>
      <c r="Z129" s="461"/>
      <c r="AA129" s="461"/>
      <c r="AB129" s="461"/>
      <c r="AC129" s="461"/>
      <c r="AD129" s="461"/>
      <c r="AE129" s="461"/>
      <c r="AF129" s="461"/>
      <c r="AG129" s="461"/>
      <c r="AH129" s="461"/>
      <c r="AI129" s="461"/>
      <c r="AJ129" s="461"/>
      <c r="AK129" s="461"/>
      <c r="AL129" s="461"/>
      <c r="AM129" s="461"/>
      <c r="AN129" s="461"/>
      <c r="AO129" s="461"/>
      <c r="AP129" s="461"/>
      <c r="AQ129" s="461"/>
      <c r="AR129" s="461"/>
    </row>
    <row r="130" spans="1:44" s="102" customFormat="1" ht="12" customHeight="1">
      <c r="A130" s="118">
        <v>29</v>
      </c>
      <c r="B130" s="102" t="s">
        <v>295</v>
      </c>
      <c r="C130" s="761"/>
      <c r="D130" s="746"/>
      <c r="E130" s="746"/>
      <c r="F130" s="747" t="s">
        <v>18</v>
      </c>
      <c r="G130" s="746"/>
      <c r="H130" s="746"/>
      <c r="I130" s="746"/>
      <c r="J130" s="748"/>
      <c r="K130" s="748"/>
      <c r="L130" s="748"/>
      <c r="M130" s="748"/>
      <c r="N130" s="748"/>
      <c r="O130" s="748"/>
      <c r="P130" s="748"/>
      <c r="Q130" s="749"/>
      <c r="R130" s="461"/>
      <c r="S130" s="461"/>
      <c r="T130" s="461"/>
      <c r="U130" s="461"/>
      <c r="V130" s="461"/>
      <c r="W130" s="461"/>
      <c r="X130" s="461"/>
      <c r="Y130" s="461"/>
      <c r="Z130" s="461"/>
      <c r="AA130" s="461"/>
      <c r="AB130" s="461"/>
      <c r="AC130" s="461"/>
      <c r="AD130" s="461"/>
      <c r="AE130" s="461"/>
      <c r="AF130" s="461"/>
      <c r="AG130" s="461"/>
      <c r="AH130" s="461"/>
      <c r="AI130" s="461"/>
      <c r="AJ130" s="461"/>
      <c r="AK130" s="461"/>
      <c r="AL130" s="461"/>
      <c r="AM130" s="461"/>
      <c r="AN130" s="461"/>
      <c r="AO130" s="461"/>
      <c r="AP130" s="461"/>
      <c r="AQ130" s="461"/>
      <c r="AR130" s="461"/>
    </row>
    <row r="131" spans="1:44" s="102" customFormat="1" ht="12" customHeight="1">
      <c r="A131" s="118">
        <v>30</v>
      </c>
      <c r="B131" s="102" t="s">
        <v>296</v>
      </c>
      <c r="C131" s="761"/>
      <c r="D131" s="746"/>
      <c r="E131" s="746"/>
      <c r="F131" s="747" t="s">
        <v>18</v>
      </c>
      <c r="G131" s="746"/>
      <c r="H131" s="746"/>
      <c r="I131" s="746"/>
      <c r="J131" s="748"/>
      <c r="K131" s="748"/>
      <c r="L131" s="748"/>
      <c r="M131" s="748"/>
      <c r="N131" s="748"/>
      <c r="O131" s="748"/>
      <c r="P131" s="748"/>
      <c r="Q131" s="749"/>
      <c r="R131" s="461"/>
      <c r="S131" s="461"/>
      <c r="T131" s="461"/>
      <c r="U131" s="461"/>
      <c r="V131" s="461"/>
      <c r="W131" s="461"/>
      <c r="X131" s="461"/>
      <c r="Y131" s="461"/>
      <c r="Z131" s="461"/>
      <c r="AA131" s="461"/>
      <c r="AB131" s="461"/>
      <c r="AC131" s="461"/>
      <c r="AD131" s="461"/>
      <c r="AE131" s="461"/>
      <c r="AF131" s="461"/>
      <c r="AG131" s="461"/>
      <c r="AH131" s="461"/>
      <c r="AI131" s="461"/>
      <c r="AJ131" s="461"/>
      <c r="AK131" s="461"/>
      <c r="AL131" s="461"/>
      <c r="AM131" s="461"/>
      <c r="AN131" s="461"/>
      <c r="AO131" s="461"/>
      <c r="AP131" s="461"/>
      <c r="AQ131" s="461"/>
      <c r="AR131" s="461"/>
    </row>
    <row r="132" spans="1:44">
      <c r="A132" s="1">
        <v>200</v>
      </c>
      <c r="B132" s="62" t="s">
        <v>97</v>
      </c>
      <c r="C132" s="758"/>
      <c r="D132" s="750" t="s">
        <v>401</v>
      </c>
      <c r="E132" s="751"/>
      <c r="F132" s="747"/>
      <c r="G132" s="751"/>
      <c r="H132" s="751"/>
      <c r="I132" s="751"/>
      <c r="J132" s="751"/>
      <c r="K132" s="752"/>
      <c r="L132" s="752"/>
      <c r="M132" s="752"/>
      <c r="N132" s="752"/>
      <c r="O132" s="752"/>
      <c r="P132" s="752"/>
      <c r="Q132" s="749"/>
      <c r="R132" s="462"/>
      <c r="S132" s="463"/>
      <c r="T132" s="464"/>
      <c r="U132" s="464"/>
      <c r="V132" s="460"/>
      <c r="W132" s="460"/>
      <c r="X132" s="460"/>
      <c r="Y132" s="460"/>
      <c r="Z132" s="460"/>
      <c r="AA132" s="460"/>
      <c r="AB132" s="460"/>
      <c r="AC132" s="460"/>
      <c r="AD132" s="460"/>
      <c r="AE132" s="460"/>
      <c r="AF132" s="460"/>
      <c r="AG132" s="460"/>
      <c r="AH132" s="460"/>
      <c r="AI132" s="460"/>
      <c r="AJ132" s="460"/>
      <c r="AK132" s="460"/>
      <c r="AL132" s="460"/>
      <c r="AM132" s="460"/>
      <c r="AN132" s="460"/>
      <c r="AO132" s="460"/>
      <c r="AP132" s="460"/>
      <c r="AQ132" s="460"/>
      <c r="AR132" s="460"/>
    </row>
    <row r="133" spans="1:44" s="460" customFormat="1" ht="17.25" customHeight="1">
      <c r="A133" s="473">
        <v>250</v>
      </c>
      <c r="B133" s="474" t="s">
        <v>27</v>
      </c>
      <c r="C133" s="770"/>
      <c r="D133" s="754"/>
      <c r="E133" s="754"/>
      <c r="F133" s="760"/>
      <c r="G133" s="754"/>
      <c r="H133" s="754"/>
      <c r="I133" s="754"/>
      <c r="J133" s="754"/>
      <c r="K133" s="755"/>
      <c r="L133" s="755"/>
      <c r="M133" s="755"/>
      <c r="N133" s="755"/>
      <c r="O133" s="755"/>
      <c r="P133" s="755"/>
      <c r="Q133" s="756"/>
      <c r="R133" s="465"/>
      <c r="S133" s="463"/>
      <c r="T133" s="464"/>
      <c r="U133" s="464"/>
    </row>
    <row r="134" spans="1:44" s="102" customFormat="1" ht="12" customHeight="1">
      <c r="A134" s="117">
        <v>3</v>
      </c>
      <c r="B134" s="102" t="s">
        <v>252</v>
      </c>
      <c r="C134" s="761"/>
      <c r="D134" s="746"/>
      <c r="E134" s="746"/>
      <c r="F134" s="747" t="s">
        <v>18</v>
      </c>
      <c r="G134" s="746"/>
      <c r="H134" s="748"/>
      <c r="I134" s="746"/>
      <c r="J134" s="748"/>
      <c r="K134" s="748"/>
      <c r="L134" s="748"/>
      <c r="M134" s="748"/>
      <c r="N134" s="748"/>
      <c r="O134" s="748"/>
      <c r="P134" s="748"/>
      <c r="Q134" s="749"/>
      <c r="R134" s="461"/>
      <c r="S134" s="461"/>
      <c r="T134" s="461"/>
      <c r="U134" s="461"/>
      <c r="V134" s="461"/>
      <c r="W134" s="461"/>
      <c r="X134" s="461"/>
      <c r="Y134" s="461"/>
      <c r="Z134" s="461"/>
      <c r="AA134" s="461"/>
      <c r="AB134" s="461"/>
      <c r="AC134" s="461"/>
      <c r="AD134" s="461"/>
      <c r="AE134" s="461"/>
      <c r="AF134" s="461"/>
      <c r="AG134" s="461"/>
      <c r="AH134" s="461"/>
      <c r="AI134" s="461"/>
      <c r="AJ134" s="461"/>
      <c r="AK134" s="461"/>
      <c r="AL134" s="461"/>
      <c r="AM134" s="461"/>
      <c r="AN134" s="461"/>
      <c r="AO134" s="461"/>
      <c r="AP134" s="461"/>
      <c r="AQ134" s="461"/>
      <c r="AR134" s="461"/>
    </row>
    <row r="135" spans="1:44" s="102" customFormat="1" ht="12" customHeight="1">
      <c r="A135" s="117">
        <v>6</v>
      </c>
      <c r="B135" s="102" t="s">
        <v>265</v>
      </c>
      <c r="C135" s="761"/>
      <c r="D135" s="746"/>
      <c r="E135" s="746"/>
      <c r="F135" s="747" t="s">
        <v>18</v>
      </c>
      <c r="G135" s="746"/>
      <c r="H135" s="746"/>
      <c r="I135" s="746"/>
      <c r="J135" s="748"/>
      <c r="K135" s="748"/>
      <c r="L135" s="748"/>
      <c r="M135" s="748"/>
      <c r="N135" s="748"/>
      <c r="O135" s="748"/>
      <c r="P135" s="748"/>
      <c r="Q135" s="749"/>
      <c r="R135" s="461"/>
      <c r="S135" s="461"/>
      <c r="T135" s="461"/>
      <c r="U135" s="461"/>
      <c r="V135" s="461"/>
      <c r="W135" s="461"/>
      <c r="X135" s="461"/>
      <c r="Y135" s="461"/>
      <c r="Z135" s="461"/>
      <c r="AA135" s="461"/>
      <c r="AB135" s="461"/>
      <c r="AC135" s="461"/>
      <c r="AD135" s="461"/>
      <c r="AE135" s="461"/>
      <c r="AF135" s="461"/>
      <c r="AG135" s="461"/>
      <c r="AH135" s="461"/>
      <c r="AI135" s="461"/>
      <c r="AJ135" s="461"/>
      <c r="AK135" s="461"/>
      <c r="AL135" s="461"/>
      <c r="AM135" s="461"/>
      <c r="AN135" s="461"/>
      <c r="AO135" s="461"/>
      <c r="AP135" s="461"/>
      <c r="AQ135" s="461"/>
      <c r="AR135" s="461"/>
    </row>
    <row r="136" spans="1:44" s="102" customFormat="1" ht="12" customHeight="1">
      <c r="A136" s="117">
        <v>7</v>
      </c>
      <c r="B136" s="102" t="s">
        <v>254</v>
      </c>
      <c r="C136" s="761"/>
      <c r="D136" s="746"/>
      <c r="E136" s="746"/>
      <c r="F136" s="747" t="s">
        <v>18</v>
      </c>
      <c r="G136" s="746"/>
      <c r="H136" s="748"/>
      <c r="I136" s="746"/>
      <c r="J136" s="748"/>
      <c r="K136" s="748"/>
      <c r="L136" s="748"/>
      <c r="M136" s="748"/>
      <c r="N136" s="748"/>
      <c r="O136" s="748"/>
      <c r="P136" s="748"/>
      <c r="Q136" s="749"/>
      <c r="R136" s="461"/>
      <c r="S136" s="461"/>
      <c r="T136" s="461"/>
      <c r="U136" s="461"/>
      <c r="V136" s="461"/>
      <c r="W136" s="461"/>
      <c r="X136" s="461"/>
      <c r="Y136" s="461"/>
      <c r="Z136" s="461"/>
      <c r="AA136" s="461"/>
      <c r="AB136" s="461"/>
      <c r="AC136" s="461"/>
      <c r="AD136" s="461"/>
      <c r="AE136" s="461"/>
      <c r="AF136" s="461"/>
      <c r="AG136" s="461"/>
      <c r="AH136" s="461"/>
      <c r="AI136" s="461"/>
      <c r="AJ136" s="461"/>
      <c r="AK136" s="461"/>
      <c r="AL136" s="461"/>
      <c r="AM136" s="461"/>
      <c r="AN136" s="461"/>
      <c r="AO136" s="461"/>
      <c r="AP136" s="461"/>
      <c r="AQ136" s="461"/>
      <c r="AR136" s="461"/>
    </row>
    <row r="137" spans="1:44" s="102" customFormat="1" ht="12" customHeight="1">
      <c r="A137" s="117">
        <v>11</v>
      </c>
      <c r="B137" s="102" t="s">
        <v>256</v>
      </c>
      <c r="C137" s="761"/>
      <c r="D137" s="746"/>
      <c r="E137" s="746"/>
      <c r="F137" s="747" t="s">
        <v>18</v>
      </c>
      <c r="G137" s="746"/>
      <c r="H137" s="746"/>
      <c r="I137" s="746"/>
      <c r="J137" s="748"/>
      <c r="K137" s="748"/>
      <c r="L137" s="748"/>
      <c r="M137" s="748"/>
      <c r="N137" s="748"/>
      <c r="O137" s="748"/>
      <c r="P137" s="748"/>
      <c r="Q137" s="749"/>
      <c r="R137" s="461"/>
      <c r="S137" s="461"/>
      <c r="T137" s="461"/>
      <c r="U137" s="461"/>
      <c r="V137" s="461"/>
      <c r="W137" s="461"/>
      <c r="X137" s="461"/>
      <c r="Y137" s="461"/>
      <c r="Z137" s="461"/>
      <c r="AA137" s="461"/>
      <c r="AB137" s="461"/>
      <c r="AC137" s="461"/>
      <c r="AD137" s="461"/>
      <c r="AE137" s="461"/>
      <c r="AF137" s="461"/>
      <c r="AG137" s="461"/>
      <c r="AH137" s="461"/>
      <c r="AI137" s="461"/>
      <c r="AJ137" s="461"/>
      <c r="AK137" s="461"/>
      <c r="AL137" s="461"/>
      <c r="AM137" s="461"/>
      <c r="AN137" s="461"/>
      <c r="AO137" s="461"/>
      <c r="AP137" s="461"/>
      <c r="AQ137" s="461"/>
      <c r="AR137" s="461"/>
    </row>
    <row r="138" spans="1:44" s="102" customFormat="1" ht="12" customHeight="1">
      <c r="A138" s="118">
        <v>19</v>
      </c>
      <c r="B138" s="102" t="s">
        <v>260</v>
      </c>
      <c r="C138" s="761"/>
      <c r="D138" s="746"/>
      <c r="E138" s="746"/>
      <c r="F138" s="747" t="s">
        <v>18</v>
      </c>
      <c r="G138" s="746"/>
      <c r="H138" s="746"/>
      <c r="I138" s="746"/>
      <c r="J138" s="748"/>
      <c r="K138" s="748"/>
      <c r="L138" s="748"/>
      <c r="M138" s="748"/>
      <c r="N138" s="748"/>
      <c r="O138" s="748"/>
      <c r="P138" s="748"/>
      <c r="Q138" s="749"/>
      <c r="R138" s="461"/>
      <c r="S138" s="461"/>
      <c r="T138" s="461"/>
      <c r="U138" s="461"/>
      <c r="V138" s="461"/>
      <c r="W138" s="461"/>
      <c r="X138" s="461"/>
      <c r="Y138" s="461"/>
      <c r="Z138" s="461"/>
      <c r="AA138" s="461"/>
      <c r="AB138" s="461"/>
      <c r="AC138" s="461"/>
      <c r="AD138" s="461"/>
      <c r="AE138" s="461"/>
      <c r="AF138" s="461"/>
      <c r="AG138" s="461"/>
      <c r="AH138" s="461"/>
      <c r="AI138" s="461"/>
      <c r="AJ138" s="461"/>
      <c r="AK138" s="461"/>
      <c r="AL138" s="461"/>
      <c r="AM138" s="461"/>
      <c r="AN138" s="461"/>
      <c r="AO138" s="461"/>
      <c r="AP138" s="461"/>
      <c r="AQ138" s="461"/>
      <c r="AR138" s="461"/>
    </row>
    <row r="139" spans="1:44" s="102" customFormat="1" ht="12" customHeight="1">
      <c r="A139" s="118">
        <v>20</v>
      </c>
      <c r="B139" s="102" t="s">
        <v>267</v>
      </c>
      <c r="C139" s="761"/>
      <c r="D139" s="746"/>
      <c r="E139" s="746"/>
      <c r="F139" s="747" t="s">
        <v>18</v>
      </c>
      <c r="G139" s="746"/>
      <c r="H139" s="746"/>
      <c r="I139" s="746"/>
      <c r="J139" s="748"/>
      <c r="K139" s="748"/>
      <c r="L139" s="748"/>
      <c r="M139" s="748"/>
      <c r="N139" s="748"/>
      <c r="O139" s="748"/>
      <c r="P139" s="748"/>
      <c r="Q139" s="749"/>
      <c r="R139" s="461"/>
      <c r="S139" s="461"/>
      <c r="T139" s="461"/>
      <c r="U139" s="461"/>
      <c r="V139" s="461"/>
      <c r="W139" s="461"/>
      <c r="X139" s="461"/>
      <c r="Y139" s="461"/>
      <c r="Z139" s="461"/>
      <c r="AA139" s="461"/>
      <c r="AB139" s="461"/>
      <c r="AC139" s="461"/>
      <c r="AD139" s="461"/>
      <c r="AE139" s="461"/>
      <c r="AF139" s="461"/>
      <c r="AG139" s="461"/>
      <c r="AH139" s="461"/>
      <c r="AI139" s="461"/>
      <c r="AJ139" s="461"/>
      <c r="AK139" s="461"/>
      <c r="AL139" s="461"/>
      <c r="AM139" s="461"/>
      <c r="AN139" s="461"/>
      <c r="AO139" s="461"/>
      <c r="AP139" s="461"/>
      <c r="AQ139" s="461"/>
      <c r="AR139" s="461"/>
    </row>
    <row r="140" spans="1:44" s="102" customFormat="1" ht="12" customHeight="1">
      <c r="A140" s="117">
        <v>21</v>
      </c>
      <c r="B140" s="102" t="s">
        <v>261</v>
      </c>
      <c r="C140" s="761"/>
      <c r="D140" s="746"/>
      <c r="E140" s="746"/>
      <c r="F140" s="747" t="s">
        <v>18</v>
      </c>
      <c r="G140" s="746"/>
      <c r="H140" s="746"/>
      <c r="I140" s="746"/>
      <c r="J140" s="748"/>
      <c r="K140" s="748"/>
      <c r="L140" s="748"/>
      <c r="M140" s="748"/>
      <c r="N140" s="748"/>
      <c r="O140" s="748"/>
      <c r="P140" s="748"/>
      <c r="Q140" s="749"/>
      <c r="R140" s="461"/>
      <c r="S140" s="461"/>
      <c r="T140" s="461"/>
      <c r="U140" s="461"/>
      <c r="V140" s="461"/>
      <c r="W140" s="461"/>
      <c r="X140" s="461"/>
      <c r="Y140" s="461"/>
      <c r="Z140" s="461"/>
      <c r="AA140" s="461"/>
      <c r="AB140" s="461"/>
      <c r="AC140" s="461"/>
      <c r="AD140" s="461"/>
      <c r="AE140" s="461"/>
      <c r="AF140" s="461"/>
      <c r="AG140" s="461"/>
      <c r="AH140" s="461"/>
      <c r="AI140" s="461"/>
      <c r="AJ140" s="461"/>
      <c r="AK140" s="461"/>
      <c r="AL140" s="461"/>
      <c r="AM140" s="461"/>
      <c r="AN140" s="461"/>
      <c r="AO140" s="461"/>
      <c r="AP140" s="461"/>
      <c r="AQ140" s="461"/>
      <c r="AR140" s="461"/>
    </row>
    <row r="141" spans="1:44" s="102" customFormat="1" ht="12" customHeight="1">
      <c r="A141" s="117">
        <v>25</v>
      </c>
      <c r="B141" s="102" t="s">
        <v>263</v>
      </c>
      <c r="C141" s="761"/>
      <c r="D141" s="746"/>
      <c r="E141" s="746"/>
      <c r="F141" s="747" t="s">
        <v>18</v>
      </c>
      <c r="G141" s="746"/>
      <c r="H141" s="746"/>
      <c r="I141" s="746"/>
      <c r="J141" s="748"/>
      <c r="K141" s="748"/>
      <c r="L141" s="748"/>
      <c r="M141" s="748"/>
      <c r="N141" s="748"/>
      <c r="O141" s="748"/>
      <c r="P141" s="748"/>
      <c r="Q141" s="749"/>
      <c r="R141" s="461"/>
      <c r="S141" s="461"/>
      <c r="T141" s="461"/>
      <c r="U141" s="461"/>
      <c r="V141" s="461"/>
      <c r="W141" s="461"/>
      <c r="X141" s="461"/>
      <c r="Y141" s="461"/>
      <c r="Z141" s="461"/>
      <c r="AA141" s="461"/>
      <c r="AB141" s="461"/>
      <c r="AC141" s="461"/>
      <c r="AD141" s="461"/>
      <c r="AE141" s="461"/>
      <c r="AF141" s="461"/>
      <c r="AG141" s="461"/>
      <c r="AH141" s="461"/>
      <c r="AI141" s="461"/>
      <c r="AJ141" s="461"/>
      <c r="AK141" s="461"/>
      <c r="AL141" s="461"/>
      <c r="AM141" s="461"/>
      <c r="AN141" s="461"/>
      <c r="AO141" s="461"/>
      <c r="AP141" s="461"/>
      <c r="AQ141" s="461"/>
      <c r="AR141" s="461"/>
    </row>
    <row r="142" spans="1:44" s="102" customFormat="1" ht="12" customHeight="1">
      <c r="A142" s="118">
        <v>29</v>
      </c>
      <c r="B142" s="102" t="s">
        <v>295</v>
      </c>
      <c r="C142" s="206"/>
      <c r="D142" s="192"/>
      <c r="E142" s="192"/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1"/>
      <c r="S142" s="461"/>
      <c r="T142" s="461"/>
      <c r="U142" s="461"/>
      <c r="V142" s="461"/>
      <c r="W142" s="461"/>
      <c r="X142" s="461"/>
      <c r="Y142" s="461"/>
      <c r="Z142" s="461"/>
      <c r="AA142" s="461"/>
      <c r="AB142" s="461"/>
      <c r="AC142" s="461"/>
      <c r="AD142" s="461"/>
      <c r="AE142" s="461"/>
      <c r="AF142" s="461"/>
      <c r="AG142" s="461"/>
      <c r="AH142" s="461"/>
      <c r="AI142" s="461"/>
      <c r="AJ142" s="461"/>
      <c r="AK142" s="461"/>
      <c r="AL142" s="461"/>
      <c r="AM142" s="461"/>
      <c r="AN142" s="461"/>
      <c r="AO142" s="461"/>
      <c r="AP142" s="461"/>
      <c r="AQ142" s="461"/>
      <c r="AR142" s="461"/>
    </row>
    <row r="143" spans="1:44" s="102" customFormat="1" ht="12" customHeight="1">
      <c r="A143" s="118">
        <v>30</v>
      </c>
      <c r="B143" s="102" t="s">
        <v>296</v>
      </c>
      <c r="C143" s="206"/>
      <c r="D143" s="192"/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1"/>
      <c r="S143" s="461"/>
      <c r="T143" s="461"/>
      <c r="U143" s="461"/>
      <c r="V143" s="461"/>
      <c r="W143" s="461"/>
      <c r="X143" s="461"/>
      <c r="Y143" s="461"/>
      <c r="Z143" s="461"/>
      <c r="AA143" s="461"/>
      <c r="AB143" s="461"/>
      <c r="AC143" s="461"/>
      <c r="AD143" s="461"/>
      <c r="AE143" s="461"/>
      <c r="AF143" s="461"/>
      <c r="AG143" s="461"/>
      <c r="AH143" s="461"/>
      <c r="AI143" s="461"/>
      <c r="AJ143" s="461"/>
      <c r="AK143" s="461"/>
      <c r="AL143" s="461"/>
      <c r="AM143" s="461"/>
      <c r="AN143" s="461"/>
      <c r="AO143" s="461"/>
      <c r="AP143" s="461"/>
      <c r="AQ143" s="461"/>
      <c r="AR143" s="461"/>
    </row>
    <row r="144" spans="1:44" ht="12" customHeight="1">
      <c r="A144" s="1">
        <v>200</v>
      </c>
      <c r="B144" s="62" t="s">
        <v>97</v>
      </c>
      <c r="C144" s="206"/>
      <c r="D144" s="590" t="s">
        <v>401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8"/>
      <c r="S144" s="469"/>
      <c r="T144" s="464"/>
      <c r="U144" s="464"/>
      <c r="V144" s="460"/>
      <c r="W144" s="460"/>
      <c r="X144" s="460"/>
      <c r="Y144" s="460"/>
      <c r="Z144" s="460"/>
      <c r="AA144" s="460"/>
      <c r="AB144" s="460"/>
      <c r="AC144" s="460"/>
      <c r="AD144" s="460"/>
      <c r="AE144" s="460"/>
      <c r="AF144" s="460"/>
      <c r="AG144" s="460"/>
      <c r="AH144" s="460"/>
      <c r="AI144" s="460"/>
      <c r="AJ144" s="460"/>
      <c r="AK144" s="460"/>
      <c r="AL144" s="460"/>
      <c r="AM144" s="460"/>
      <c r="AN144" s="460"/>
      <c r="AO144" s="460"/>
      <c r="AP144" s="460"/>
      <c r="AQ144" s="460"/>
      <c r="AR144" s="460"/>
    </row>
    <row r="145" spans="1:44" s="460" customFormat="1" ht="17.25" customHeight="1">
      <c r="A145" s="473">
        <v>250</v>
      </c>
      <c r="B145" s="474" t="s">
        <v>28</v>
      </c>
      <c r="C145" s="594"/>
      <c r="D145" s="591"/>
      <c r="E145" s="591"/>
      <c r="F145" s="556"/>
      <c r="G145" s="591"/>
      <c r="H145" s="591"/>
      <c r="I145" s="591"/>
      <c r="J145" s="591"/>
      <c r="K145" s="555"/>
      <c r="L145" s="555"/>
      <c r="M145" s="555"/>
      <c r="N145" s="555"/>
      <c r="O145" s="555"/>
      <c r="P145" s="555"/>
      <c r="Q145" s="512"/>
      <c r="R145" s="465"/>
      <c r="S145" s="463"/>
      <c r="T145" s="464"/>
      <c r="U145" s="464"/>
    </row>
    <row r="146" spans="1:44" s="102" customFormat="1" ht="12" customHeight="1">
      <c r="A146" s="117">
        <v>3</v>
      </c>
      <c r="B146" s="102" t="s">
        <v>252</v>
      </c>
      <c r="C146" s="206"/>
      <c r="D146" s="192"/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1"/>
      <c r="S146" s="461"/>
      <c r="T146" s="461"/>
      <c r="U146" s="461"/>
      <c r="V146" s="461"/>
      <c r="W146" s="461"/>
      <c r="X146" s="461"/>
      <c r="Y146" s="461"/>
      <c r="Z146" s="461"/>
      <c r="AA146" s="461"/>
      <c r="AB146" s="461"/>
      <c r="AC146" s="461"/>
      <c r="AD146" s="461"/>
      <c r="AE146" s="461"/>
      <c r="AF146" s="461"/>
      <c r="AG146" s="461"/>
      <c r="AH146" s="461"/>
      <c r="AI146" s="461"/>
      <c r="AJ146" s="461"/>
      <c r="AK146" s="461"/>
      <c r="AL146" s="461"/>
      <c r="AM146" s="461"/>
      <c r="AN146" s="461"/>
      <c r="AO146" s="461"/>
      <c r="AP146" s="461"/>
      <c r="AQ146" s="461"/>
      <c r="AR146" s="461"/>
    </row>
    <row r="147" spans="1:44" s="102" customFormat="1" ht="12" customHeight="1">
      <c r="A147" s="117">
        <v>5</v>
      </c>
      <c r="B147" s="102" t="s">
        <v>253</v>
      </c>
      <c r="C147" s="206"/>
      <c r="D147" s="192"/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1"/>
      <c r="S147" s="461"/>
      <c r="T147" s="461"/>
      <c r="U147" s="461"/>
      <c r="V147" s="461"/>
      <c r="W147" s="461"/>
      <c r="X147" s="461"/>
      <c r="Y147" s="461"/>
      <c r="Z147" s="461"/>
      <c r="AA147" s="461"/>
      <c r="AB147" s="461"/>
      <c r="AC147" s="461"/>
      <c r="AD147" s="461"/>
      <c r="AE147" s="461"/>
      <c r="AF147" s="461"/>
      <c r="AG147" s="461"/>
      <c r="AH147" s="461"/>
      <c r="AI147" s="461"/>
      <c r="AJ147" s="461"/>
      <c r="AK147" s="461"/>
      <c r="AL147" s="461"/>
      <c r="AM147" s="461"/>
      <c r="AN147" s="461"/>
      <c r="AO147" s="461"/>
      <c r="AP147" s="461"/>
      <c r="AQ147" s="461"/>
      <c r="AR147" s="461"/>
    </row>
    <row r="148" spans="1:44" s="102" customFormat="1" ht="12" customHeight="1">
      <c r="A148" s="117">
        <v>6</v>
      </c>
      <c r="B148" s="102" t="s">
        <v>265</v>
      </c>
      <c r="C148" s="206"/>
      <c r="D148" s="192"/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1"/>
      <c r="S148" s="461"/>
      <c r="T148" s="461"/>
      <c r="U148" s="461"/>
      <c r="V148" s="461"/>
      <c r="W148" s="461"/>
      <c r="X148" s="461"/>
      <c r="Y148" s="461"/>
      <c r="Z148" s="461"/>
      <c r="AA148" s="461"/>
      <c r="AB148" s="461"/>
      <c r="AC148" s="461"/>
      <c r="AD148" s="461"/>
      <c r="AE148" s="461"/>
      <c r="AF148" s="461"/>
      <c r="AG148" s="461"/>
      <c r="AH148" s="461"/>
      <c r="AI148" s="461"/>
      <c r="AJ148" s="461"/>
      <c r="AK148" s="461"/>
      <c r="AL148" s="461"/>
      <c r="AM148" s="461"/>
      <c r="AN148" s="461"/>
      <c r="AO148" s="461"/>
      <c r="AP148" s="461"/>
      <c r="AQ148" s="461"/>
      <c r="AR148" s="461"/>
    </row>
    <row r="149" spans="1:44" s="102" customFormat="1" ht="12" customHeight="1">
      <c r="A149" s="117">
        <v>7</v>
      </c>
      <c r="B149" s="102" t="s">
        <v>254</v>
      </c>
      <c r="C149" s="206"/>
      <c r="D149" s="192"/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1"/>
      <c r="S149" s="461"/>
      <c r="T149" s="461"/>
      <c r="U149" s="461"/>
      <c r="V149" s="461"/>
      <c r="W149" s="461"/>
      <c r="X149" s="461"/>
      <c r="Y149" s="461"/>
      <c r="Z149" s="461"/>
      <c r="AA149" s="461"/>
      <c r="AB149" s="461"/>
      <c r="AC149" s="461"/>
      <c r="AD149" s="461"/>
      <c r="AE149" s="461"/>
      <c r="AF149" s="461"/>
      <c r="AG149" s="461"/>
      <c r="AH149" s="461"/>
      <c r="AI149" s="461"/>
      <c r="AJ149" s="461"/>
      <c r="AK149" s="461"/>
      <c r="AL149" s="461"/>
      <c r="AM149" s="461"/>
      <c r="AN149" s="461"/>
      <c r="AO149" s="461"/>
      <c r="AP149" s="461"/>
      <c r="AQ149" s="461"/>
      <c r="AR149" s="461"/>
    </row>
    <row r="150" spans="1:44" s="102" customFormat="1" ht="12" customHeight="1">
      <c r="A150" s="117">
        <v>9</v>
      </c>
      <c r="B150" s="102" t="s">
        <v>255</v>
      </c>
      <c r="C150" s="206"/>
      <c r="D150" s="192"/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1"/>
      <c r="S150" s="461"/>
      <c r="T150" s="461"/>
      <c r="U150" s="461"/>
      <c r="V150" s="461"/>
      <c r="W150" s="461"/>
      <c r="X150" s="461"/>
      <c r="Y150" s="461"/>
      <c r="Z150" s="461"/>
      <c r="AA150" s="461"/>
      <c r="AB150" s="461"/>
      <c r="AC150" s="461"/>
      <c r="AD150" s="461"/>
      <c r="AE150" s="461"/>
      <c r="AF150" s="461"/>
      <c r="AG150" s="461"/>
      <c r="AH150" s="461"/>
      <c r="AI150" s="461"/>
      <c r="AJ150" s="461"/>
      <c r="AK150" s="461"/>
      <c r="AL150" s="461"/>
      <c r="AM150" s="461"/>
      <c r="AN150" s="461"/>
      <c r="AO150" s="461"/>
      <c r="AP150" s="461"/>
      <c r="AQ150" s="461"/>
      <c r="AR150" s="461"/>
    </row>
    <row r="151" spans="1:44" s="102" customFormat="1" ht="12" customHeight="1">
      <c r="A151" s="117">
        <v>11</v>
      </c>
      <c r="B151" s="102" t="s">
        <v>256</v>
      </c>
      <c r="C151" s="206"/>
      <c r="D151" s="192"/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1"/>
      <c r="S151" s="461"/>
      <c r="T151" s="461"/>
      <c r="U151" s="461"/>
      <c r="V151" s="461"/>
      <c r="W151" s="461"/>
      <c r="X151" s="461"/>
      <c r="Y151" s="461"/>
      <c r="Z151" s="461"/>
      <c r="AA151" s="461"/>
      <c r="AB151" s="461"/>
      <c r="AC151" s="461"/>
      <c r="AD151" s="461"/>
      <c r="AE151" s="461"/>
      <c r="AF151" s="461"/>
      <c r="AG151" s="461"/>
      <c r="AH151" s="461"/>
      <c r="AI151" s="461"/>
      <c r="AJ151" s="461"/>
      <c r="AK151" s="461"/>
      <c r="AL151" s="461"/>
      <c r="AM151" s="461"/>
      <c r="AN151" s="461"/>
      <c r="AO151" s="461"/>
      <c r="AP151" s="461"/>
      <c r="AQ151" s="461"/>
      <c r="AR151" s="461"/>
    </row>
    <row r="152" spans="1:44" s="102" customFormat="1" ht="12" customHeight="1">
      <c r="A152" s="117">
        <v>13</v>
      </c>
      <c r="B152" s="102" t="s">
        <v>257</v>
      </c>
      <c r="C152" s="206"/>
      <c r="D152" s="192"/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1"/>
      <c r="S152" s="461"/>
      <c r="T152" s="461"/>
      <c r="U152" s="461"/>
      <c r="V152" s="461"/>
      <c r="W152" s="461"/>
      <c r="X152" s="461"/>
      <c r="Y152" s="461"/>
      <c r="Z152" s="461"/>
      <c r="AA152" s="461"/>
      <c r="AB152" s="461"/>
      <c r="AC152" s="461"/>
      <c r="AD152" s="461"/>
      <c r="AE152" s="461"/>
      <c r="AF152" s="461"/>
      <c r="AG152" s="461"/>
      <c r="AH152" s="461"/>
      <c r="AI152" s="461"/>
      <c r="AJ152" s="461"/>
      <c r="AK152" s="461"/>
      <c r="AL152" s="461"/>
      <c r="AM152" s="461"/>
      <c r="AN152" s="461"/>
      <c r="AO152" s="461"/>
      <c r="AP152" s="461"/>
      <c r="AQ152" s="461"/>
      <c r="AR152" s="461"/>
    </row>
    <row r="153" spans="1:44" s="102" customFormat="1" ht="12" customHeight="1">
      <c r="A153" s="117">
        <v>15</v>
      </c>
      <c r="B153" s="102" t="s">
        <v>258</v>
      </c>
      <c r="C153" s="206"/>
      <c r="D153" s="192"/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1"/>
      <c r="S153" s="461"/>
      <c r="T153" s="461"/>
      <c r="U153" s="461"/>
      <c r="V153" s="461"/>
      <c r="W153" s="461"/>
      <c r="X153" s="461"/>
      <c r="Y153" s="461"/>
      <c r="Z153" s="461"/>
      <c r="AA153" s="461"/>
      <c r="AB153" s="461"/>
      <c r="AC153" s="461"/>
      <c r="AD153" s="461"/>
      <c r="AE153" s="461"/>
      <c r="AF153" s="461"/>
      <c r="AG153" s="461"/>
      <c r="AH153" s="461"/>
      <c r="AI153" s="461"/>
      <c r="AJ153" s="461"/>
      <c r="AK153" s="461"/>
      <c r="AL153" s="461"/>
      <c r="AM153" s="461"/>
      <c r="AN153" s="461"/>
      <c r="AO153" s="461"/>
      <c r="AP153" s="461"/>
      <c r="AQ153" s="461"/>
      <c r="AR153" s="461"/>
    </row>
    <row r="154" spans="1:44" s="102" customFormat="1" ht="12" customHeight="1">
      <c r="A154" s="117">
        <v>17</v>
      </c>
      <c r="B154" s="102" t="s">
        <v>259</v>
      </c>
      <c r="C154" s="206"/>
      <c r="D154" s="192"/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1"/>
      <c r="S154" s="461"/>
      <c r="T154" s="461"/>
      <c r="U154" s="461"/>
      <c r="V154" s="461"/>
      <c r="W154" s="461"/>
      <c r="X154" s="461"/>
      <c r="Y154" s="461"/>
      <c r="Z154" s="461"/>
      <c r="AA154" s="461"/>
      <c r="AB154" s="461"/>
      <c r="AC154" s="461"/>
      <c r="AD154" s="461"/>
      <c r="AE154" s="461"/>
      <c r="AF154" s="461"/>
      <c r="AG154" s="461"/>
      <c r="AH154" s="461"/>
      <c r="AI154" s="461"/>
      <c r="AJ154" s="461"/>
      <c r="AK154" s="461"/>
      <c r="AL154" s="461"/>
      <c r="AM154" s="461"/>
      <c r="AN154" s="461"/>
      <c r="AO154" s="461"/>
      <c r="AP154" s="461"/>
      <c r="AQ154" s="461"/>
      <c r="AR154" s="461"/>
    </row>
    <row r="155" spans="1:44" s="102" customFormat="1" ht="12" customHeight="1">
      <c r="A155" s="117">
        <v>18</v>
      </c>
      <c r="B155" s="102" t="s">
        <v>266</v>
      </c>
      <c r="C155" s="206"/>
      <c r="D155" s="192"/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1"/>
      <c r="S155" s="461"/>
      <c r="T155" s="461"/>
      <c r="U155" s="461"/>
      <c r="V155" s="461"/>
      <c r="W155" s="461"/>
      <c r="X155" s="461"/>
      <c r="Y155" s="461"/>
      <c r="Z155" s="461"/>
      <c r="AA155" s="461"/>
      <c r="AB155" s="461"/>
      <c r="AC155" s="461"/>
      <c r="AD155" s="461"/>
      <c r="AE155" s="461"/>
      <c r="AF155" s="461"/>
      <c r="AG155" s="461"/>
      <c r="AH155" s="461"/>
      <c r="AI155" s="461"/>
      <c r="AJ155" s="461"/>
      <c r="AK155" s="461"/>
      <c r="AL155" s="461"/>
      <c r="AM155" s="461"/>
      <c r="AN155" s="461"/>
      <c r="AO155" s="461"/>
      <c r="AP155" s="461"/>
      <c r="AQ155" s="461"/>
      <c r="AR155" s="461"/>
    </row>
    <row r="156" spans="1:44" s="102" customFormat="1" ht="12" customHeight="1">
      <c r="A156" s="118">
        <v>19</v>
      </c>
      <c r="B156" s="102" t="s">
        <v>260</v>
      </c>
      <c r="C156" s="206"/>
      <c r="D156" s="192"/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1"/>
      <c r="S156" s="461"/>
      <c r="T156" s="461"/>
      <c r="U156" s="461"/>
      <c r="V156" s="461"/>
      <c r="W156" s="461"/>
      <c r="X156" s="461"/>
      <c r="Y156" s="461"/>
      <c r="Z156" s="461"/>
      <c r="AA156" s="461"/>
      <c r="AB156" s="461"/>
      <c r="AC156" s="461"/>
      <c r="AD156" s="461"/>
      <c r="AE156" s="461"/>
      <c r="AF156" s="461"/>
      <c r="AG156" s="461"/>
      <c r="AH156" s="461"/>
      <c r="AI156" s="461"/>
      <c r="AJ156" s="461"/>
      <c r="AK156" s="461"/>
      <c r="AL156" s="461"/>
      <c r="AM156" s="461"/>
      <c r="AN156" s="461"/>
      <c r="AO156" s="461"/>
      <c r="AP156" s="461"/>
      <c r="AQ156" s="461"/>
      <c r="AR156" s="461"/>
    </row>
    <row r="157" spans="1:44" s="102" customFormat="1" ht="12" customHeight="1">
      <c r="A157" s="118">
        <v>20</v>
      </c>
      <c r="B157" s="102" t="s">
        <v>267</v>
      </c>
      <c r="C157" s="206"/>
      <c r="D157" s="192"/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1"/>
      <c r="S157" s="461"/>
      <c r="T157" s="461"/>
      <c r="U157" s="461"/>
      <c r="V157" s="461"/>
      <c r="W157" s="461"/>
      <c r="X157" s="461"/>
      <c r="Y157" s="461"/>
      <c r="Z157" s="461"/>
      <c r="AA157" s="461"/>
      <c r="AB157" s="461"/>
      <c r="AC157" s="461"/>
      <c r="AD157" s="461"/>
      <c r="AE157" s="461"/>
      <c r="AF157" s="461"/>
      <c r="AG157" s="461"/>
      <c r="AH157" s="461"/>
      <c r="AI157" s="461"/>
      <c r="AJ157" s="461"/>
      <c r="AK157" s="461"/>
      <c r="AL157" s="461"/>
      <c r="AM157" s="461"/>
      <c r="AN157" s="461"/>
      <c r="AO157" s="461"/>
      <c r="AP157" s="461"/>
      <c r="AQ157" s="461"/>
      <c r="AR157" s="461"/>
    </row>
    <row r="158" spans="1:44" s="102" customFormat="1" ht="12" customHeight="1">
      <c r="A158" s="117">
        <v>21</v>
      </c>
      <c r="B158" s="102" t="s">
        <v>261</v>
      </c>
      <c r="C158" s="206"/>
      <c r="D158" s="192"/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1"/>
      <c r="S158" s="461"/>
      <c r="T158" s="461"/>
      <c r="U158" s="461"/>
      <c r="V158" s="461"/>
      <c r="W158" s="461"/>
      <c r="X158" s="461"/>
      <c r="Y158" s="461"/>
      <c r="Z158" s="461"/>
      <c r="AA158" s="461"/>
      <c r="AB158" s="461"/>
      <c r="AC158" s="461"/>
      <c r="AD158" s="461"/>
      <c r="AE158" s="461"/>
      <c r="AF158" s="461"/>
      <c r="AG158" s="461"/>
      <c r="AH158" s="461"/>
      <c r="AI158" s="461"/>
      <c r="AJ158" s="461"/>
      <c r="AK158" s="461"/>
      <c r="AL158" s="461"/>
      <c r="AM158" s="461"/>
      <c r="AN158" s="461"/>
      <c r="AO158" s="461"/>
      <c r="AP158" s="461"/>
      <c r="AQ158" s="461"/>
      <c r="AR158" s="461"/>
    </row>
    <row r="159" spans="1:44" s="102" customFormat="1" ht="12" customHeight="1">
      <c r="A159" s="117">
        <v>22</v>
      </c>
      <c r="B159" s="102" t="s">
        <v>268</v>
      </c>
      <c r="C159" s="206"/>
      <c r="D159" s="192"/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1"/>
      <c r="S159" s="461"/>
      <c r="T159" s="461"/>
      <c r="U159" s="461"/>
      <c r="V159" s="461"/>
      <c r="W159" s="461"/>
      <c r="X159" s="461"/>
      <c r="Y159" s="461"/>
      <c r="Z159" s="461"/>
      <c r="AA159" s="461"/>
      <c r="AB159" s="461"/>
      <c r="AC159" s="461"/>
      <c r="AD159" s="461"/>
      <c r="AE159" s="461"/>
      <c r="AF159" s="461"/>
      <c r="AG159" s="461"/>
      <c r="AH159" s="461"/>
      <c r="AI159" s="461"/>
      <c r="AJ159" s="461"/>
      <c r="AK159" s="461"/>
      <c r="AL159" s="461"/>
      <c r="AM159" s="461"/>
      <c r="AN159" s="461"/>
      <c r="AO159" s="461"/>
      <c r="AP159" s="461"/>
      <c r="AQ159" s="461"/>
      <c r="AR159" s="461"/>
    </row>
    <row r="160" spans="1:44" s="102" customFormat="1" ht="12" customHeight="1">
      <c r="A160" s="117">
        <v>23</v>
      </c>
      <c r="B160" s="102" t="s">
        <v>297</v>
      </c>
      <c r="C160" s="206"/>
      <c r="D160" s="192"/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1"/>
      <c r="S160" s="461"/>
      <c r="T160" s="461"/>
      <c r="U160" s="461"/>
      <c r="V160" s="461"/>
      <c r="W160" s="461"/>
      <c r="X160" s="461"/>
      <c r="Y160" s="461"/>
      <c r="Z160" s="461"/>
      <c r="AA160" s="461"/>
      <c r="AB160" s="461"/>
      <c r="AC160" s="461"/>
      <c r="AD160" s="461"/>
      <c r="AE160" s="461"/>
      <c r="AF160" s="461"/>
      <c r="AG160" s="461"/>
      <c r="AH160" s="461"/>
      <c r="AI160" s="461"/>
      <c r="AJ160" s="461"/>
      <c r="AK160" s="461"/>
      <c r="AL160" s="461"/>
      <c r="AM160" s="461"/>
      <c r="AN160" s="461"/>
      <c r="AO160" s="461"/>
      <c r="AP160" s="461"/>
      <c r="AQ160" s="461"/>
      <c r="AR160" s="461"/>
    </row>
    <row r="161" spans="1:44" s="102" customFormat="1" ht="12" customHeight="1">
      <c r="A161" s="117">
        <v>24</v>
      </c>
      <c r="B161" s="102" t="s">
        <v>269</v>
      </c>
      <c r="C161" s="206"/>
      <c r="D161" s="192"/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1"/>
      <c r="S161" s="461"/>
      <c r="T161" s="461"/>
      <c r="U161" s="461"/>
      <c r="V161" s="461"/>
      <c r="W161" s="461"/>
      <c r="X161" s="461"/>
      <c r="Y161" s="461"/>
      <c r="Z161" s="461"/>
      <c r="AA161" s="461"/>
      <c r="AB161" s="461"/>
      <c r="AC161" s="461"/>
      <c r="AD161" s="461"/>
      <c r="AE161" s="461"/>
      <c r="AF161" s="461"/>
      <c r="AG161" s="461"/>
      <c r="AH161" s="461"/>
      <c r="AI161" s="461"/>
      <c r="AJ161" s="461"/>
      <c r="AK161" s="461"/>
      <c r="AL161" s="461"/>
      <c r="AM161" s="461"/>
      <c r="AN161" s="461"/>
      <c r="AO161" s="461"/>
      <c r="AP161" s="461"/>
      <c r="AQ161" s="461"/>
      <c r="AR161" s="461"/>
    </row>
    <row r="162" spans="1:44" s="102" customFormat="1" ht="12" customHeight="1">
      <c r="A162" s="117">
        <v>25</v>
      </c>
      <c r="B162" s="102" t="s">
        <v>263</v>
      </c>
      <c r="C162" s="206"/>
      <c r="D162" s="192"/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1"/>
      <c r="S162" s="461"/>
      <c r="T162" s="461"/>
      <c r="U162" s="461"/>
      <c r="V162" s="461"/>
      <c r="W162" s="461"/>
      <c r="X162" s="461"/>
      <c r="Y162" s="461"/>
      <c r="Z162" s="461"/>
      <c r="AA162" s="461"/>
      <c r="AB162" s="461"/>
      <c r="AC162" s="461"/>
      <c r="AD162" s="461"/>
      <c r="AE162" s="461"/>
      <c r="AF162" s="461"/>
      <c r="AG162" s="461"/>
      <c r="AH162" s="461"/>
      <c r="AI162" s="461"/>
      <c r="AJ162" s="461"/>
      <c r="AK162" s="461"/>
      <c r="AL162" s="461"/>
      <c r="AM162" s="461"/>
      <c r="AN162" s="461"/>
      <c r="AO162" s="461"/>
      <c r="AP162" s="461"/>
      <c r="AQ162" s="461"/>
      <c r="AR162" s="461"/>
    </row>
    <row r="163" spans="1:44" s="102" customFormat="1" ht="12" customHeight="1">
      <c r="A163" s="117">
        <v>27</v>
      </c>
      <c r="B163" s="102" t="s">
        <v>264</v>
      </c>
      <c r="C163" s="206"/>
      <c r="D163" s="192"/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1"/>
      <c r="S163" s="461"/>
      <c r="T163" s="461"/>
      <c r="U163" s="461"/>
      <c r="V163" s="461"/>
      <c r="W163" s="461"/>
      <c r="X163" s="461"/>
      <c r="Y163" s="461"/>
      <c r="Z163" s="461"/>
      <c r="AA163" s="461"/>
      <c r="AB163" s="461"/>
      <c r="AC163" s="461"/>
      <c r="AD163" s="461"/>
      <c r="AE163" s="461"/>
      <c r="AF163" s="461"/>
      <c r="AG163" s="461"/>
      <c r="AH163" s="461"/>
      <c r="AI163" s="461"/>
      <c r="AJ163" s="461"/>
      <c r="AK163" s="461"/>
      <c r="AL163" s="461"/>
      <c r="AM163" s="461"/>
      <c r="AN163" s="461"/>
      <c r="AO163" s="461"/>
      <c r="AP163" s="461"/>
      <c r="AQ163" s="461"/>
      <c r="AR163" s="461"/>
    </row>
    <row r="164" spans="1:44" s="102" customFormat="1" ht="12" customHeight="1">
      <c r="A164" s="118">
        <v>29</v>
      </c>
      <c r="B164" s="102" t="s">
        <v>295</v>
      </c>
      <c r="C164" s="206"/>
      <c r="D164" s="192"/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1"/>
      <c r="S164" s="461"/>
      <c r="T164" s="461"/>
      <c r="U164" s="461"/>
      <c r="V164" s="461"/>
      <c r="W164" s="461"/>
      <c r="X164" s="461"/>
      <c r="Y164" s="461"/>
      <c r="Z164" s="461"/>
      <c r="AA164" s="461"/>
      <c r="AB164" s="461"/>
      <c r="AC164" s="461"/>
      <c r="AD164" s="461"/>
      <c r="AE164" s="461"/>
      <c r="AF164" s="461"/>
      <c r="AG164" s="461"/>
      <c r="AH164" s="461"/>
      <c r="AI164" s="461"/>
      <c r="AJ164" s="461"/>
      <c r="AK164" s="461"/>
      <c r="AL164" s="461"/>
      <c r="AM164" s="461"/>
      <c r="AN164" s="461"/>
      <c r="AO164" s="461"/>
      <c r="AP164" s="461"/>
      <c r="AQ164" s="461"/>
      <c r="AR164" s="461"/>
    </row>
    <row r="165" spans="1:44" s="102" customFormat="1" ht="12" customHeight="1">
      <c r="A165" s="118">
        <v>30</v>
      </c>
      <c r="B165" s="102" t="s">
        <v>296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1"/>
      <c r="S165" s="461"/>
      <c r="T165" s="461"/>
      <c r="U165" s="461"/>
      <c r="V165" s="461"/>
      <c r="W165" s="461"/>
      <c r="X165" s="461"/>
      <c r="Y165" s="461"/>
      <c r="Z165" s="461"/>
      <c r="AA165" s="461"/>
      <c r="AB165" s="461"/>
      <c r="AC165" s="461"/>
      <c r="AD165" s="461"/>
      <c r="AE165" s="461"/>
      <c r="AF165" s="461"/>
      <c r="AG165" s="461"/>
      <c r="AH165" s="461"/>
      <c r="AI165" s="461"/>
      <c r="AJ165" s="461"/>
      <c r="AK165" s="461"/>
      <c r="AL165" s="461"/>
      <c r="AM165" s="461"/>
      <c r="AN165" s="461"/>
      <c r="AO165" s="461"/>
      <c r="AP165" s="461"/>
      <c r="AQ165" s="461"/>
      <c r="AR165" s="461"/>
    </row>
    <row r="166" spans="1:44">
      <c r="A166" s="1">
        <v>200</v>
      </c>
      <c r="B166" s="62" t="s">
        <v>97</v>
      </c>
      <c r="C166" s="206"/>
      <c r="D166" s="590" t="s">
        <v>401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8"/>
      <c r="S166" s="470"/>
      <c r="T166" s="464"/>
      <c r="U166" s="464"/>
      <c r="V166" s="460"/>
      <c r="W166" s="460"/>
      <c r="X166" s="460"/>
      <c r="Y166" s="460"/>
      <c r="Z166" s="460"/>
      <c r="AA166" s="460"/>
      <c r="AB166" s="460"/>
      <c r="AC166" s="460"/>
      <c r="AD166" s="460"/>
      <c r="AE166" s="460"/>
      <c r="AF166" s="460"/>
      <c r="AG166" s="460"/>
      <c r="AH166" s="460"/>
      <c r="AI166" s="460"/>
      <c r="AJ166" s="460"/>
      <c r="AK166" s="460"/>
      <c r="AL166" s="460"/>
      <c r="AM166" s="460"/>
      <c r="AN166" s="460"/>
      <c r="AO166" s="460"/>
      <c r="AP166" s="460"/>
      <c r="AQ166" s="460"/>
      <c r="AR166" s="460"/>
    </row>
    <row r="167" spans="1:44" s="460" customFormat="1" ht="17.25" customHeight="1">
      <c r="A167" s="473">
        <v>250</v>
      </c>
      <c r="B167" s="474" t="s">
        <v>29</v>
      </c>
      <c r="C167" s="594"/>
      <c r="D167" s="596"/>
      <c r="E167" s="591"/>
      <c r="F167" s="556"/>
      <c r="G167" s="591"/>
      <c r="H167" s="591"/>
      <c r="I167" s="591"/>
      <c r="J167" s="591"/>
      <c r="K167" s="555"/>
      <c r="L167" s="555"/>
      <c r="M167" s="555"/>
      <c r="N167" s="555"/>
      <c r="O167" s="555"/>
      <c r="P167" s="555"/>
      <c r="Q167" s="512"/>
      <c r="R167" s="465"/>
      <c r="S167" s="463"/>
      <c r="T167" s="464"/>
      <c r="U167" s="464"/>
    </row>
    <row r="168" spans="1:44" s="102" customFormat="1" ht="12" customHeight="1">
      <c r="A168" s="117">
        <v>3</v>
      </c>
      <c r="B168" s="102" t="s">
        <v>252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1"/>
      <c r="S168" s="461"/>
      <c r="T168" s="461"/>
      <c r="U168" s="461"/>
      <c r="V168" s="461"/>
      <c r="W168" s="461"/>
      <c r="X168" s="461"/>
      <c r="Y168" s="461"/>
      <c r="Z168" s="461"/>
      <c r="AA168" s="461"/>
      <c r="AB168" s="461"/>
      <c r="AC168" s="461"/>
      <c r="AD168" s="461"/>
      <c r="AE168" s="461"/>
      <c r="AF168" s="461"/>
      <c r="AG168" s="461"/>
      <c r="AH168" s="461"/>
      <c r="AI168" s="461"/>
      <c r="AJ168" s="461"/>
      <c r="AK168" s="461"/>
      <c r="AL168" s="461"/>
      <c r="AM168" s="461"/>
      <c r="AN168" s="461"/>
      <c r="AO168" s="461"/>
      <c r="AP168" s="461"/>
      <c r="AQ168" s="461"/>
      <c r="AR168" s="461"/>
    </row>
    <row r="169" spans="1:44" s="102" customFormat="1" ht="12" customHeight="1">
      <c r="A169" s="117">
        <v>6</v>
      </c>
      <c r="B169" s="102" t="s">
        <v>265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1"/>
      <c r="S169" s="461"/>
      <c r="T169" s="461"/>
      <c r="U169" s="461"/>
      <c r="V169" s="461"/>
      <c r="W169" s="461"/>
      <c r="X169" s="461"/>
      <c r="Y169" s="461"/>
      <c r="Z169" s="461"/>
      <c r="AA169" s="461"/>
      <c r="AB169" s="461"/>
      <c r="AC169" s="461"/>
      <c r="AD169" s="461"/>
      <c r="AE169" s="461"/>
      <c r="AF169" s="461"/>
      <c r="AG169" s="461"/>
      <c r="AH169" s="461"/>
      <c r="AI169" s="461"/>
      <c r="AJ169" s="461"/>
      <c r="AK169" s="461"/>
      <c r="AL169" s="461"/>
      <c r="AM169" s="461"/>
      <c r="AN169" s="461"/>
      <c r="AO169" s="461"/>
      <c r="AP169" s="461"/>
      <c r="AQ169" s="461"/>
      <c r="AR169" s="461"/>
    </row>
    <row r="170" spans="1:44" s="102" customFormat="1" ht="12" customHeight="1">
      <c r="A170" s="117">
        <v>7</v>
      </c>
      <c r="B170" s="102" t="s">
        <v>254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1"/>
      <c r="S170" s="461"/>
      <c r="T170" s="461"/>
      <c r="U170" s="461"/>
      <c r="V170" s="461"/>
      <c r="W170" s="461"/>
      <c r="X170" s="461"/>
      <c r="Y170" s="461"/>
      <c r="Z170" s="461"/>
      <c r="AA170" s="461"/>
      <c r="AB170" s="461"/>
      <c r="AC170" s="461"/>
      <c r="AD170" s="461"/>
      <c r="AE170" s="461"/>
      <c r="AF170" s="461"/>
      <c r="AG170" s="461"/>
      <c r="AH170" s="461"/>
      <c r="AI170" s="461"/>
      <c r="AJ170" s="461"/>
      <c r="AK170" s="461"/>
      <c r="AL170" s="461"/>
      <c r="AM170" s="461"/>
      <c r="AN170" s="461"/>
      <c r="AO170" s="461"/>
      <c r="AP170" s="461"/>
      <c r="AQ170" s="461"/>
      <c r="AR170" s="461"/>
    </row>
    <row r="171" spans="1:44" s="102" customFormat="1" ht="12" customHeight="1">
      <c r="A171" s="117">
        <v>11</v>
      </c>
      <c r="B171" s="102" t="s">
        <v>256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1"/>
      <c r="S171" s="461"/>
      <c r="T171" s="461"/>
      <c r="U171" s="461"/>
      <c r="V171" s="461"/>
      <c r="W171" s="461"/>
      <c r="X171" s="461"/>
      <c r="Y171" s="461"/>
      <c r="Z171" s="461"/>
      <c r="AA171" s="461"/>
      <c r="AB171" s="461"/>
      <c r="AC171" s="461"/>
      <c r="AD171" s="461"/>
      <c r="AE171" s="461"/>
      <c r="AF171" s="461"/>
      <c r="AG171" s="461"/>
      <c r="AH171" s="461"/>
      <c r="AI171" s="461"/>
      <c r="AJ171" s="461"/>
      <c r="AK171" s="461"/>
      <c r="AL171" s="461"/>
      <c r="AM171" s="461"/>
      <c r="AN171" s="461"/>
      <c r="AO171" s="461"/>
      <c r="AP171" s="461"/>
      <c r="AQ171" s="461"/>
      <c r="AR171" s="461"/>
    </row>
    <row r="172" spans="1:44" s="102" customFormat="1" ht="12" customHeight="1">
      <c r="A172" s="118">
        <v>19</v>
      </c>
      <c r="B172" s="102" t="s">
        <v>260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1"/>
      <c r="S172" s="461"/>
      <c r="T172" s="461"/>
      <c r="U172" s="461"/>
      <c r="V172" s="461"/>
      <c r="W172" s="461"/>
      <c r="X172" s="461"/>
      <c r="Y172" s="461"/>
      <c r="Z172" s="461"/>
      <c r="AA172" s="461"/>
      <c r="AB172" s="461"/>
      <c r="AC172" s="461"/>
      <c r="AD172" s="461"/>
      <c r="AE172" s="461"/>
      <c r="AF172" s="461"/>
      <c r="AG172" s="461"/>
      <c r="AH172" s="461"/>
      <c r="AI172" s="461"/>
      <c r="AJ172" s="461"/>
      <c r="AK172" s="461"/>
      <c r="AL172" s="461"/>
      <c r="AM172" s="461"/>
      <c r="AN172" s="461"/>
      <c r="AO172" s="461"/>
      <c r="AP172" s="461"/>
      <c r="AQ172" s="461"/>
      <c r="AR172" s="461"/>
    </row>
    <row r="173" spans="1:44" s="102" customFormat="1" ht="12" customHeight="1">
      <c r="A173" s="118">
        <v>20</v>
      </c>
      <c r="B173" s="102" t="s">
        <v>267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1"/>
      <c r="S173" s="461"/>
      <c r="T173" s="461"/>
      <c r="U173" s="461"/>
      <c r="V173" s="461"/>
      <c r="W173" s="461"/>
      <c r="X173" s="461"/>
      <c r="Y173" s="461"/>
      <c r="Z173" s="461"/>
      <c r="AA173" s="461"/>
      <c r="AB173" s="461"/>
      <c r="AC173" s="461"/>
      <c r="AD173" s="461"/>
      <c r="AE173" s="461"/>
      <c r="AF173" s="461"/>
      <c r="AG173" s="461"/>
      <c r="AH173" s="461"/>
      <c r="AI173" s="461"/>
      <c r="AJ173" s="461"/>
      <c r="AK173" s="461"/>
      <c r="AL173" s="461"/>
      <c r="AM173" s="461"/>
      <c r="AN173" s="461"/>
      <c r="AO173" s="461"/>
      <c r="AP173" s="461"/>
      <c r="AQ173" s="461"/>
      <c r="AR173" s="461"/>
    </row>
    <row r="174" spans="1:44" s="102" customFormat="1" ht="12" customHeight="1">
      <c r="A174" s="117">
        <v>21</v>
      </c>
      <c r="B174" s="102" t="s">
        <v>261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1"/>
      <c r="S174" s="461"/>
      <c r="T174" s="461"/>
      <c r="U174" s="461"/>
      <c r="V174" s="461"/>
      <c r="W174" s="461"/>
      <c r="X174" s="461"/>
      <c r="Y174" s="461"/>
      <c r="Z174" s="461"/>
      <c r="AA174" s="461"/>
      <c r="AB174" s="461"/>
      <c r="AC174" s="461"/>
      <c r="AD174" s="461"/>
      <c r="AE174" s="461"/>
      <c r="AF174" s="461"/>
      <c r="AG174" s="461"/>
      <c r="AH174" s="461"/>
      <c r="AI174" s="461"/>
      <c r="AJ174" s="461"/>
      <c r="AK174" s="461"/>
      <c r="AL174" s="461"/>
      <c r="AM174" s="461"/>
      <c r="AN174" s="461"/>
      <c r="AO174" s="461"/>
      <c r="AP174" s="461"/>
      <c r="AQ174" s="461"/>
      <c r="AR174" s="461"/>
    </row>
    <row r="175" spans="1:44" s="102" customFormat="1" ht="12" customHeight="1">
      <c r="A175" s="117">
        <v>25</v>
      </c>
      <c r="B175" s="102" t="s">
        <v>263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1"/>
      <c r="S175" s="461"/>
      <c r="T175" s="461"/>
      <c r="U175" s="461"/>
      <c r="V175" s="461"/>
      <c r="W175" s="461"/>
      <c r="X175" s="461"/>
      <c r="Y175" s="461"/>
      <c r="Z175" s="461"/>
      <c r="AA175" s="461"/>
      <c r="AB175" s="461"/>
      <c r="AC175" s="461"/>
      <c r="AD175" s="461"/>
      <c r="AE175" s="461"/>
      <c r="AF175" s="461"/>
      <c r="AG175" s="461"/>
      <c r="AH175" s="461"/>
      <c r="AI175" s="461"/>
      <c r="AJ175" s="461"/>
      <c r="AK175" s="461"/>
      <c r="AL175" s="461"/>
      <c r="AM175" s="461"/>
      <c r="AN175" s="461"/>
      <c r="AO175" s="461"/>
      <c r="AP175" s="461"/>
      <c r="AQ175" s="461"/>
      <c r="AR175" s="461"/>
    </row>
    <row r="176" spans="1:44" s="102" customFormat="1" ht="12" customHeight="1">
      <c r="A176" s="118">
        <v>29</v>
      </c>
      <c r="B176" s="102" t="s">
        <v>295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1"/>
      <c r="S176" s="461"/>
      <c r="T176" s="461"/>
      <c r="U176" s="461"/>
      <c r="V176" s="461"/>
      <c r="W176" s="461"/>
      <c r="X176" s="461"/>
      <c r="Y176" s="461"/>
      <c r="Z176" s="461"/>
      <c r="AA176" s="461"/>
      <c r="AB176" s="461"/>
      <c r="AC176" s="461"/>
      <c r="AD176" s="461"/>
      <c r="AE176" s="461"/>
      <c r="AF176" s="461"/>
      <c r="AG176" s="461"/>
      <c r="AH176" s="461"/>
      <c r="AI176" s="461"/>
      <c r="AJ176" s="461"/>
      <c r="AK176" s="461"/>
      <c r="AL176" s="461"/>
      <c r="AM176" s="461"/>
      <c r="AN176" s="461"/>
      <c r="AO176" s="461"/>
      <c r="AP176" s="461"/>
      <c r="AQ176" s="461"/>
      <c r="AR176" s="461"/>
    </row>
    <row r="177" spans="1:44" s="102" customFormat="1" ht="12" customHeight="1">
      <c r="A177" s="118">
        <v>30</v>
      </c>
      <c r="B177" s="102" t="s">
        <v>296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1"/>
      <c r="S177" s="461"/>
      <c r="T177" s="461"/>
      <c r="U177" s="461"/>
      <c r="V177" s="461"/>
      <c r="W177" s="461"/>
      <c r="X177" s="461"/>
      <c r="Y177" s="461"/>
      <c r="Z177" s="461"/>
      <c r="AA177" s="461"/>
      <c r="AB177" s="461"/>
      <c r="AC177" s="461"/>
      <c r="AD177" s="461"/>
      <c r="AE177" s="461"/>
      <c r="AF177" s="461"/>
      <c r="AG177" s="461"/>
      <c r="AH177" s="461"/>
      <c r="AI177" s="461"/>
      <c r="AJ177" s="461"/>
      <c r="AK177" s="461"/>
      <c r="AL177" s="461"/>
      <c r="AM177" s="461"/>
      <c r="AN177" s="461"/>
      <c r="AO177" s="461"/>
      <c r="AP177" s="461"/>
      <c r="AQ177" s="461"/>
      <c r="AR177" s="461"/>
    </row>
    <row r="178" spans="1:44">
      <c r="A178" s="1">
        <v>200</v>
      </c>
      <c r="B178" s="62" t="s">
        <v>97</v>
      </c>
      <c r="C178" s="593"/>
      <c r="D178" s="590" t="s">
        <v>401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2"/>
      <c r="S178" s="470"/>
      <c r="T178" s="464"/>
      <c r="U178" s="464"/>
      <c r="V178" s="460"/>
      <c r="W178" s="460"/>
      <c r="X178" s="460"/>
      <c r="Y178" s="460"/>
      <c r="Z178" s="460"/>
      <c r="AA178" s="460"/>
      <c r="AB178" s="460"/>
      <c r="AC178" s="460"/>
      <c r="AD178" s="460"/>
      <c r="AE178" s="460"/>
      <c r="AF178" s="460"/>
      <c r="AG178" s="460"/>
      <c r="AH178" s="460"/>
      <c r="AI178" s="460"/>
      <c r="AJ178" s="460"/>
      <c r="AK178" s="460"/>
      <c r="AL178" s="460"/>
      <c r="AM178" s="460"/>
      <c r="AN178" s="460"/>
      <c r="AO178" s="460"/>
      <c r="AP178" s="460"/>
      <c r="AQ178" s="460"/>
      <c r="AR178" s="460"/>
    </row>
    <row r="179" spans="1:44" s="460" customFormat="1" ht="17.25" customHeight="1">
      <c r="A179" s="473">
        <v>250</v>
      </c>
      <c r="B179" s="474" t="s">
        <v>30</v>
      </c>
      <c r="C179" s="595"/>
      <c r="D179" s="591"/>
      <c r="E179" s="591"/>
      <c r="F179" s="556"/>
      <c r="G179" s="591"/>
      <c r="H179" s="591"/>
      <c r="I179" s="591"/>
      <c r="J179" s="591"/>
      <c r="K179" s="555"/>
      <c r="L179" s="555"/>
      <c r="M179" s="555"/>
      <c r="N179" s="555"/>
      <c r="O179" s="555"/>
      <c r="P179" s="555"/>
      <c r="Q179" s="512"/>
      <c r="R179" s="465"/>
      <c r="S179" s="463"/>
      <c r="T179" s="464"/>
      <c r="U179" s="464"/>
    </row>
    <row r="180" spans="1:44" s="102" customFormat="1" ht="12" customHeight="1">
      <c r="A180" s="117">
        <v>3</v>
      </c>
      <c r="B180" s="102" t="s">
        <v>252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1"/>
      <c r="S180" s="461"/>
      <c r="T180" s="461"/>
      <c r="U180" s="461"/>
      <c r="V180" s="461"/>
      <c r="W180" s="461"/>
      <c r="X180" s="461"/>
      <c r="Y180" s="461"/>
      <c r="Z180" s="461"/>
      <c r="AA180" s="461"/>
      <c r="AB180" s="461"/>
      <c r="AC180" s="461"/>
      <c r="AD180" s="461"/>
      <c r="AE180" s="461"/>
      <c r="AF180" s="461"/>
      <c r="AG180" s="461"/>
      <c r="AH180" s="461"/>
      <c r="AI180" s="461"/>
      <c r="AJ180" s="461"/>
      <c r="AK180" s="461"/>
      <c r="AL180" s="461"/>
      <c r="AM180" s="461"/>
      <c r="AN180" s="461"/>
      <c r="AO180" s="461"/>
      <c r="AP180" s="461"/>
      <c r="AQ180" s="461"/>
      <c r="AR180" s="461"/>
    </row>
    <row r="181" spans="1:44" s="102" customFormat="1" ht="12" customHeight="1">
      <c r="A181" s="117">
        <v>5</v>
      </c>
      <c r="B181" s="102" t="s">
        <v>253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1"/>
      <c r="S181" s="461"/>
      <c r="T181" s="461"/>
      <c r="U181" s="461"/>
      <c r="V181" s="461"/>
      <c r="W181" s="461"/>
      <c r="X181" s="461"/>
      <c r="Y181" s="461"/>
      <c r="Z181" s="461"/>
      <c r="AA181" s="461"/>
      <c r="AB181" s="461"/>
      <c r="AC181" s="461"/>
      <c r="AD181" s="461"/>
      <c r="AE181" s="461"/>
      <c r="AF181" s="461"/>
      <c r="AG181" s="461"/>
      <c r="AH181" s="461"/>
      <c r="AI181" s="461"/>
      <c r="AJ181" s="461"/>
      <c r="AK181" s="461"/>
      <c r="AL181" s="461"/>
      <c r="AM181" s="461"/>
      <c r="AN181" s="461"/>
      <c r="AO181" s="461"/>
      <c r="AP181" s="461"/>
      <c r="AQ181" s="461"/>
      <c r="AR181" s="461"/>
    </row>
    <row r="182" spans="1:44" s="102" customFormat="1" ht="12" customHeight="1">
      <c r="A182" s="117">
        <v>6</v>
      </c>
      <c r="B182" s="102" t="s">
        <v>265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1"/>
      <c r="S182" s="461"/>
      <c r="T182" s="461"/>
      <c r="U182" s="461"/>
      <c r="V182" s="461"/>
      <c r="W182" s="461"/>
      <c r="X182" s="461"/>
      <c r="Y182" s="461"/>
      <c r="Z182" s="461"/>
      <c r="AA182" s="461"/>
      <c r="AB182" s="461"/>
      <c r="AC182" s="461"/>
      <c r="AD182" s="461"/>
      <c r="AE182" s="461"/>
      <c r="AF182" s="461"/>
      <c r="AG182" s="461"/>
      <c r="AH182" s="461"/>
      <c r="AI182" s="461"/>
      <c r="AJ182" s="461"/>
      <c r="AK182" s="461"/>
      <c r="AL182" s="461"/>
      <c r="AM182" s="461"/>
      <c r="AN182" s="461"/>
      <c r="AO182" s="461"/>
      <c r="AP182" s="461"/>
      <c r="AQ182" s="461"/>
      <c r="AR182" s="461"/>
    </row>
    <row r="183" spans="1:44" s="102" customFormat="1" ht="12" customHeight="1">
      <c r="A183" s="117">
        <v>7</v>
      </c>
      <c r="B183" s="102" t="s">
        <v>254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1"/>
      <c r="S183" s="461"/>
      <c r="T183" s="461"/>
      <c r="U183" s="461"/>
      <c r="V183" s="461"/>
      <c r="W183" s="461"/>
      <c r="X183" s="461"/>
      <c r="Y183" s="461"/>
      <c r="Z183" s="461"/>
      <c r="AA183" s="461"/>
      <c r="AB183" s="461"/>
      <c r="AC183" s="461"/>
      <c r="AD183" s="461"/>
      <c r="AE183" s="461"/>
      <c r="AF183" s="461"/>
      <c r="AG183" s="461"/>
      <c r="AH183" s="461"/>
      <c r="AI183" s="461"/>
      <c r="AJ183" s="461"/>
      <c r="AK183" s="461"/>
      <c r="AL183" s="461"/>
      <c r="AM183" s="461"/>
      <c r="AN183" s="461"/>
      <c r="AO183" s="461"/>
      <c r="AP183" s="461"/>
      <c r="AQ183" s="461"/>
      <c r="AR183" s="461"/>
    </row>
    <row r="184" spans="1:44" s="102" customFormat="1" ht="12" customHeight="1">
      <c r="A184" s="117">
        <v>9</v>
      </c>
      <c r="B184" s="102" t="s">
        <v>255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1"/>
      <c r="S184" s="461"/>
      <c r="T184" s="461"/>
      <c r="U184" s="461"/>
      <c r="V184" s="461"/>
      <c r="W184" s="461"/>
      <c r="X184" s="461"/>
      <c r="Y184" s="461"/>
      <c r="Z184" s="461"/>
      <c r="AA184" s="461"/>
      <c r="AB184" s="461"/>
      <c r="AC184" s="461"/>
      <c r="AD184" s="461"/>
      <c r="AE184" s="461"/>
      <c r="AF184" s="461"/>
      <c r="AG184" s="461"/>
      <c r="AH184" s="461"/>
      <c r="AI184" s="461"/>
      <c r="AJ184" s="461"/>
      <c r="AK184" s="461"/>
      <c r="AL184" s="461"/>
      <c r="AM184" s="461"/>
      <c r="AN184" s="461"/>
      <c r="AO184" s="461"/>
      <c r="AP184" s="461"/>
      <c r="AQ184" s="461"/>
      <c r="AR184" s="461"/>
    </row>
    <row r="185" spans="1:44" s="102" customFormat="1" ht="12" customHeight="1">
      <c r="A185" s="117">
        <v>11</v>
      </c>
      <c r="B185" s="102" t="s">
        <v>256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1"/>
      <c r="S185" s="461"/>
      <c r="T185" s="461"/>
      <c r="U185" s="461"/>
      <c r="V185" s="461"/>
      <c r="W185" s="461"/>
      <c r="X185" s="461"/>
      <c r="Y185" s="461"/>
      <c r="Z185" s="461"/>
      <c r="AA185" s="461"/>
      <c r="AB185" s="461"/>
      <c r="AC185" s="461"/>
      <c r="AD185" s="461"/>
      <c r="AE185" s="461"/>
      <c r="AF185" s="461"/>
      <c r="AG185" s="461"/>
      <c r="AH185" s="461"/>
      <c r="AI185" s="461"/>
      <c r="AJ185" s="461"/>
      <c r="AK185" s="461"/>
      <c r="AL185" s="461"/>
      <c r="AM185" s="461"/>
      <c r="AN185" s="461"/>
      <c r="AO185" s="461"/>
      <c r="AP185" s="461"/>
      <c r="AQ185" s="461"/>
      <c r="AR185" s="461"/>
    </row>
    <row r="186" spans="1:44" s="102" customFormat="1" ht="12" customHeight="1">
      <c r="A186" s="117">
        <v>13</v>
      </c>
      <c r="B186" s="102" t="s">
        <v>257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1"/>
      <c r="S186" s="461"/>
      <c r="T186" s="461"/>
      <c r="U186" s="461"/>
      <c r="V186" s="461"/>
      <c r="W186" s="461"/>
      <c r="X186" s="461"/>
      <c r="Y186" s="461"/>
      <c r="Z186" s="461"/>
      <c r="AA186" s="461"/>
      <c r="AB186" s="461"/>
      <c r="AC186" s="461"/>
      <c r="AD186" s="461"/>
      <c r="AE186" s="461"/>
      <c r="AF186" s="461"/>
      <c r="AG186" s="461"/>
      <c r="AH186" s="461"/>
      <c r="AI186" s="461"/>
      <c r="AJ186" s="461"/>
      <c r="AK186" s="461"/>
      <c r="AL186" s="461"/>
      <c r="AM186" s="461"/>
      <c r="AN186" s="461"/>
      <c r="AO186" s="461"/>
      <c r="AP186" s="461"/>
      <c r="AQ186" s="461"/>
      <c r="AR186" s="461"/>
    </row>
    <row r="187" spans="1:44" s="102" customFormat="1" ht="12" customHeight="1">
      <c r="A187" s="117">
        <v>15</v>
      </c>
      <c r="B187" s="102" t="s">
        <v>258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1"/>
      <c r="S187" s="461"/>
      <c r="T187" s="461"/>
      <c r="U187" s="461"/>
      <c r="V187" s="461"/>
      <c r="W187" s="461"/>
      <c r="X187" s="461"/>
      <c r="Y187" s="461"/>
      <c r="Z187" s="461"/>
      <c r="AA187" s="461"/>
      <c r="AB187" s="461"/>
      <c r="AC187" s="461"/>
      <c r="AD187" s="461"/>
      <c r="AE187" s="461"/>
      <c r="AF187" s="461"/>
      <c r="AG187" s="461"/>
      <c r="AH187" s="461"/>
      <c r="AI187" s="461"/>
      <c r="AJ187" s="461"/>
      <c r="AK187" s="461"/>
      <c r="AL187" s="461"/>
      <c r="AM187" s="461"/>
      <c r="AN187" s="461"/>
      <c r="AO187" s="461"/>
      <c r="AP187" s="461"/>
      <c r="AQ187" s="461"/>
      <c r="AR187" s="461"/>
    </row>
    <row r="188" spans="1:44" s="102" customFormat="1" ht="12" customHeight="1">
      <c r="A188" s="117">
        <v>17</v>
      </c>
      <c r="B188" s="102" t="s">
        <v>259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1"/>
      <c r="S188" s="461"/>
      <c r="T188" s="461"/>
      <c r="U188" s="461"/>
      <c r="V188" s="461"/>
      <c r="W188" s="461"/>
      <c r="X188" s="461"/>
      <c r="Y188" s="461"/>
      <c r="Z188" s="461"/>
      <c r="AA188" s="461"/>
      <c r="AB188" s="461"/>
      <c r="AC188" s="461"/>
      <c r="AD188" s="461"/>
      <c r="AE188" s="461"/>
      <c r="AF188" s="461"/>
      <c r="AG188" s="461"/>
      <c r="AH188" s="461"/>
      <c r="AI188" s="461"/>
      <c r="AJ188" s="461"/>
      <c r="AK188" s="461"/>
      <c r="AL188" s="461"/>
      <c r="AM188" s="461"/>
      <c r="AN188" s="461"/>
      <c r="AO188" s="461"/>
      <c r="AP188" s="461"/>
      <c r="AQ188" s="461"/>
      <c r="AR188" s="461"/>
    </row>
    <row r="189" spans="1:44" s="102" customFormat="1" ht="12" customHeight="1">
      <c r="A189" s="117">
        <v>18</v>
      </c>
      <c r="B189" s="102" t="s">
        <v>266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1"/>
      <c r="S189" s="461"/>
      <c r="T189" s="461"/>
      <c r="U189" s="461"/>
      <c r="V189" s="461"/>
      <c r="W189" s="461"/>
      <c r="X189" s="461"/>
      <c r="Y189" s="461"/>
      <c r="Z189" s="461"/>
      <c r="AA189" s="461"/>
      <c r="AB189" s="461"/>
      <c r="AC189" s="461"/>
      <c r="AD189" s="461"/>
      <c r="AE189" s="461"/>
      <c r="AF189" s="461"/>
      <c r="AG189" s="461"/>
      <c r="AH189" s="461"/>
      <c r="AI189" s="461"/>
      <c r="AJ189" s="461"/>
      <c r="AK189" s="461"/>
      <c r="AL189" s="461"/>
      <c r="AM189" s="461"/>
      <c r="AN189" s="461"/>
      <c r="AO189" s="461"/>
      <c r="AP189" s="461"/>
      <c r="AQ189" s="461"/>
      <c r="AR189" s="461"/>
    </row>
    <row r="190" spans="1:44" s="102" customFormat="1" ht="12" customHeight="1">
      <c r="A190" s="118">
        <v>19</v>
      </c>
      <c r="B190" s="102" t="s">
        <v>260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1"/>
      <c r="S190" s="461"/>
      <c r="T190" s="461"/>
      <c r="U190" s="461"/>
      <c r="V190" s="461"/>
      <c r="W190" s="461"/>
      <c r="X190" s="461"/>
      <c r="Y190" s="461"/>
      <c r="Z190" s="461"/>
      <c r="AA190" s="461"/>
      <c r="AB190" s="461"/>
      <c r="AC190" s="461"/>
      <c r="AD190" s="461"/>
      <c r="AE190" s="461"/>
      <c r="AF190" s="461"/>
      <c r="AG190" s="461"/>
      <c r="AH190" s="461"/>
      <c r="AI190" s="461"/>
      <c r="AJ190" s="461"/>
      <c r="AK190" s="461"/>
      <c r="AL190" s="461"/>
      <c r="AM190" s="461"/>
      <c r="AN190" s="461"/>
      <c r="AO190" s="461"/>
      <c r="AP190" s="461"/>
      <c r="AQ190" s="461"/>
      <c r="AR190" s="461"/>
    </row>
    <row r="191" spans="1:44" s="102" customFormat="1" ht="12" customHeight="1">
      <c r="A191" s="118">
        <v>20</v>
      </c>
      <c r="B191" s="102" t="s">
        <v>267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1"/>
      <c r="S191" s="461"/>
      <c r="T191" s="461"/>
      <c r="U191" s="461"/>
      <c r="V191" s="461"/>
      <c r="W191" s="461"/>
      <c r="X191" s="461"/>
      <c r="Y191" s="461"/>
      <c r="Z191" s="461"/>
      <c r="AA191" s="461"/>
      <c r="AB191" s="461"/>
      <c r="AC191" s="461"/>
      <c r="AD191" s="461"/>
      <c r="AE191" s="461"/>
      <c r="AF191" s="461"/>
      <c r="AG191" s="461"/>
      <c r="AH191" s="461"/>
      <c r="AI191" s="461"/>
      <c r="AJ191" s="461"/>
      <c r="AK191" s="461"/>
      <c r="AL191" s="461"/>
      <c r="AM191" s="461"/>
      <c r="AN191" s="461"/>
      <c r="AO191" s="461"/>
      <c r="AP191" s="461"/>
      <c r="AQ191" s="461"/>
      <c r="AR191" s="461"/>
    </row>
    <row r="192" spans="1:44" s="102" customFormat="1" ht="12" customHeight="1">
      <c r="A192" s="117">
        <v>21</v>
      </c>
      <c r="B192" s="102" t="s">
        <v>261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1"/>
      <c r="S192" s="461"/>
      <c r="T192" s="461"/>
      <c r="U192" s="461"/>
      <c r="V192" s="461"/>
      <c r="W192" s="461"/>
      <c r="X192" s="461"/>
      <c r="Y192" s="461"/>
      <c r="Z192" s="461"/>
      <c r="AA192" s="461"/>
      <c r="AB192" s="461"/>
      <c r="AC192" s="461"/>
      <c r="AD192" s="461"/>
      <c r="AE192" s="461"/>
      <c r="AF192" s="461"/>
      <c r="AG192" s="461"/>
      <c r="AH192" s="461"/>
      <c r="AI192" s="461"/>
      <c r="AJ192" s="461"/>
      <c r="AK192" s="461"/>
      <c r="AL192" s="461"/>
      <c r="AM192" s="461"/>
      <c r="AN192" s="461"/>
      <c r="AO192" s="461"/>
      <c r="AP192" s="461"/>
      <c r="AQ192" s="461"/>
      <c r="AR192" s="461"/>
    </row>
    <row r="193" spans="1:44" s="102" customFormat="1" ht="12" customHeight="1">
      <c r="A193" s="117">
        <v>22</v>
      </c>
      <c r="B193" s="102" t="s">
        <v>268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1"/>
      <c r="S193" s="461"/>
      <c r="T193" s="461"/>
      <c r="U193" s="461"/>
      <c r="V193" s="461"/>
      <c r="W193" s="461"/>
      <c r="X193" s="461"/>
      <c r="Y193" s="461"/>
      <c r="Z193" s="461"/>
      <c r="AA193" s="461"/>
      <c r="AB193" s="461"/>
      <c r="AC193" s="461"/>
      <c r="AD193" s="461"/>
      <c r="AE193" s="461"/>
      <c r="AF193" s="461"/>
      <c r="AG193" s="461"/>
      <c r="AH193" s="461"/>
      <c r="AI193" s="461"/>
      <c r="AJ193" s="461"/>
      <c r="AK193" s="461"/>
      <c r="AL193" s="461"/>
      <c r="AM193" s="461"/>
      <c r="AN193" s="461"/>
      <c r="AO193" s="461"/>
      <c r="AP193" s="461"/>
      <c r="AQ193" s="461"/>
      <c r="AR193" s="461"/>
    </row>
    <row r="194" spans="1:44" s="102" customFormat="1" ht="12" customHeight="1">
      <c r="A194" s="117">
        <v>23</v>
      </c>
      <c r="B194" s="102" t="s">
        <v>297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1"/>
      <c r="S194" s="461"/>
      <c r="T194" s="461"/>
      <c r="U194" s="461"/>
      <c r="V194" s="461"/>
      <c r="W194" s="461"/>
      <c r="X194" s="461"/>
      <c r="Y194" s="461"/>
      <c r="Z194" s="461"/>
      <c r="AA194" s="461"/>
      <c r="AB194" s="461"/>
      <c r="AC194" s="461"/>
      <c r="AD194" s="461"/>
      <c r="AE194" s="461"/>
      <c r="AF194" s="461"/>
      <c r="AG194" s="461"/>
      <c r="AH194" s="461"/>
      <c r="AI194" s="461"/>
      <c r="AJ194" s="461"/>
      <c r="AK194" s="461"/>
      <c r="AL194" s="461"/>
      <c r="AM194" s="461"/>
      <c r="AN194" s="461"/>
      <c r="AO194" s="461"/>
      <c r="AP194" s="461"/>
      <c r="AQ194" s="461"/>
      <c r="AR194" s="461"/>
    </row>
    <row r="195" spans="1:44" s="102" customFormat="1" ht="12" customHeight="1">
      <c r="A195" s="117">
        <v>24</v>
      </c>
      <c r="B195" s="102" t="s">
        <v>269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1"/>
      <c r="S195" s="461"/>
      <c r="T195" s="461"/>
      <c r="U195" s="461"/>
      <c r="V195" s="461"/>
      <c r="W195" s="461"/>
      <c r="X195" s="461"/>
      <c r="Y195" s="461"/>
      <c r="Z195" s="461"/>
      <c r="AA195" s="461"/>
      <c r="AB195" s="461"/>
      <c r="AC195" s="461"/>
      <c r="AD195" s="461"/>
      <c r="AE195" s="461"/>
      <c r="AF195" s="461"/>
      <c r="AG195" s="461"/>
      <c r="AH195" s="461"/>
      <c r="AI195" s="461"/>
      <c r="AJ195" s="461"/>
      <c r="AK195" s="461"/>
      <c r="AL195" s="461"/>
      <c r="AM195" s="461"/>
      <c r="AN195" s="461"/>
      <c r="AO195" s="461"/>
      <c r="AP195" s="461"/>
      <c r="AQ195" s="461"/>
      <c r="AR195" s="461"/>
    </row>
    <row r="196" spans="1:44" s="102" customFormat="1" ht="12" customHeight="1">
      <c r="A196" s="117">
        <v>25</v>
      </c>
      <c r="B196" s="102" t="s">
        <v>263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1"/>
      <c r="S196" s="461"/>
      <c r="T196" s="461"/>
      <c r="U196" s="461"/>
      <c r="V196" s="461"/>
      <c r="W196" s="461"/>
      <c r="X196" s="461"/>
      <c r="Y196" s="461"/>
      <c r="Z196" s="461"/>
      <c r="AA196" s="461"/>
      <c r="AB196" s="461"/>
      <c r="AC196" s="461"/>
      <c r="AD196" s="461"/>
      <c r="AE196" s="461"/>
      <c r="AF196" s="461"/>
      <c r="AG196" s="461"/>
      <c r="AH196" s="461"/>
      <c r="AI196" s="461"/>
      <c r="AJ196" s="461"/>
      <c r="AK196" s="461"/>
      <c r="AL196" s="461"/>
      <c r="AM196" s="461"/>
      <c r="AN196" s="461"/>
      <c r="AO196" s="461"/>
      <c r="AP196" s="461"/>
      <c r="AQ196" s="461"/>
      <c r="AR196" s="461"/>
    </row>
    <row r="197" spans="1:44" s="102" customFormat="1" ht="12" customHeight="1">
      <c r="A197" s="117">
        <v>27</v>
      </c>
      <c r="B197" s="102" t="s">
        <v>264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1"/>
      <c r="S197" s="461"/>
      <c r="T197" s="461"/>
      <c r="U197" s="461"/>
      <c r="V197" s="461"/>
      <c r="W197" s="461"/>
      <c r="X197" s="461"/>
      <c r="Y197" s="461"/>
      <c r="Z197" s="461"/>
      <c r="AA197" s="461"/>
      <c r="AB197" s="461"/>
      <c r="AC197" s="461"/>
      <c r="AD197" s="461"/>
      <c r="AE197" s="461"/>
      <c r="AF197" s="461"/>
      <c r="AG197" s="461"/>
      <c r="AH197" s="461"/>
      <c r="AI197" s="461"/>
      <c r="AJ197" s="461"/>
      <c r="AK197" s="461"/>
      <c r="AL197" s="461"/>
      <c r="AM197" s="461"/>
      <c r="AN197" s="461"/>
      <c r="AO197" s="461"/>
      <c r="AP197" s="461"/>
      <c r="AQ197" s="461"/>
      <c r="AR197" s="461"/>
    </row>
    <row r="198" spans="1:44" s="102" customFormat="1" ht="12" customHeight="1">
      <c r="A198" s="118">
        <v>29</v>
      </c>
      <c r="B198" s="102" t="s">
        <v>295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1"/>
      <c r="S198" s="461"/>
      <c r="T198" s="461"/>
      <c r="U198" s="461"/>
      <c r="V198" s="461"/>
      <c r="W198" s="461"/>
      <c r="X198" s="461"/>
      <c r="Y198" s="461"/>
      <c r="Z198" s="461"/>
      <c r="AA198" s="461"/>
      <c r="AB198" s="461"/>
      <c r="AC198" s="461"/>
      <c r="AD198" s="461"/>
      <c r="AE198" s="461"/>
      <c r="AF198" s="461"/>
      <c r="AG198" s="461"/>
      <c r="AH198" s="461"/>
      <c r="AI198" s="461"/>
      <c r="AJ198" s="461"/>
      <c r="AK198" s="461"/>
      <c r="AL198" s="461"/>
      <c r="AM198" s="461"/>
      <c r="AN198" s="461"/>
      <c r="AO198" s="461"/>
      <c r="AP198" s="461"/>
      <c r="AQ198" s="461"/>
      <c r="AR198" s="461"/>
    </row>
    <row r="199" spans="1:44" s="102" customFormat="1" ht="12" customHeight="1">
      <c r="A199" s="118">
        <v>30</v>
      </c>
      <c r="B199" s="102" t="s">
        <v>296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1"/>
      <c r="S199" s="461"/>
      <c r="T199" s="461"/>
      <c r="U199" s="461"/>
      <c r="V199" s="461"/>
      <c r="W199" s="461"/>
      <c r="X199" s="461"/>
      <c r="Y199" s="461"/>
      <c r="Z199" s="461"/>
      <c r="AA199" s="461"/>
      <c r="AB199" s="461"/>
      <c r="AC199" s="461"/>
      <c r="AD199" s="461"/>
      <c r="AE199" s="461"/>
      <c r="AF199" s="461"/>
      <c r="AG199" s="461"/>
      <c r="AH199" s="461"/>
      <c r="AI199" s="461"/>
      <c r="AJ199" s="461"/>
      <c r="AK199" s="461"/>
      <c r="AL199" s="461"/>
      <c r="AM199" s="461"/>
      <c r="AN199" s="461"/>
      <c r="AO199" s="461"/>
      <c r="AP199" s="461"/>
      <c r="AQ199" s="461"/>
      <c r="AR199" s="461"/>
    </row>
    <row r="200" spans="1:44">
      <c r="A200" s="1">
        <v>200</v>
      </c>
      <c r="B200" s="62" t="s">
        <v>97</v>
      </c>
      <c r="C200" s="592"/>
      <c r="D200" s="590" t="s">
        <v>401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8"/>
      <c r="S200" s="470"/>
      <c r="T200" s="464"/>
      <c r="U200" s="464"/>
      <c r="V200" s="460"/>
      <c r="W200" s="460"/>
      <c r="X200" s="460"/>
      <c r="Y200" s="460"/>
      <c r="Z200" s="460"/>
      <c r="AA200" s="460"/>
      <c r="AB200" s="460"/>
      <c r="AC200" s="460"/>
      <c r="AD200" s="460"/>
      <c r="AE200" s="460"/>
      <c r="AF200" s="460"/>
      <c r="AG200" s="460"/>
      <c r="AH200" s="460"/>
      <c r="AI200" s="460"/>
      <c r="AJ200" s="460"/>
      <c r="AK200" s="460"/>
      <c r="AL200" s="460"/>
      <c r="AM200" s="460"/>
      <c r="AN200" s="460"/>
      <c r="AO200" s="460"/>
      <c r="AP200" s="460"/>
      <c r="AQ200" s="460"/>
      <c r="AR200" s="460"/>
    </row>
    <row r="201" spans="1:44" s="460" customFormat="1" ht="17.25" customHeight="1">
      <c r="A201" s="473">
        <v>250</v>
      </c>
      <c r="B201" s="474" t="s">
        <v>31</v>
      </c>
      <c r="C201" s="594"/>
      <c r="D201" s="591"/>
      <c r="E201" s="591"/>
      <c r="F201" s="556"/>
      <c r="G201" s="591"/>
      <c r="H201" s="591"/>
      <c r="I201" s="591"/>
      <c r="J201" s="591"/>
      <c r="K201" s="555"/>
      <c r="L201" s="555"/>
      <c r="M201" s="555"/>
      <c r="N201" s="555"/>
      <c r="O201" s="555"/>
      <c r="P201" s="555"/>
      <c r="Q201" s="512"/>
      <c r="R201" s="465"/>
      <c r="S201" s="463"/>
      <c r="T201" s="464"/>
      <c r="U201" s="464"/>
    </row>
    <row r="202" spans="1:44" s="102" customFormat="1">
      <c r="A202" s="117">
        <v>3</v>
      </c>
      <c r="B202" s="102" t="s">
        <v>252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1"/>
      <c r="S202" s="461"/>
      <c r="T202" s="461"/>
      <c r="U202" s="461"/>
      <c r="V202" s="461"/>
      <c r="W202" s="461"/>
      <c r="X202" s="461"/>
      <c r="Y202" s="461"/>
      <c r="Z202" s="461"/>
      <c r="AA202" s="461"/>
      <c r="AB202" s="461"/>
      <c r="AC202" s="461"/>
      <c r="AD202" s="461"/>
      <c r="AE202" s="461"/>
      <c r="AF202" s="461"/>
      <c r="AG202" s="461"/>
      <c r="AH202" s="461"/>
      <c r="AI202" s="461"/>
      <c r="AJ202" s="461"/>
      <c r="AK202" s="461"/>
      <c r="AL202" s="461"/>
      <c r="AM202" s="461"/>
      <c r="AN202" s="461"/>
      <c r="AO202" s="461"/>
      <c r="AP202" s="461"/>
      <c r="AQ202" s="461"/>
      <c r="AR202" s="461"/>
    </row>
    <row r="203" spans="1:44" s="102" customFormat="1">
      <c r="A203" s="117">
        <v>6</v>
      </c>
      <c r="B203" s="102" t="s">
        <v>265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1"/>
      <c r="S203" s="461"/>
      <c r="T203" s="461"/>
      <c r="U203" s="461"/>
      <c r="V203" s="461"/>
      <c r="W203" s="461"/>
      <c r="X203" s="461"/>
      <c r="Y203" s="461"/>
      <c r="Z203" s="461"/>
      <c r="AA203" s="461"/>
      <c r="AB203" s="461"/>
      <c r="AC203" s="461"/>
      <c r="AD203" s="461"/>
      <c r="AE203" s="461"/>
      <c r="AF203" s="461"/>
      <c r="AG203" s="461"/>
      <c r="AH203" s="461"/>
      <c r="AI203" s="461"/>
      <c r="AJ203" s="461"/>
      <c r="AK203" s="461"/>
      <c r="AL203" s="461"/>
      <c r="AM203" s="461"/>
      <c r="AN203" s="461"/>
      <c r="AO203" s="461"/>
      <c r="AP203" s="461"/>
      <c r="AQ203" s="461"/>
      <c r="AR203" s="461"/>
    </row>
    <row r="204" spans="1:44" s="102" customFormat="1">
      <c r="A204" s="117">
        <v>7</v>
      </c>
      <c r="B204" s="102" t="s">
        <v>254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1"/>
      <c r="S204" s="461"/>
      <c r="T204" s="461"/>
      <c r="U204" s="461"/>
      <c r="V204" s="461"/>
      <c r="W204" s="461"/>
      <c r="X204" s="461"/>
      <c r="Y204" s="461"/>
      <c r="Z204" s="461"/>
      <c r="AA204" s="461"/>
      <c r="AB204" s="461"/>
      <c r="AC204" s="461"/>
      <c r="AD204" s="461"/>
      <c r="AE204" s="461"/>
      <c r="AF204" s="461"/>
      <c r="AG204" s="461"/>
      <c r="AH204" s="461"/>
      <c r="AI204" s="461"/>
      <c r="AJ204" s="461"/>
      <c r="AK204" s="461"/>
      <c r="AL204" s="461"/>
      <c r="AM204" s="461"/>
      <c r="AN204" s="461"/>
      <c r="AO204" s="461"/>
      <c r="AP204" s="461"/>
      <c r="AQ204" s="461"/>
      <c r="AR204" s="461"/>
    </row>
    <row r="205" spans="1:44" s="102" customFormat="1">
      <c r="A205" s="117">
        <v>11</v>
      </c>
      <c r="B205" s="102" t="s">
        <v>256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1"/>
      <c r="S205" s="461"/>
      <c r="T205" s="461"/>
      <c r="U205" s="461"/>
      <c r="V205" s="461"/>
      <c r="W205" s="461"/>
      <c r="X205" s="461"/>
      <c r="Y205" s="461"/>
      <c r="Z205" s="461"/>
      <c r="AA205" s="461"/>
      <c r="AB205" s="461"/>
      <c r="AC205" s="461"/>
      <c r="AD205" s="461"/>
      <c r="AE205" s="461"/>
      <c r="AF205" s="461"/>
      <c r="AG205" s="461"/>
      <c r="AH205" s="461"/>
      <c r="AI205" s="461"/>
      <c r="AJ205" s="461"/>
      <c r="AK205" s="461"/>
      <c r="AL205" s="461"/>
      <c r="AM205" s="461"/>
      <c r="AN205" s="461"/>
      <c r="AO205" s="461"/>
      <c r="AP205" s="461"/>
      <c r="AQ205" s="461"/>
      <c r="AR205" s="461"/>
    </row>
    <row r="206" spans="1:44" s="102" customFormat="1">
      <c r="A206" s="118">
        <v>19</v>
      </c>
      <c r="B206" s="102" t="s">
        <v>260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1"/>
      <c r="S206" s="461"/>
      <c r="T206" s="461"/>
      <c r="U206" s="461"/>
      <c r="V206" s="461"/>
      <c r="W206" s="461"/>
      <c r="X206" s="461"/>
      <c r="Y206" s="461"/>
      <c r="Z206" s="461"/>
      <c r="AA206" s="461"/>
      <c r="AB206" s="461"/>
      <c r="AC206" s="461"/>
      <c r="AD206" s="461"/>
      <c r="AE206" s="461"/>
      <c r="AF206" s="461"/>
      <c r="AG206" s="461"/>
      <c r="AH206" s="461"/>
      <c r="AI206" s="461"/>
      <c r="AJ206" s="461"/>
      <c r="AK206" s="461"/>
      <c r="AL206" s="461"/>
      <c r="AM206" s="461"/>
      <c r="AN206" s="461"/>
      <c r="AO206" s="461"/>
      <c r="AP206" s="461"/>
      <c r="AQ206" s="461"/>
      <c r="AR206" s="461"/>
    </row>
    <row r="207" spans="1:44" s="102" customFormat="1">
      <c r="A207" s="118">
        <v>20</v>
      </c>
      <c r="B207" s="102" t="s">
        <v>267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1"/>
      <c r="S207" s="461"/>
      <c r="T207" s="461"/>
      <c r="U207" s="461"/>
      <c r="V207" s="461"/>
      <c r="W207" s="461"/>
      <c r="X207" s="461"/>
      <c r="Y207" s="461"/>
      <c r="Z207" s="461"/>
      <c r="AA207" s="461"/>
      <c r="AB207" s="461"/>
      <c r="AC207" s="461"/>
      <c r="AD207" s="461"/>
      <c r="AE207" s="461"/>
      <c r="AF207" s="461"/>
      <c r="AG207" s="461"/>
      <c r="AH207" s="461"/>
      <c r="AI207" s="461"/>
      <c r="AJ207" s="461"/>
      <c r="AK207" s="461"/>
      <c r="AL207" s="461"/>
      <c r="AM207" s="461"/>
      <c r="AN207" s="461"/>
      <c r="AO207" s="461"/>
      <c r="AP207" s="461"/>
      <c r="AQ207" s="461"/>
      <c r="AR207" s="461"/>
    </row>
    <row r="208" spans="1:44" s="102" customFormat="1">
      <c r="A208" s="117">
        <v>21</v>
      </c>
      <c r="B208" s="102" t="s">
        <v>261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1"/>
      <c r="S208" s="461"/>
      <c r="T208" s="461"/>
      <c r="U208" s="461"/>
      <c r="V208" s="461"/>
      <c r="W208" s="461"/>
      <c r="X208" s="461"/>
      <c r="Y208" s="461"/>
      <c r="Z208" s="461"/>
      <c r="AA208" s="461"/>
      <c r="AB208" s="461"/>
      <c r="AC208" s="461"/>
      <c r="AD208" s="461"/>
      <c r="AE208" s="461"/>
      <c r="AF208" s="461"/>
      <c r="AG208" s="461"/>
      <c r="AH208" s="461"/>
      <c r="AI208" s="461"/>
      <c r="AJ208" s="461"/>
      <c r="AK208" s="461"/>
      <c r="AL208" s="461"/>
      <c r="AM208" s="461"/>
      <c r="AN208" s="461"/>
      <c r="AO208" s="461"/>
      <c r="AP208" s="461"/>
      <c r="AQ208" s="461"/>
      <c r="AR208" s="461"/>
    </row>
    <row r="209" spans="1:44" s="102" customFormat="1">
      <c r="A209" s="117">
        <v>25</v>
      </c>
      <c r="B209" s="102" t="s">
        <v>263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1"/>
      <c r="S209" s="461"/>
      <c r="T209" s="461"/>
      <c r="U209" s="461"/>
      <c r="V209" s="461"/>
      <c r="W209" s="461"/>
      <c r="X209" s="461"/>
      <c r="Y209" s="461"/>
      <c r="Z209" s="461"/>
      <c r="AA209" s="461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1"/>
      <c r="AL209" s="461"/>
      <c r="AM209" s="461"/>
      <c r="AN209" s="461"/>
      <c r="AO209" s="461"/>
      <c r="AP209" s="461"/>
      <c r="AQ209" s="461"/>
      <c r="AR209" s="461"/>
    </row>
    <row r="210" spans="1:44" s="102" customFormat="1">
      <c r="A210" s="118">
        <v>29</v>
      </c>
      <c r="B210" s="102" t="s">
        <v>295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1"/>
      <c r="S210" s="461"/>
      <c r="T210" s="461"/>
      <c r="U210" s="461"/>
      <c r="V210" s="461"/>
      <c r="W210" s="461"/>
      <c r="X210" s="461"/>
      <c r="Y210" s="461"/>
      <c r="Z210" s="461"/>
      <c r="AA210" s="461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1"/>
      <c r="AL210" s="461"/>
      <c r="AM210" s="461"/>
      <c r="AN210" s="461"/>
      <c r="AO210" s="461"/>
      <c r="AP210" s="461"/>
      <c r="AQ210" s="461"/>
      <c r="AR210" s="461"/>
    </row>
    <row r="211" spans="1:44" s="102" customFormat="1">
      <c r="A211" s="118">
        <v>30</v>
      </c>
      <c r="B211" s="102" t="s">
        <v>296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1"/>
      <c r="S211" s="461"/>
      <c r="T211" s="461"/>
      <c r="U211" s="461"/>
      <c r="V211" s="461"/>
      <c r="W211" s="461"/>
      <c r="X211" s="461"/>
      <c r="Y211" s="461"/>
      <c r="Z211" s="461"/>
      <c r="AA211" s="461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1"/>
      <c r="AL211" s="461"/>
      <c r="AM211" s="461"/>
      <c r="AN211" s="461"/>
      <c r="AO211" s="461"/>
      <c r="AP211" s="461"/>
      <c r="AQ211" s="461"/>
      <c r="AR211" s="461"/>
    </row>
    <row r="212" spans="1:44">
      <c r="A212" s="1">
        <v>200</v>
      </c>
      <c r="B212" s="62" t="s">
        <v>97</v>
      </c>
      <c r="C212" s="592"/>
      <c r="D212" s="590" t="s">
        <v>401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7"/>
      <c r="R212" s="468"/>
      <c r="S212" s="470"/>
      <c r="T212" s="464"/>
      <c r="U212" s="464"/>
      <c r="V212" s="460"/>
      <c r="W212" s="460"/>
      <c r="X212" s="460"/>
      <c r="Y212" s="460"/>
      <c r="Z212" s="460"/>
      <c r="AA212" s="460"/>
      <c r="AB212" s="460"/>
      <c r="AC212" s="460"/>
      <c r="AD212" s="460"/>
      <c r="AE212" s="460"/>
      <c r="AF212" s="460"/>
      <c r="AG212" s="460"/>
      <c r="AH212" s="460"/>
      <c r="AI212" s="460"/>
      <c r="AJ212" s="460"/>
      <c r="AK212" s="460"/>
      <c r="AL212" s="460"/>
      <c r="AM212" s="460"/>
      <c r="AN212" s="460"/>
      <c r="AO212" s="460"/>
      <c r="AP212" s="460"/>
      <c r="AQ212" s="460"/>
      <c r="AR212" s="460"/>
    </row>
    <row r="213" spans="1:44">
      <c r="A213" s="37"/>
      <c r="B213" s="7" t="s">
        <v>18</v>
      </c>
      <c r="C213" s="592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7"/>
      <c r="R213" s="468"/>
      <c r="S213" s="470"/>
      <c r="T213" s="464"/>
      <c r="U213" s="464"/>
      <c r="V213" s="460"/>
      <c r="W213" s="460"/>
      <c r="X213" s="460"/>
      <c r="Y213" s="460"/>
      <c r="Z213" s="460"/>
      <c r="AA213" s="460"/>
      <c r="AB213" s="460"/>
      <c r="AC213" s="460"/>
      <c r="AD213" s="460"/>
      <c r="AE213" s="460"/>
      <c r="AF213" s="460"/>
      <c r="AG213" s="460"/>
      <c r="AH213" s="460"/>
      <c r="AI213" s="460"/>
      <c r="AJ213" s="460"/>
      <c r="AK213" s="460"/>
      <c r="AL213" s="460"/>
      <c r="AM213" s="460"/>
      <c r="AN213" s="460"/>
      <c r="AO213" s="460"/>
      <c r="AP213" s="460"/>
      <c r="AQ213" s="460"/>
      <c r="AR213" s="460"/>
    </row>
    <row r="214" spans="1:44">
      <c r="B214" s="458" t="s">
        <v>18</v>
      </c>
      <c r="C214" s="486"/>
      <c r="D214" s="487"/>
      <c r="E214" s="487"/>
      <c r="F214" s="488"/>
      <c r="G214" s="476"/>
      <c r="H214" s="487"/>
      <c r="I214" s="487"/>
      <c r="J214" s="487"/>
      <c r="K214" s="488"/>
      <c r="L214" s="489"/>
      <c r="M214" s="488"/>
      <c r="N214" s="488"/>
      <c r="O214" s="477"/>
      <c r="P214" s="477"/>
      <c r="Q214" s="490"/>
      <c r="R214" s="468"/>
      <c r="S214" s="470"/>
      <c r="T214" s="464"/>
      <c r="U214" s="464"/>
      <c r="V214" s="460"/>
      <c r="W214" s="460"/>
      <c r="X214" s="460"/>
      <c r="Y214" s="460"/>
      <c r="Z214" s="460"/>
      <c r="AA214" s="460"/>
      <c r="AB214" s="460"/>
      <c r="AC214" s="460"/>
      <c r="AD214" s="460"/>
      <c r="AE214" s="460"/>
      <c r="AF214" s="460"/>
      <c r="AG214" s="460"/>
      <c r="AH214" s="460"/>
      <c r="AI214" s="460"/>
      <c r="AJ214" s="460"/>
      <c r="AK214" s="460"/>
      <c r="AL214" s="460"/>
      <c r="AM214" s="460"/>
      <c r="AN214" s="460"/>
      <c r="AO214" s="460"/>
      <c r="AP214" s="460"/>
      <c r="AQ214" s="460"/>
      <c r="AR214" s="460"/>
    </row>
    <row r="215" spans="1:44">
      <c r="B215" s="484"/>
      <c r="C215" s="486"/>
      <c r="D215" s="487"/>
      <c r="E215" s="487"/>
      <c r="F215" s="488"/>
      <c r="G215" s="476"/>
      <c r="H215" s="487"/>
      <c r="I215" s="487"/>
      <c r="J215" s="487"/>
      <c r="K215" s="488"/>
      <c r="L215" s="488"/>
      <c r="M215" s="488"/>
      <c r="N215" s="488"/>
      <c r="O215" s="477"/>
      <c r="P215" s="477"/>
      <c r="Q215" s="491"/>
      <c r="R215" s="471"/>
      <c r="S215" s="470"/>
      <c r="T215" s="464"/>
      <c r="U215" s="464"/>
      <c r="V215" s="460"/>
      <c r="W215" s="460"/>
      <c r="X215" s="460"/>
      <c r="Y215" s="460"/>
      <c r="Z215" s="460"/>
      <c r="AA215" s="460"/>
      <c r="AB215" s="460"/>
      <c r="AC215" s="460"/>
      <c r="AD215" s="460"/>
      <c r="AE215" s="460"/>
      <c r="AF215" s="460"/>
      <c r="AG215" s="460"/>
      <c r="AH215" s="460"/>
      <c r="AI215" s="460"/>
      <c r="AJ215" s="460"/>
      <c r="AK215" s="460"/>
      <c r="AL215" s="460"/>
      <c r="AM215" s="460"/>
      <c r="AN215" s="460"/>
      <c r="AO215" s="460"/>
      <c r="AP215" s="460"/>
      <c r="AQ215" s="460"/>
      <c r="AR215" s="460"/>
    </row>
    <row r="216" spans="1:44">
      <c r="B216" s="484"/>
      <c r="C216" s="486"/>
      <c r="D216" s="492"/>
      <c r="E216" s="492"/>
      <c r="F216" s="493"/>
      <c r="G216" s="492"/>
      <c r="H216" s="494"/>
      <c r="I216" s="492"/>
      <c r="J216" s="492"/>
      <c r="K216" s="493"/>
      <c r="L216" s="493"/>
      <c r="M216" s="493"/>
      <c r="N216" s="493"/>
      <c r="O216" s="495"/>
      <c r="P216" s="495"/>
      <c r="Q216" s="491"/>
      <c r="R216" s="471"/>
      <c r="S216" s="470"/>
      <c r="T216" s="464"/>
      <c r="U216" s="464"/>
      <c r="V216" s="460"/>
      <c r="W216" s="460"/>
      <c r="X216" s="460"/>
      <c r="Y216" s="460"/>
      <c r="Z216" s="460"/>
      <c r="AA216" s="460"/>
      <c r="AB216" s="460"/>
      <c r="AC216" s="460"/>
      <c r="AD216" s="460"/>
      <c r="AE216" s="460"/>
      <c r="AF216" s="460"/>
      <c r="AG216" s="460"/>
      <c r="AH216" s="460"/>
      <c r="AI216" s="460"/>
      <c r="AJ216" s="460"/>
      <c r="AK216" s="460"/>
      <c r="AL216" s="460"/>
      <c r="AM216" s="460"/>
      <c r="AN216" s="460"/>
      <c r="AO216" s="460"/>
      <c r="AP216" s="460"/>
      <c r="AQ216" s="460"/>
      <c r="AR216" s="460"/>
    </row>
    <row r="217" spans="1:44">
      <c r="B217" s="459"/>
      <c r="C217" s="486"/>
      <c r="D217" s="492"/>
      <c r="E217" s="492"/>
      <c r="F217" s="493"/>
      <c r="G217" s="492"/>
      <c r="H217" s="494"/>
      <c r="I217" s="492"/>
      <c r="J217" s="492"/>
      <c r="K217" s="493"/>
      <c r="L217" s="493"/>
      <c r="M217" s="493"/>
      <c r="N217" s="493"/>
      <c r="O217" s="495"/>
      <c r="P217" s="495"/>
      <c r="Q217" s="491"/>
      <c r="R217" s="470"/>
      <c r="S217" s="470"/>
      <c r="T217" s="464"/>
      <c r="U217" s="464"/>
      <c r="V217" s="460"/>
      <c r="W217" s="460"/>
      <c r="X217" s="460"/>
      <c r="Y217" s="460"/>
      <c r="Z217" s="460"/>
      <c r="AA217" s="460"/>
      <c r="AB217" s="460"/>
      <c r="AC217" s="460"/>
      <c r="AD217" s="460"/>
      <c r="AE217" s="460"/>
      <c r="AF217" s="460"/>
      <c r="AG217" s="460"/>
      <c r="AH217" s="460"/>
      <c r="AI217" s="460"/>
      <c r="AJ217" s="460"/>
      <c r="AK217" s="460"/>
      <c r="AL217" s="460"/>
      <c r="AM217" s="460"/>
      <c r="AN217" s="460"/>
      <c r="AO217" s="460"/>
      <c r="AP217" s="460"/>
      <c r="AQ217" s="460"/>
      <c r="AR217" s="460"/>
    </row>
    <row r="218" spans="1:44">
      <c r="B218" s="460"/>
      <c r="C218" s="496"/>
      <c r="D218" s="497"/>
      <c r="E218" s="497"/>
      <c r="F218" s="498"/>
      <c r="G218" s="497"/>
      <c r="H218" s="499"/>
      <c r="I218" s="497"/>
      <c r="J218" s="497"/>
      <c r="K218" s="498"/>
      <c r="L218" s="498"/>
      <c r="M218" s="498"/>
      <c r="N218" s="498"/>
      <c r="O218" s="500"/>
      <c r="P218" s="500"/>
      <c r="Q218" s="501"/>
      <c r="R218" s="472"/>
      <c r="S218" s="460"/>
      <c r="T218" s="460"/>
      <c r="U218" s="460"/>
      <c r="V218" s="460"/>
      <c r="W218" s="460"/>
      <c r="X218" s="460"/>
      <c r="Y218" s="460"/>
      <c r="Z218" s="460"/>
      <c r="AA218" s="460"/>
      <c r="AB218" s="460"/>
      <c r="AC218" s="460"/>
      <c r="AD218" s="460"/>
      <c r="AE218" s="460"/>
      <c r="AF218" s="460"/>
      <c r="AG218" s="460"/>
      <c r="AH218" s="460"/>
      <c r="AI218" s="460"/>
      <c r="AJ218" s="460"/>
      <c r="AK218" s="460"/>
      <c r="AL218" s="460"/>
      <c r="AM218" s="460"/>
      <c r="AN218" s="460"/>
      <c r="AO218" s="460"/>
      <c r="AP218" s="460"/>
      <c r="AQ218" s="460"/>
      <c r="AR218" s="460"/>
    </row>
    <row r="219" spans="1:44">
      <c r="B219" s="460"/>
      <c r="C219" s="496"/>
      <c r="D219" s="497"/>
      <c r="E219" s="497"/>
      <c r="F219" s="498"/>
      <c r="G219" s="497"/>
      <c r="H219" s="499"/>
      <c r="I219" s="497"/>
      <c r="J219" s="497"/>
      <c r="K219" s="498"/>
      <c r="L219" s="498"/>
      <c r="M219" s="498"/>
      <c r="N219" s="498"/>
      <c r="O219" s="500"/>
      <c r="P219" s="500"/>
      <c r="Q219" s="501"/>
      <c r="R219" s="472"/>
      <c r="S219" s="460"/>
      <c r="T219" s="460"/>
      <c r="U219" s="460"/>
      <c r="V219" s="460"/>
      <c r="W219" s="460"/>
      <c r="X219" s="460"/>
      <c r="Y219" s="460"/>
      <c r="Z219" s="460"/>
      <c r="AA219" s="460"/>
      <c r="AB219" s="460"/>
      <c r="AC219" s="460"/>
      <c r="AD219" s="460"/>
      <c r="AE219" s="460"/>
      <c r="AF219" s="460"/>
      <c r="AG219" s="460"/>
      <c r="AH219" s="460"/>
      <c r="AI219" s="460"/>
      <c r="AJ219" s="460"/>
      <c r="AK219" s="460"/>
      <c r="AL219" s="460"/>
      <c r="AM219" s="460"/>
      <c r="AN219" s="460"/>
      <c r="AO219" s="460"/>
      <c r="AP219" s="460"/>
      <c r="AQ219" s="460"/>
      <c r="AR219" s="460"/>
    </row>
    <row r="220" spans="1:44">
      <c r="B220" s="460"/>
      <c r="C220" s="496"/>
      <c r="D220" s="497"/>
      <c r="E220" s="497"/>
      <c r="F220" s="502"/>
      <c r="G220" s="497"/>
      <c r="H220" s="499"/>
      <c r="I220" s="497"/>
      <c r="J220" s="497"/>
      <c r="K220" s="498"/>
      <c r="L220" s="498"/>
      <c r="M220" s="498"/>
      <c r="N220" s="498"/>
      <c r="O220" s="500"/>
      <c r="P220" s="500"/>
      <c r="Q220" s="501"/>
      <c r="R220" s="472"/>
      <c r="S220" s="460"/>
      <c r="T220" s="460"/>
      <c r="U220" s="460"/>
      <c r="V220" s="460"/>
      <c r="W220" s="460"/>
      <c r="X220" s="460"/>
      <c r="Y220" s="460"/>
      <c r="Z220" s="460"/>
      <c r="AA220" s="460"/>
      <c r="AB220" s="460"/>
      <c r="AC220" s="460"/>
      <c r="AD220" s="460"/>
      <c r="AE220" s="460"/>
      <c r="AF220" s="460"/>
      <c r="AG220" s="460"/>
      <c r="AH220" s="460"/>
      <c r="AI220" s="460"/>
      <c r="AJ220" s="460"/>
      <c r="AK220" s="460"/>
      <c r="AL220" s="460"/>
      <c r="AM220" s="460"/>
      <c r="AN220" s="460"/>
      <c r="AO220" s="460"/>
      <c r="AP220" s="460"/>
      <c r="AQ220" s="460"/>
      <c r="AR220" s="460"/>
    </row>
    <row r="221" spans="1:44">
      <c r="B221" s="460"/>
      <c r="C221" s="496"/>
      <c r="D221" s="497"/>
      <c r="E221" s="497"/>
      <c r="F221" s="502"/>
      <c r="G221" s="497"/>
      <c r="H221" s="499"/>
      <c r="I221" s="497"/>
      <c r="J221" s="497"/>
      <c r="K221" s="498"/>
      <c r="L221" s="498"/>
      <c r="M221" s="498"/>
      <c r="N221" s="498"/>
      <c r="O221" s="500"/>
      <c r="P221" s="500"/>
      <c r="Q221" s="501"/>
      <c r="R221" s="472"/>
      <c r="S221" s="460"/>
      <c r="T221" s="460"/>
      <c r="U221" s="460"/>
      <c r="V221" s="460"/>
      <c r="W221" s="460"/>
      <c r="X221" s="460"/>
      <c r="Y221" s="460"/>
      <c r="Z221" s="460"/>
      <c r="AA221" s="460"/>
      <c r="AB221" s="460"/>
      <c r="AC221" s="460"/>
      <c r="AD221" s="460"/>
      <c r="AE221" s="460"/>
      <c r="AF221" s="460"/>
      <c r="AG221" s="460"/>
      <c r="AH221" s="460"/>
      <c r="AI221" s="460"/>
      <c r="AJ221" s="460"/>
      <c r="AK221" s="460"/>
      <c r="AL221" s="460"/>
      <c r="AM221" s="460"/>
      <c r="AN221" s="460"/>
      <c r="AO221" s="460"/>
      <c r="AP221" s="460"/>
      <c r="AQ221" s="460"/>
      <c r="AR221" s="460"/>
    </row>
    <row r="222" spans="1:44" ht="13.2">
      <c r="B222" s="485"/>
      <c r="C222" s="496"/>
      <c r="D222" s="497"/>
      <c r="E222" s="497"/>
      <c r="F222" s="502"/>
      <c r="G222" s="497"/>
      <c r="H222" s="499"/>
      <c r="I222" s="497"/>
      <c r="J222" s="497"/>
      <c r="K222" s="498"/>
      <c r="L222" s="498"/>
      <c r="M222" s="498"/>
      <c r="N222" s="498"/>
      <c r="O222" s="500"/>
      <c r="P222" s="500"/>
      <c r="Q222" s="501"/>
      <c r="R222" s="472"/>
      <c r="S222" s="460"/>
      <c r="T222" s="460"/>
      <c r="U222" s="460"/>
      <c r="V222" s="460"/>
      <c r="W222" s="460"/>
      <c r="X222" s="460"/>
      <c r="Y222" s="460"/>
      <c r="Z222" s="460"/>
      <c r="AA222" s="460"/>
      <c r="AB222" s="460"/>
      <c r="AC222" s="460"/>
      <c r="AD222" s="460"/>
      <c r="AE222" s="460"/>
      <c r="AF222" s="460"/>
      <c r="AG222" s="460"/>
      <c r="AH222" s="460"/>
      <c r="AI222" s="460"/>
      <c r="AJ222" s="460"/>
      <c r="AK222" s="460"/>
      <c r="AL222" s="460"/>
      <c r="AM222" s="460"/>
      <c r="AN222" s="460"/>
      <c r="AO222" s="460"/>
      <c r="AP222" s="460"/>
      <c r="AQ222" s="460"/>
      <c r="AR222" s="460"/>
    </row>
    <row r="223" spans="1:44">
      <c r="B223" s="460"/>
      <c r="C223" s="496"/>
      <c r="D223" s="497"/>
      <c r="E223" s="497"/>
      <c r="F223" s="503"/>
      <c r="G223" s="497"/>
      <c r="H223" s="499"/>
      <c r="I223" s="497"/>
      <c r="J223" s="497"/>
      <c r="K223" s="498"/>
      <c r="L223" s="498"/>
      <c r="M223" s="498"/>
      <c r="N223" s="498"/>
      <c r="O223" s="500"/>
      <c r="P223" s="500"/>
      <c r="Q223" s="501"/>
      <c r="R223" s="472"/>
      <c r="S223" s="460"/>
      <c r="T223" s="460"/>
      <c r="U223" s="460"/>
      <c r="V223" s="460"/>
      <c r="W223" s="460"/>
      <c r="X223" s="460"/>
      <c r="Y223" s="460"/>
      <c r="Z223" s="460"/>
      <c r="AA223" s="460"/>
      <c r="AB223" s="460"/>
      <c r="AC223" s="460"/>
      <c r="AD223" s="460"/>
      <c r="AE223" s="460"/>
      <c r="AF223" s="460"/>
      <c r="AG223" s="460"/>
      <c r="AH223" s="460"/>
      <c r="AI223" s="460"/>
      <c r="AJ223" s="460"/>
      <c r="AK223" s="460"/>
      <c r="AL223" s="460"/>
      <c r="AM223" s="460"/>
      <c r="AN223" s="460"/>
      <c r="AO223" s="460"/>
      <c r="AP223" s="460"/>
      <c r="AQ223" s="460"/>
      <c r="AR223" s="460"/>
    </row>
    <row r="224" spans="1:44">
      <c r="B224" s="472"/>
      <c r="C224" s="504"/>
      <c r="D224" s="505"/>
      <c r="E224" s="505"/>
      <c r="F224" s="503"/>
      <c r="G224" s="505"/>
      <c r="H224" s="506"/>
      <c r="I224" s="505"/>
      <c r="J224" s="505"/>
      <c r="K224" s="507"/>
      <c r="L224" s="507"/>
      <c r="M224" s="507"/>
      <c r="N224" s="507"/>
      <c r="O224" s="507"/>
      <c r="P224" s="507"/>
      <c r="Q224" s="501"/>
      <c r="R224" s="472"/>
      <c r="S224" s="460"/>
      <c r="T224" s="460"/>
      <c r="U224" s="460"/>
      <c r="V224" s="460"/>
      <c r="W224" s="460"/>
      <c r="X224" s="460"/>
      <c r="Y224" s="460"/>
      <c r="Z224" s="460"/>
      <c r="AA224" s="460"/>
      <c r="AB224" s="460"/>
      <c r="AC224" s="460"/>
      <c r="AD224" s="460"/>
      <c r="AE224" s="460"/>
      <c r="AF224" s="460"/>
      <c r="AG224" s="460"/>
      <c r="AH224" s="460"/>
      <c r="AI224" s="460"/>
      <c r="AJ224" s="460"/>
      <c r="AK224" s="460"/>
      <c r="AL224" s="460"/>
      <c r="AM224" s="460"/>
      <c r="AN224" s="460"/>
      <c r="AO224" s="460"/>
      <c r="AP224" s="460"/>
      <c r="AQ224" s="460"/>
      <c r="AR224" s="460"/>
    </row>
    <row r="225" spans="2:44" ht="13.2">
      <c r="B225" s="485"/>
      <c r="C225" s="504"/>
      <c r="D225" s="505"/>
      <c r="E225" s="505"/>
      <c r="F225" s="507"/>
      <c r="G225" s="505"/>
      <c r="H225" s="506"/>
      <c r="I225" s="505"/>
      <c r="J225" s="505"/>
      <c r="K225" s="507"/>
      <c r="L225" s="507"/>
      <c r="M225" s="507"/>
      <c r="N225" s="507"/>
      <c r="O225" s="507"/>
      <c r="P225" s="507"/>
      <c r="Q225" s="501"/>
      <c r="R225" s="472"/>
      <c r="S225" s="460"/>
      <c r="T225" s="460"/>
      <c r="U225" s="460"/>
      <c r="V225" s="460"/>
      <c r="W225" s="460"/>
      <c r="X225" s="460"/>
      <c r="Y225" s="460"/>
      <c r="Z225" s="460"/>
      <c r="AA225" s="460"/>
      <c r="AB225" s="460"/>
      <c r="AC225" s="460"/>
      <c r="AD225" s="460"/>
      <c r="AE225" s="460"/>
      <c r="AF225" s="460"/>
      <c r="AG225" s="460"/>
      <c r="AH225" s="460"/>
      <c r="AI225" s="460"/>
      <c r="AJ225" s="460"/>
      <c r="AK225" s="460"/>
      <c r="AL225" s="460"/>
      <c r="AM225" s="460"/>
      <c r="AN225" s="460"/>
      <c r="AO225" s="460"/>
      <c r="AP225" s="460"/>
      <c r="AQ225" s="460"/>
      <c r="AR225" s="460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BtkoQe0DXktQHOLUiJ18ROblMF0Ryd3wgFuRFxl8mqM+7bP+ddslb5eZziePAuZX6Ar+Pkco2p3AfoxD4ZDfIQ==" saltValue="uVPfXUWFtVgbhrmIUJKjwQ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B2">
    <cfRule type="cellIs" priority="29" stopIfTrue="1" operator="between">
      <formula>"0,000000001"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hyperlinks>
    <hyperlink ref="B2" r:id="rId1" xr:uid="{ABA194DC-629D-4FE0-963F-312F492B3CE9}"/>
  </hyperlinks>
  <pageMargins left="0.31496062992125984" right="0.23622047244094491" top="0.47244094488188981" bottom="0.35433070866141736" header="0.15748031496062992" footer="0.15748031496062992"/>
  <pageSetup paperSize="9" scale="90" orientation="landscape" r:id="rId2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6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7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8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9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10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1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2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3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4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5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6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7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69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20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6"/>
      <c r="C1" s="441"/>
      <c r="D1" s="406"/>
      <c r="E1" s="406"/>
    </row>
    <row r="2" spans="1:8" s="398" customFormat="1" ht="22.8">
      <c r="A2" s="437"/>
      <c r="B2" s="517" t="s">
        <v>428</v>
      </c>
      <c r="C2" s="442"/>
      <c r="D2" s="443"/>
      <c r="E2" s="443"/>
    </row>
    <row r="3" spans="1:8" s="398" customFormat="1" ht="22.8">
      <c r="A3" s="437"/>
      <c r="B3" s="517" t="s">
        <v>95</v>
      </c>
      <c r="C3" s="442"/>
      <c r="D3" s="443"/>
      <c r="E3" s="443"/>
    </row>
    <row r="4" spans="1:8" s="398" customFormat="1" ht="12.75" customHeight="1">
      <c r="A4" s="406"/>
      <c r="B4" s="518"/>
      <c r="C4" s="441"/>
      <c r="D4" s="406"/>
      <c r="E4" s="406"/>
    </row>
    <row r="5" spans="1:8" ht="6.75" customHeight="1">
      <c r="B5" s="519" t="s">
        <v>115</v>
      </c>
      <c r="C5" s="207"/>
      <c r="E5" s="57"/>
    </row>
    <row r="6" spans="1:8" ht="15.6">
      <c r="B6" s="519"/>
      <c r="C6" s="207"/>
      <c r="D6" s="59" t="s">
        <v>99</v>
      </c>
      <c r="E6" s="57"/>
      <c r="H6" s="58"/>
    </row>
    <row r="7" spans="1:8" ht="41.25" customHeight="1">
      <c r="C7" s="207"/>
      <c r="D7" s="248" t="s">
        <v>184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1" t="s">
        <v>133</v>
      </c>
      <c r="C11" s="208" t="s">
        <v>431</v>
      </c>
      <c r="D11" s="57"/>
      <c r="E11" s="57"/>
    </row>
    <row r="12" spans="1:8">
      <c r="B12" s="522" t="s">
        <v>302</v>
      </c>
      <c r="C12" s="205"/>
      <c r="D12" s="57"/>
      <c r="E12" s="57"/>
    </row>
    <row r="13" spans="1:8" ht="30" customHeight="1">
      <c r="B13" s="522"/>
      <c r="C13" s="209"/>
      <c r="D13" s="57"/>
      <c r="E13" s="57"/>
    </row>
    <row r="14" spans="1:8" ht="15.6">
      <c r="B14" s="523"/>
      <c r="C14" s="209"/>
      <c r="D14" s="57"/>
      <c r="E14" s="57"/>
    </row>
    <row r="15" spans="1:8" ht="15.6">
      <c r="B15" s="524"/>
      <c r="C15" s="209"/>
      <c r="D15" s="57"/>
      <c r="E15" s="57"/>
    </row>
    <row r="16" spans="1:8">
      <c r="B16" s="525"/>
      <c r="C16" s="209"/>
      <c r="D16" s="57"/>
      <c r="E16" s="57"/>
    </row>
    <row r="17" spans="2:5">
      <c r="B17" s="525"/>
      <c r="C17" s="209"/>
      <c r="D17" s="57"/>
      <c r="E17" s="57"/>
    </row>
    <row r="18" spans="2:5">
      <c r="B18" s="525"/>
      <c r="C18" s="209"/>
      <c r="D18" s="57"/>
      <c r="E18" s="57"/>
    </row>
    <row r="19" spans="2:5" ht="409.5" customHeight="1">
      <c r="B19" s="526"/>
      <c r="C19" s="209"/>
      <c r="D19" s="57"/>
      <c r="E19" s="57"/>
    </row>
    <row r="20" spans="2:5" ht="80.099999999999994" customHeight="1">
      <c r="B20" s="522"/>
      <c r="C20" s="209"/>
      <c r="D20" s="57"/>
      <c r="E20" s="57"/>
    </row>
    <row r="21" spans="2:5">
      <c r="B21" s="521" t="s">
        <v>133</v>
      </c>
      <c r="C21" s="208">
        <v>46094</v>
      </c>
      <c r="D21" s="57"/>
      <c r="E21" s="57"/>
    </row>
    <row r="22" spans="2:5">
      <c r="B22" s="522" t="s">
        <v>302</v>
      </c>
      <c r="C22" s="205"/>
      <c r="D22" s="57"/>
      <c r="E22" s="57"/>
    </row>
    <row r="23" spans="2:5" ht="30" customHeight="1">
      <c r="B23" s="522"/>
      <c r="C23" s="209"/>
      <c r="D23" s="57"/>
      <c r="E23" s="57"/>
    </row>
    <row r="24" spans="2:5" ht="15.6">
      <c r="B24" s="527"/>
      <c r="C24" s="209"/>
      <c r="D24" s="57"/>
      <c r="E24" s="57"/>
    </row>
    <row r="25" spans="2:5" ht="15.6">
      <c r="B25" s="528"/>
      <c r="C25" s="209"/>
      <c r="D25" s="57"/>
      <c r="E25" s="57"/>
    </row>
    <row r="26" spans="2:5">
      <c r="B26" s="522"/>
      <c r="C26" s="209"/>
      <c r="D26" s="57"/>
      <c r="E26" s="57"/>
    </row>
    <row r="27" spans="2:5">
      <c r="B27" s="529"/>
      <c r="C27" s="209"/>
      <c r="D27" s="57"/>
      <c r="E27" s="57"/>
    </row>
    <row r="28" spans="2:5">
      <c r="B28" s="522"/>
      <c r="C28" s="209"/>
      <c r="D28" s="57"/>
      <c r="E28" s="57"/>
    </row>
    <row r="29" spans="2:5" ht="408.9" customHeight="1">
      <c r="B29" s="530"/>
      <c r="C29" s="209"/>
      <c r="D29" s="57"/>
      <c r="E29" s="57"/>
    </row>
    <row r="30" spans="2:5" ht="80.099999999999994" customHeight="1">
      <c r="B30" s="522"/>
      <c r="C30" s="209"/>
      <c r="D30" s="57"/>
      <c r="E30" s="57"/>
    </row>
    <row r="31" spans="2:5">
      <c r="B31" s="521" t="s">
        <v>133</v>
      </c>
      <c r="C31" s="208">
        <v>46133</v>
      </c>
      <c r="D31" s="57"/>
      <c r="E31" s="57"/>
    </row>
    <row r="32" spans="2:5">
      <c r="B32" s="522" t="s">
        <v>302</v>
      </c>
      <c r="C32" s="205"/>
      <c r="D32" s="57"/>
      <c r="E32" s="57"/>
    </row>
    <row r="33" spans="2:5" ht="30" customHeight="1">
      <c r="B33" s="522"/>
      <c r="C33" s="209"/>
      <c r="E33" s="57"/>
    </row>
    <row r="34" spans="2:5" ht="15.6">
      <c r="B34" s="527"/>
      <c r="C34" s="209"/>
      <c r="D34" s="57"/>
      <c r="E34" s="57"/>
    </row>
    <row r="35" spans="2:5" ht="15.6">
      <c r="B35" s="528"/>
      <c r="C35" s="209"/>
      <c r="D35" s="57"/>
      <c r="E35" s="57"/>
    </row>
    <row r="36" spans="2:5">
      <c r="B36" s="522"/>
      <c r="C36" s="209"/>
      <c r="D36" s="57"/>
      <c r="E36" s="57"/>
    </row>
    <row r="37" spans="2:5">
      <c r="B37" s="529"/>
      <c r="C37" s="209"/>
      <c r="D37" s="57"/>
      <c r="E37" s="57"/>
    </row>
    <row r="38" spans="2:5">
      <c r="B38" s="522"/>
      <c r="C38" s="209"/>
      <c r="D38" s="57"/>
      <c r="E38" s="57"/>
    </row>
    <row r="39" spans="2:5" ht="408.9" customHeight="1">
      <c r="B39" s="530"/>
      <c r="C39" s="209"/>
      <c r="D39" s="57"/>
      <c r="E39" s="57"/>
    </row>
    <row r="40" spans="2:5" ht="80.099999999999994" customHeight="1">
      <c r="B40" s="522"/>
      <c r="C40" s="209"/>
      <c r="D40" s="57"/>
      <c r="E40" s="57"/>
    </row>
    <row r="41" spans="2:5">
      <c r="B41" s="521" t="s">
        <v>133</v>
      </c>
      <c r="C41" s="208">
        <v>46149</v>
      </c>
      <c r="D41" s="57"/>
      <c r="E41" s="57"/>
    </row>
    <row r="42" spans="2:5">
      <c r="B42" s="522" t="s">
        <v>302</v>
      </c>
      <c r="C42" s="205"/>
      <c r="D42" s="57"/>
      <c r="E42" s="57"/>
    </row>
    <row r="43" spans="2:5" ht="30" customHeight="1">
      <c r="B43" s="522"/>
      <c r="C43" s="209"/>
      <c r="D43" s="733"/>
      <c r="E43" s="57"/>
    </row>
    <row r="44" spans="2:5" ht="15.6">
      <c r="B44" s="527"/>
      <c r="C44" s="209"/>
      <c r="D44" s="733"/>
      <c r="E44" s="57"/>
    </row>
    <row r="45" spans="2:5" ht="15.6">
      <c r="B45" s="528"/>
      <c r="C45" s="209"/>
      <c r="D45" s="733"/>
      <c r="E45" s="57"/>
    </row>
    <row r="46" spans="2:5">
      <c r="B46" s="522"/>
      <c r="C46" s="209"/>
      <c r="D46" s="57"/>
      <c r="E46" s="57"/>
    </row>
    <row r="47" spans="2:5">
      <c r="B47" s="529"/>
      <c r="C47" s="209"/>
      <c r="D47" s="57"/>
      <c r="E47" s="57"/>
    </row>
    <row r="48" spans="2:5">
      <c r="B48" s="522"/>
      <c r="C48" s="209"/>
      <c r="D48" s="57"/>
      <c r="E48" s="57"/>
    </row>
    <row r="49" spans="2:5" ht="408.9" customHeight="1">
      <c r="B49" s="530"/>
      <c r="C49" s="209"/>
      <c r="D49" s="57"/>
      <c r="E49" s="57"/>
    </row>
    <row r="50" spans="2:5" ht="80.099999999999994" customHeight="1">
      <c r="B50" s="522"/>
      <c r="C50" s="209"/>
      <c r="D50" s="57"/>
      <c r="E50" s="57"/>
    </row>
    <row r="51" spans="2:5">
      <c r="B51" s="521" t="s">
        <v>133</v>
      </c>
      <c r="C51" s="208">
        <v>46188</v>
      </c>
      <c r="D51" s="57"/>
      <c r="E51" s="57"/>
    </row>
    <row r="52" spans="2:5">
      <c r="B52" s="522" t="s">
        <v>302</v>
      </c>
      <c r="C52" s="205"/>
      <c r="D52" s="57"/>
      <c r="E52" s="57"/>
    </row>
    <row r="53" spans="2:5" ht="30" customHeight="1">
      <c r="B53" s="522"/>
      <c r="C53" s="209"/>
      <c r="E53" s="57"/>
    </row>
    <row r="54" spans="2:5" ht="15.6">
      <c r="B54" s="527"/>
      <c r="C54" s="209"/>
      <c r="E54" s="57"/>
    </row>
    <row r="55" spans="2:5" ht="15.6">
      <c r="B55" s="528"/>
      <c r="C55" s="209"/>
      <c r="D55" s="57"/>
      <c r="E55" s="57"/>
    </row>
    <row r="56" spans="2:5">
      <c r="B56" s="522"/>
      <c r="C56" s="209"/>
      <c r="D56" s="57"/>
      <c r="E56" s="57"/>
    </row>
    <row r="57" spans="2:5">
      <c r="B57" s="529"/>
      <c r="C57" s="209"/>
      <c r="D57" s="57"/>
      <c r="E57" s="57"/>
    </row>
    <row r="58" spans="2:5">
      <c r="B58" s="522"/>
      <c r="C58" s="209"/>
      <c r="D58" s="57"/>
      <c r="E58" s="57"/>
    </row>
    <row r="59" spans="2:5" ht="408.9" customHeight="1">
      <c r="B59" s="530"/>
      <c r="C59" s="209"/>
      <c r="D59" s="57"/>
      <c r="E59" s="57"/>
    </row>
    <row r="60" spans="2:5" ht="80.099999999999994" customHeight="1">
      <c r="B60" s="522"/>
      <c r="C60" s="209"/>
      <c r="D60" s="57"/>
      <c r="E60" s="57"/>
    </row>
    <row r="61" spans="2:5">
      <c r="B61" s="521" t="s">
        <v>133</v>
      </c>
      <c r="C61" s="208">
        <v>46240</v>
      </c>
      <c r="D61" s="57"/>
      <c r="E61" s="57"/>
    </row>
    <row r="62" spans="2:5">
      <c r="B62" s="522" t="s">
        <v>302</v>
      </c>
      <c r="C62" s="205"/>
      <c r="D62" s="57"/>
      <c r="E62" s="57"/>
    </row>
    <row r="63" spans="2:5" ht="30" customHeight="1">
      <c r="B63" s="522"/>
      <c r="C63" s="209"/>
      <c r="D63" s="57"/>
      <c r="E63" s="57"/>
    </row>
    <row r="64" spans="2:5" ht="15.6">
      <c r="B64" s="527"/>
      <c r="C64" s="209"/>
      <c r="D64" s="57"/>
      <c r="E64" s="57"/>
    </row>
    <row r="65" spans="2:5" ht="15.6">
      <c r="B65" s="528"/>
      <c r="C65" s="209"/>
      <c r="D65" s="57"/>
      <c r="E65" s="57"/>
    </row>
    <row r="66" spans="2:5">
      <c r="B66" s="522"/>
      <c r="C66" s="209"/>
      <c r="D66" s="57"/>
      <c r="E66" s="57"/>
    </row>
    <row r="67" spans="2:5">
      <c r="B67" s="529"/>
      <c r="C67" s="209"/>
      <c r="D67" s="57"/>
      <c r="E67" s="57"/>
    </row>
    <row r="68" spans="2:5">
      <c r="B68" s="522"/>
      <c r="C68" s="209"/>
      <c r="D68" s="57"/>
      <c r="E68" s="57"/>
    </row>
    <row r="69" spans="2:5" ht="408.9" customHeight="1">
      <c r="B69" s="531"/>
      <c r="C69" s="209"/>
      <c r="D69" s="57"/>
      <c r="E69" s="57"/>
    </row>
    <row r="70" spans="2:5" ht="80.099999999999994" customHeight="1">
      <c r="B70" s="522"/>
      <c r="C70" s="209"/>
      <c r="D70" s="57"/>
      <c r="E70" s="57"/>
    </row>
    <row r="71" spans="2:5">
      <c r="B71" s="521" t="s">
        <v>133</v>
      </c>
      <c r="C71" s="208" t="s">
        <v>432</v>
      </c>
      <c r="D71" s="57"/>
      <c r="E71" s="57"/>
    </row>
    <row r="72" spans="2:5">
      <c r="B72" s="522" t="s">
        <v>302</v>
      </c>
      <c r="C72" s="205"/>
      <c r="D72" s="57"/>
      <c r="E72" s="57"/>
    </row>
    <row r="73" spans="2:5" ht="30" customHeight="1">
      <c r="B73" s="522"/>
      <c r="C73" s="209"/>
      <c r="D73" s="57"/>
      <c r="E73" s="57"/>
    </row>
    <row r="74" spans="2:5" ht="15.6">
      <c r="B74" s="527"/>
      <c r="C74" s="209"/>
      <c r="D74" s="57"/>
      <c r="E74" s="57"/>
    </row>
    <row r="75" spans="2:5" ht="15.6">
      <c r="B75" s="528"/>
      <c r="C75" s="209"/>
      <c r="D75" s="57"/>
      <c r="E75" s="57"/>
    </row>
    <row r="76" spans="2:5">
      <c r="B76" s="522"/>
      <c r="C76" s="209"/>
      <c r="E76" s="57"/>
    </row>
    <row r="77" spans="2:5">
      <c r="B77" s="529"/>
      <c r="C77" s="209"/>
      <c r="D77" s="57"/>
      <c r="E77" s="57"/>
    </row>
    <row r="78" spans="2:5">
      <c r="B78" s="522"/>
      <c r="C78" s="209"/>
      <c r="D78" s="57"/>
      <c r="E78" s="57"/>
    </row>
    <row r="79" spans="2:5" ht="408.9" customHeight="1">
      <c r="B79" s="531"/>
      <c r="C79" s="209"/>
      <c r="D79" s="57"/>
      <c r="E79" s="57"/>
    </row>
    <row r="80" spans="2:5" ht="80.099999999999994" customHeight="1">
      <c r="B80" s="522"/>
      <c r="C80" s="209"/>
      <c r="D80" s="57"/>
      <c r="E80" s="57"/>
    </row>
    <row r="81" spans="2:5">
      <c r="B81" s="521" t="s">
        <v>134</v>
      </c>
      <c r="C81" s="208" t="s">
        <v>433</v>
      </c>
      <c r="D81" s="57"/>
      <c r="E81" s="57"/>
    </row>
    <row r="82" spans="2:5">
      <c r="B82" s="522" t="s">
        <v>302</v>
      </c>
      <c r="C82" s="205"/>
      <c r="D82" s="57"/>
      <c r="E82" s="57"/>
    </row>
    <row r="83" spans="2:5" ht="30" customHeight="1">
      <c r="B83" s="522"/>
      <c r="C83" s="209"/>
      <c r="D83" s="57"/>
      <c r="E83" s="57"/>
    </row>
    <row r="84" spans="2:5" ht="15.6">
      <c r="B84" s="527"/>
      <c r="C84" s="209"/>
      <c r="D84" s="57"/>
      <c r="E84" s="57"/>
    </row>
    <row r="85" spans="2:5" ht="15.6">
      <c r="B85" s="528"/>
      <c r="C85" s="209"/>
      <c r="D85" s="57"/>
      <c r="E85" s="57"/>
    </row>
    <row r="86" spans="2:5">
      <c r="B86" s="522"/>
      <c r="C86" s="209"/>
      <c r="D86" s="57"/>
      <c r="E86" s="57"/>
    </row>
    <row r="87" spans="2:5">
      <c r="B87" s="529"/>
      <c r="C87" s="209"/>
      <c r="D87" s="57"/>
      <c r="E87" s="57"/>
    </row>
    <row r="88" spans="2:5">
      <c r="B88" s="522"/>
      <c r="C88" s="209"/>
      <c r="D88" s="57"/>
      <c r="E88" s="57"/>
    </row>
    <row r="89" spans="2:5" ht="409.2" customHeight="1">
      <c r="B89" s="530"/>
      <c r="C89" s="209"/>
      <c r="D89" s="57"/>
      <c r="E89" s="57"/>
    </row>
    <row r="90" spans="2:5" ht="80.099999999999994" customHeight="1">
      <c r="B90" s="522"/>
      <c r="C90" s="209"/>
      <c r="D90" s="57"/>
      <c r="E90" s="57"/>
    </row>
    <row r="91" spans="2:5">
      <c r="B91" s="521" t="s">
        <v>133</v>
      </c>
      <c r="C91" s="208" t="s">
        <v>434</v>
      </c>
      <c r="D91" s="57"/>
      <c r="E91" s="57"/>
    </row>
    <row r="92" spans="2:5">
      <c r="B92" s="522" t="s">
        <v>302</v>
      </c>
      <c r="C92" s="205"/>
      <c r="D92" s="57"/>
      <c r="E92" s="57"/>
    </row>
    <row r="93" spans="2:5" ht="30" customHeight="1">
      <c r="B93" s="522"/>
      <c r="C93" s="209"/>
      <c r="D93" s="57"/>
      <c r="E93" s="57"/>
    </row>
    <row r="94" spans="2:5" ht="15.6">
      <c r="B94" s="527"/>
      <c r="C94" s="209"/>
      <c r="D94" s="57"/>
      <c r="E94" s="57"/>
    </row>
    <row r="95" spans="2:5" ht="15.6">
      <c r="B95" s="528"/>
      <c r="C95" s="209"/>
      <c r="D95" s="57"/>
      <c r="E95" s="57"/>
    </row>
    <row r="96" spans="2:5">
      <c r="B96" s="522"/>
      <c r="C96" s="209"/>
      <c r="D96" s="57"/>
      <c r="E96" s="57"/>
    </row>
    <row r="97" spans="1:5">
      <c r="B97" s="529"/>
      <c r="C97" s="209"/>
      <c r="D97" s="57"/>
      <c r="E97" s="57"/>
    </row>
    <row r="98" spans="1:5">
      <c r="B98" s="522"/>
      <c r="C98" s="209"/>
      <c r="D98" s="57"/>
      <c r="E98" s="57"/>
    </row>
    <row r="99" spans="1:5" ht="408.9" customHeight="1">
      <c r="A99" s="530"/>
      <c r="C99" s="209"/>
      <c r="D99" s="57"/>
      <c r="E99" s="57"/>
    </row>
    <row r="100" spans="1:5" ht="80.099999999999994" customHeight="1">
      <c r="B100" s="522"/>
      <c r="C100" s="209"/>
      <c r="D100" s="57"/>
      <c r="E100" s="57"/>
    </row>
    <row r="101" spans="1:5">
      <c r="B101" s="521" t="s">
        <v>133</v>
      </c>
      <c r="C101" s="208" t="s">
        <v>435</v>
      </c>
      <c r="D101" s="57"/>
      <c r="E101" s="57"/>
    </row>
    <row r="102" spans="1:5">
      <c r="B102" s="522" t="s">
        <v>302</v>
      </c>
      <c r="C102" s="205"/>
      <c r="D102" s="57"/>
      <c r="E102" s="57"/>
    </row>
    <row r="103" spans="1:5">
      <c r="B103" s="522"/>
      <c r="C103" s="209"/>
      <c r="D103" s="57"/>
      <c r="E103" s="57"/>
    </row>
    <row r="104" spans="1:5">
      <c r="B104" s="522"/>
      <c r="C104" s="209"/>
      <c r="D104" s="57"/>
      <c r="E104" s="57"/>
    </row>
    <row r="105" spans="1:5">
      <c r="B105" s="522"/>
      <c r="C105" s="209"/>
      <c r="D105" s="57"/>
      <c r="E105" s="57"/>
    </row>
    <row r="106" spans="1:5">
      <c r="B106" s="529"/>
      <c r="C106" s="209"/>
      <c r="D106" s="57"/>
      <c r="E106" s="57"/>
    </row>
    <row r="107" spans="1:5">
      <c r="B107" s="522"/>
      <c r="C107" s="209"/>
      <c r="D107" s="57"/>
      <c r="E107" s="57"/>
    </row>
    <row r="108" spans="1:5" ht="408.9" customHeight="1">
      <c r="B108" s="530"/>
      <c r="C108" s="209"/>
      <c r="D108" s="57"/>
      <c r="E108" s="57"/>
    </row>
    <row r="109" spans="1:5" ht="15" customHeight="1">
      <c r="B109" s="530"/>
      <c r="C109" s="209"/>
      <c r="D109" s="57"/>
      <c r="E109" s="57"/>
    </row>
    <row r="110" spans="1:5" ht="15" customHeight="1">
      <c r="B110" s="522"/>
      <c r="C110" s="209"/>
      <c r="D110" s="57"/>
      <c r="E110" s="57"/>
    </row>
    <row r="111" spans="1:5">
      <c r="B111" s="521" t="s">
        <v>135</v>
      </c>
      <c r="C111" s="208" t="s">
        <v>436</v>
      </c>
      <c r="D111" s="57"/>
      <c r="E111" s="57"/>
    </row>
    <row r="112" spans="1:5">
      <c r="B112" s="522" t="s">
        <v>302</v>
      </c>
      <c r="C112" s="205"/>
      <c r="D112" s="57"/>
      <c r="E112" s="57"/>
    </row>
    <row r="113" spans="2:17" ht="30" customHeight="1">
      <c r="B113" s="522"/>
      <c r="C113" s="209"/>
      <c r="D113" s="57"/>
      <c r="E113" s="57"/>
    </row>
    <row r="114" spans="2:17" ht="15.6">
      <c r="B114" s="527"/>
      <c r="C114" s="209"/>
      <c r="D114" s="57"/>
      <c r="E114" s="57"/>
    </row>
    <row r="115" spans="2:17" ht="15.6">
      <c r="B115" s="528"/>
      <c r="C115" s="209"/>
      <c r="D115" s="57"/>
      <c r="E115" s="737"/>
      <c r="H115" s="737"/>
      <c r="M115" s="737"/>
      <c r="Q115" s="737"/>
    </row>
    <row r="116" spans="2:17">
      <c r="B116" s="522"/>
      <c r="C116" s="209"/>
      <c r="D116" s="57"/>
      <c r="E116" s="57"/>
    </row>
    <row r="117" spans="2:17">
      <c r="B117" s="529"/>
      <c r="C117" s="209"/>
      <c r="D117" s="57"/>
      <c r="E117" s="57"/>
    </row>
    <row r="118" spans="2:17">
      <c r="B118" s="522"/>
      <c r="C118" s="209"/>
      <c r="D118" s="57"/>
      <c r="E118" s="57"/>
    </row>
    <row r="119" spans="2:17" ht="408.9" customHeight="1">
      <c r="B119" s="530"/>
      <c r="C119" s="209"/>
      <c r="D119" s="57"/>
      <c r="E119" s="57"/>
    </row>
    <row r="120" spans="2:17" ht="80.099999999999994" customHeight="1">
      <c r="B120" s="522"/>
      <c r="C120" s="209"/>
      <c r="D120" s="57"/>
      <c r="E120" s="57"/>
    </row>
    <row r="121" spans="2:17">
      <c r="B121" s="521" t="s">
        <v>133</v>
      </c>
      <c r="C121" s="208" t="s">
        <v>437</v>
      </c>
      <c r="D121" s="57"/>
      <c r="E121" s="57"/>
    </row>
    <row r="122" spans="2:17">
      <c r="B122" s="522" t="s">
        <v>302</v>
      </c>
      <c r="C122" s="205"/>
      <c r="D122" s="57"/>
      <c r="E122" s="57"/>
    </row>
    <row r="123" spans="2:17" ht="30" customHeight="1">
      <c r="B123" s="522"/>
      <c r="C123" s="209"/>
      <c r="D123" s="57"/>
      <c r="E123" s="57"/>
    </row>
    <row r="124" spans="2:17" ht="15.6">
      <c r="B124" s="527"/>
      <c r="C124" s="209"/>
      <c r="E124" s="57"/>
    </row>
    <row r="125" spans="2:17" ht="15.6">
      <c r="B125" s="528"/>
      <c r="C125" s="209"/>
      <c r="D125" s="57"/>
      <c r="E125" s="57"/>
    </row>
    <row r="126" spans="2:17">
      <c r="B126" s="522"/>
      <c r="C126" s="209"/>
      <c r="D126" s="57"/>
      <c r="E126" s="57"/>
    </row>
    <row r="127" spans="2:17">
      <c r="B127" s="529"/>
      <c r="C127" s="209"/>
      <c r="D127" s="57"/>
      <c r="E127" s="57"/>
    </row>
    <row r="128" spans="2:17">
      <c r="B128" s="522"/>
      <c r="C128" s="209"/>
      <c r="D128" s="57"/>
      <c r="E128" s="57"/>
    </row>
    <row r="129" spans="2:5" ht="408.9" customHeight="1">
      <c r="B129" s="530"/>
      <c r="C129" s="209"/>
      <c r="D129" s="57"/>
      <c r="E129" s="57"/>
    </row>
    <row r="130" spans="2:5" ht="80.099999999999994" customHeight="1">
      <c r="B130" s="522"/>
      <c r="C130" s="209"/>
      <c r="D130" s="57"/>
      <c r="E130" s="57"/>
    </row>
    <row r="131" spans="2:5">
      <c r="B131" s="521" t="s">
        <v>133</v>
      </c>
      <c r="C131" s="208" t="s">
        <v>438</v>
      </c>
      <c r="D131" s="57"/>
      <c r="E131" s="57"/>
    </row>
    <row r="132" spans="2:5">
      <c r="B132" s="522" t="s">
        <v>302</v>
      </c>
      <c r="C132" s="205"/>
      <c r="D132" s="57"/>
      <c r="E132" s="57"/>
    </row>
    <row r="133" spans="2:5" ht="30" customHeight="1">
      <c r="B133" s="522"/>
      <c r="C133" s="209"/>
      <c r="D133" s="57"/>
      <c r="E133" s="57"/>
    </row>
    <row r="134" spans="2:5" ht="15.6">
      <c r="B134" s="527"/>
      <c r="C134" s="209"/>
      <c r="D134" s="57"/>
      <c r="E134" s="57"/>
    </row>
    <row r="135" spans="2:5" ht="15.6">
      <c r="B135" s="528"/>
      <c r="C135" s="209"/>
      <c r="D135" s="57"/>
      <c r="E135" s="57"/>
    </row>
    <row r="136" spans="2:5">
      <c r="B136" s="522"/>
      <c r="C136" s="209"/>
      <c r="D136" s="57"/>
      <c r="E136" s="57"/>
    </row>
    <row r="137" spans="2:5">
      <c r="B137" s="529"/>
      <c r="C137" s="209"/>
      <c r="D137" s="57"/>
      <c r="E137" s="57"/>
    </row>
    <row r="138" spans="2:5">
      <c r="B138" s="522"/>
      <c r="C138" s="209"/>
      <c r="D138" s="57"/>
      <c r="E138" s="57"/>
    </row>
    <row r="139" spans="2:5" ht="408.9" customHeight="1">
      <c r="B139" s="530"/>
      <c r="C139" s="209"/>
      <c r="D139" s="57"/>
      <c r="E139" s="57"/>
    </row>
  </sheetData>
  <sheetProtection algorithmName="SHA-512" hashValue="YjBPNgZlAVQe2fMilUFiDaE9T2PQnOfqR9NPfc4cBz5KDCdMlouJCRw609ftTfHdRXIEEBN1fmGmk8lr0t13Rw==" saltValue="N3V8ESEXc/ToxTMddBuJKg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5006340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175260</xdr:colOff>
                <xdr:row>78</xdr:row>
                <xdr:rowOff>3360420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2</xdr:col>
                <xdr:colOff>7620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278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4" t="s">
        <v>91</v>
      </c>
      <c r="D4" s="444" t="s">
        <v>92</v>
      </c>
    </row>
    <row r="5" spans="2:4" ht="18">
      <c r="B5" s="448" t="s">
        <v>140</v>
      </c>
      <c r="D5" s="601" t="s">
        <v>280</v>
      </c>
    </row>
    <row r="6" spans="2:4">
      <c r="B6" s="445" t="s">
        <v>138</v>
      </c>
      <c r="D6" s="602" t="s">
        <v>281</v>
      </c>
    </row>
    <row r="7" spans="2:4">
      <c r="B7" s="445" t="s">
        <v>139</v>
      </c>
      <c r="D7" s="603" t="s">
        <v>282</v>
      </c>
    </row>
    <row r="8" spans="2:4">
      <c r="B8" s="445"/>
      <c r="D8" s="602" t="s">
        <v>283</v>
      </c>
    </row>
    <row r="9" spans="2:4">
      <c r="B9" s="445" t="s">
        <v>220</v>
      </c>
      <c r="D9" s="602" t="s">
        <v>284</v>
      </c>
    </row>
    <row r="10" spans="2:4">
      <c r="B10" s="445"/>
      <c r="D10" s="602"/>
    </row>
    <row r="11" spans="2:4">
      <c r="B11" s="445"/>
      <c r="D11" s="602"/>
    </row>
    <row r="12" spans="2:4">
      <c r="B12" s="445" t="s">
        <v>93</v>
      </c>
      <c r="D12" s="602" t="s">
        <v>93</v>
      </c>
    </row>
    <row r="13" spans="2:4">
      <c r="B13" s="604" t="s">
        <v>410</v>
      </c>
      <c r="D13" s="604" t="s">
        <v>286</v>
      </c>
    </row>
    <row r="14" spans="2:4">
      <c r="B14" s="446"/>
      <c r="D14" s="602"/>
    </row>
    <row r="15" spans="2:4" ht="12" customHeight="1">
      <c r="B15" s="445" t="s">
        <v>94</v>
      </c>
      <c r="D15" s="602" t="s">
        <v>94</v>
      </c>
    </row>
    <row r="16" spans="2:4">
      <c r="B16" s="456" t="s">
        <v>136</v>
      </c>
      <c r="D16" s="604" t="s">
        <v>279</v>
      </c>
    </row>
    <row r="17" spans="2:4">
      <c r="B17" s="446"/>
      <c r="D17" s="602"/>
    </row>
    <row r="18" spans="2:4">
      <c r="B18" s="445" t="s">
        <v>411</v>
      </c>
      <c r="D18" s="602" t="s">
        <v>285</v>
      </c>
    </row>
    <row r="19" spans="2:4">
      <c r="B19" s="447"/>
      <c r="D19" s="605"/>
    </row>
    <row r="21" spans="2:4">
      <c r="D21" s="743"/>
    </row>
    <row r="22" spans="2:4">
      <c r="D22" s="744"/>
    </row>
    <row r="23" spans="2:4">
      <c r="D23" s="744"/>
    </row>
    <row r="24" spans="2:4">
      <c r="D24" s="744"/>
    </row>
  </sheetData>
  <sheetProtection algorithmName="SHA-512" hashValue="JXYess0g4f/nfTSjnF3HsmTR6F7+YonFjrmf6lWItb6OS9rtoAnAKeY6KPzpjjnjVLtAVPrzkWI6v7/hC5ydsQ==" saltValue="0dabp6MFJocMwxgk+U+l2A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9"/>
      <c r="B2" s="438" t="s">
        <v>278</v>
      </c>
      <c r="C2" s="449"/>
      <c r="D2" s="449"/>
      <c r="E2" s="449"/>
      <c r="F2" s="449"/>
      <c r="G2" s="449"/>
      <c r="H2" s="449"/>
      <c r="I2" s="449"/>
    </row>
    <row r="3" spans="1:9" s="398" customFormat="1" ht="22.8">
      <c r="B3" s="438" t="s">
        <v>82</v>
      </c>
    </row>
    <row r="4" spans="1:9" ht="20.100000000000001" customHeight="1">
      <c r="B4" s="451" t="s">
        <v>130</v>
      </c>
      <c r="H4" s="56"/>
    </row>
    <row r="5" spans="1:9">
      <c r="B5" s="452" t="s">
        <v>83</v>
      </c>
      <c r="D5" s="41"/>
    </row>
    <row r="6" spans="1:9" ht="15.6">
      <c r="B6" s="453" t="s">
        <v>84</v>
      </c>
      <c r="H6" s="56"/>
    </row>
    <row r="7" spans="1:9" ht="15.6">
      <c r="B7" s="453"/>
      <c r="H7" s="56"/>
    </row>
    <row r="8" spans="1:9" ht="78.75" customHeight="1">
      <c r="B8" s="450" t="s">
        <v>132</v>
      </c>
      <c r="D8" s="57" t="s">
        <v>301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4" t="s">
        <v>279</v>
      </c>
    </row>
    <row r="12" spans="1:9" ht="15.9" customHeight="1">
      <c r="B12" s="454" t="s">
        <v>131</v>
      </c>
    </row>
    <row r="13" spans="1:9" ht="15.9" customHeight="1">
      <c r="B13" s="454" t="s">
        <v>85</v>
      </c>
    </row>
    <row r="14" spans="1:9" ht="15.9" customHeight="1">
      <c r="B14" s="454" t="s">
        <v>86</v>
      </c>
    </row>
    <row r="15" spans="1:9" ht="15.9" customHeight="1">
      <c r="B15" s="455"/>
    </row>
    <row r="16" spans="1:9" ht="15.9" customHeight="1">
      <c r="B16" s="454" t="s">
        <v>87</v>
      </c>
    </row>
    <row r="17" spans="2:2" ht="15.9" customHeight="1">
      <c r="B17" s="454" t="s">
        <v>88</v>
      </c>
    </row>
    <row r="18" spans="2:2" ht="15.9" customHeight="1">
      <c r="B18" s="454" t="s">
        <v>89</v>
      </c>
    </row>
    <row r="19" spans="2:2" ht="15.9" customHeight="1">
      <c r="B19" s="454"/>
    </row>
  </sheetData>
  <sheetProtection algorithmName="SHA-512" hashValue="1ZiiAZlVS3FNRJLZqK027E1A7s/V1yb55iYaDafQ1C/e7V8JPn2r2ZdgnfZg2oTdtzLKcd4Vnn3YnHRF5egcyw==" saltValue="CGpzVUuYJNujBcqdO4i+UQ==" spinCount="100000" sheet="1" objects="1" scenarios="1"/>
  <phoneticPr fontId="0" type="noConversion"/>
  <conditionalFormatting sqref="B4">
    <cfRule type="cellIs" dxfId="41" priority="1" stopIfTrue="1" operator="between">
      <formula>6.2</formula>
      <formula>6.5</formula>
    </cfRule>
    <cfRule type="cellIs" dxfId="40" priority="2" stopIfTrue="1" operator="between">
      <formula>5.6</formula>
      <formula>6.19</formula>
    </cfRule>
    <cfRule type="cellIs" dxfId="3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7" customFormat="1" ht="21.75" customHeight="1"/>
    <row r="2" spans="2:9" s="457" customFormat="1" ht="22.8">
      <c r="B2" s="438" t="s">
        <v>278</v>
      </c>
    </row>
    <row r="3" spans="2:9" s="457" customFormat="1" ht="22.8">
      <c r="B3" s="438" t="s">
        <v>32</v>
      </c>
    </row>
    <row r="4" spans="2:9" s="457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194</v>
      </c>
      <c r="D14" s="372" t="s">
        <v>193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199</v>
      </c>
      <c r="D15" s="373" t="s">
        <v>200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195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201</v>
      </c>
      <c r="D17" s="375" t="s">
        <v>211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195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203</v>
      </c>
      <c r="D19" s="374" t="s">
        <v>202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196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204</v>
      </c>
      <c r="D21" s="375" t="s">
        <v>238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198</v>
      </c>
      <c r="D22" s="372" t="s">
        <v>197</v>
      </c>
      <c r="E22" s="64" t="s">
        <v>56</v>
      </c>
      <c r="F22" s="69" t="s">
        <v>57</v>
      </c>
      <c r="G22" s="74" t="s">
        <v>67</v>
      </c>
      <c r="H22" s="52" t="s">
        <v>209</v>
      </c>
      <c r="I22" s="46"/>
    </row>
    <row r="23" spans="2:9" ht="12.75" customHeight="1">
      <c r="B23" s="53" t="s">
        <v>19</v>
      </c>
      <c r="C23" s="368" t="s">
        <v>206</v>
      </c>
      <c r="D23" s="373" t="s">
        <v>205</v>
      </c>
      <c r="E23" s="65" t="s">
        <v>68</v>
      </c>
      <c r="F23" s="70" t="s">
        <v>69</v>
      </c>
      <c r="G23" s="75" t="s">
        <v>55</v>
      </c>
      <c r="H23" s="50" t="s">
        <v>210</v>
      </c>
      <c r="I23" s="46"/>
    </row>
    <row r="24" spans="2:9" ht="12.75" customHeight="1">
      <c r="B24" s="47" t="s">
        <v>70</v>
      </c>
      <c r="C24" s="367" t="s">
        <v>198</v>
      </c>
      <c r="D24" s="372" t="s">
        <v>197</v>
      </c>
      <c r="E24" s="64" t="s">
        <v>56</v>
      </c>
      <c r="F24" s="69" t="s">
        <v>57</v>
      </c>
      <c r="G24" s="74" t="s">
        <v>67</v>
      </c>
      <c r="H24" s="52" t="s">
        <v>209</v>
      </c>
      <c r="I24" s="46"/>
    </row>
    <row r="25" spans="2:9" ht="12.75" customHeight="1">
      <c r="B25" s="719" t="s">
        <v>19</v>
      </c>
      <c r="C25" s="368" t="s">
        <v>208</v>
      </c>
      <c r="D25" s="373" t="s">
        <v>207</v>
      </c>
      <c r="E25" s="65" t="s">
        <v>71</v>
      </c>
      <c r="F25" s="70" t="s">
        <v>72</v>
      </c>
      <c r="G25" s="75" t="s">
        <v>73</v>
      </c>
      <c r="H25" s="50" t="s">
        <v>210</v>
      </c>
      <c r="I25" s="46"/>
    </row>
    <row r="26" spans="2:9" ht="12.75" customHeight="1">
      <c r="B26" s="109" t="s">
        <v>375</v>
      </c>
      <c r="C26" s="369" t="s">
        <v>198</v>
      </c>
      <c r="D26" s="374" t="s">
        <v>197</v>
      </c>
      <c r="E26" s="66" t="s">
        <v>56</v>
      </c>
      <c r="F26" s="71" t="s">
        <v>57</v>
      </c>
      <c r="G26" s="76" t="s">
        <v>67</v>
      </c>
      <c r="H26" s="721"/>
      <c r="I26" s="46"/>
    </row>
    <row r="27" spans="2:9" ht="12.75" customHeight="1">
      <c r="B27" s="719" t="s">
        <v>19</v>
      </c>
      <c r="C27" s="368" t="s">
        <v>376</v>
      </c>
      <c r="D27" s="375" t="s">
        <v>377</v>
      </c>
      <c r="E27" s="720" t="s">
        <v>378</v>
      </c>
      <c r="F27" s="72" t="s">
        <v>379</v>
      </c>
      <c r="G27" s="75" t="s">
        <v>380</v>
      </c>
      <c r="H27" s="50" t="s">
        <v>210</v>
      </c>
      <c r="I27" s="46"/>
    </row>
    <row r="28" spans="2:9" ht="12.75" customHeight="1">
      <c r="B28" s="109" t="s">
        <v>270</v>
      </c>
      <c r="C28" s="369" t="s">
        <v>381</v>
      </c>
      <c r="D28" s="374" t="s">
        <v>382</v>
      </c>
      <c r="E28" s="66" t="s">
        <v>41</v>
      </c>
      <c r="F28" s="71" t="s">
        <v>383</v>
      </c>
      <c r="G28" s="76" t="s">
        <v>384</v>
      </c>
      <c r="H28" s="721"/>
      <c r="I28" s="46"/>
    </row>
    <row r="29" spans="2:9" ht="12.75" customHeight="1" thickBot="1">
      <c r="B29" s="54" t="s">
        <v>271</v>
      </c>
      <c r="C29" s="722" t="s">
        <v>385</v>
      </c>
      <c r="D29" s="723" t="s">
        <v>386</v>
      </c>
      <c r="E29" s="724" t="s">
        <v>387</v>
      </c>
      <c r="F29" s="725" t="s">
        <v>388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141</v>
      </c>
    </row>
    <row r="47" spans="2:2">
      <c r="B47" s="43" t="s">
        <v>142</v>
      </c>
    </row>
    <row r="48" spans="2:2">
      <c r="B48" s="42" t="s">
        <v>143</v>
      </c>
    </row>
    <row r="49" spans="2:2">
      <c r="B49" s="42" t="s">
        <v>144</v>
      </c>
    </row>
    <row r="50" spans="2:2">
      <c r="B50" s="42" t="s">
        <v>145</v>
      </c>
    </row>
    <row r="51" spans="2:2">
      <c r="B51" s="42" t="s">
        <v>146</v>
      </c>
    </row>
    <row r="52" spans="2:2">
      <c r="B52" s="42" t="s">
        <v>180</v>
      </c>
    </row>
  </sheetData>
  <sheetProtection algorithmName="SHA-512" hashValue="OlIznA+OZQe9e1IP3mGrewEm3QWr4yTh+H+njQbQxBTwM9Vb60MQBhQXU/jWKtqzSqeBdaCR+BHK68H7HkDFIg==" saltValue="Z/2azve3pSaBuUjmc/Sv2g==" spinCount="100000" sheet="1" objects="1" scenarios="1"/>
  <phoneticPr fontId="0" type="noConversion"/>
  <conditionalFormatting sqref="U1:U25 U30:U1048576">
    <cfRule type="cellIs" dxfId="38" priority="4" stopIfTrue="1" operator="between">
      <formula>625</formula>
      <formula>1250</formula>
    </cfRule>
    <cfRule type="cellIs" dxfId="37" priority="5" stopIfTrue="1" operator="between">
      <formula>1251</formula>
      <formula>5000</formula>
    </cfRule>
    <cfRule type="cellIs" dxfId="36" priority="6" stopIfTrue="1" operator="between">
      <formula>5001</formula>
      <formula>100000</formula>
    </cfRule>
  </conditionalFormatting>
  <conditionalFormatting sqref="U26:U29">
    <cfRule type="cellIs" dxfId="35" priority="1" stopIfTrue="1" operator="between">
      <formula>625</formula>
      <formula>1250</formula>
    </cfRule>
    <cfRule type="cellIs" dxfId="34" priority="2" stopIfTrue="1" operator="between">
      <formula>1251</formula>
      <formula>5000</formula>
    </cfRule>
    <cfRule type="cellIs" dxfId="3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7" customFormat="1" ht="16.2">
      <c r="A1" s="565" t="s">
        <v>239</v>
      </c>
      <c r="B1" s="566"/>
    </row>
    <row r="2" spans="1:5" s="567" customFormat="1" ht="16.2">
      <c r="A2" s="565"/>
      <c r="B2" s="566"/>
    </row>
    <row r="3" spans="1:5" s="567" customFormat="1" ht="18" customHeight="1">
      <c r="A3" s="568" t="s">
        <v>240</v>
      </c>
      <c r="B3" s="568"/>
      <c r="C3" s="568"/>
      <c r="D3" s="568"/>
    </row>
    <row r="4" spans="1:5" s="567" customFormat="1" ht="18" customHeight="1">
      <c r="A4" s="568" t="s">
        <v>243</v>
      </c>
      <c r="B4" s="568"/>
      <c r="C4" s="568"/>
      <c r="D4" s="568"/>
      <c r="E4" s="569" t="s">
        <v>241</v>
      </c>
    </row>
    <row r="5" spans="1:5" s="567" customFormat="1" ht="18" customHeight="1">
      <c r="A5" s="570"/>
      <c r="B5" s="568"/>
      <c r="C5" s="568"/>
      <c r="D5" s="568"/>
    </row>
    <row r="6" spans="1:5" s="567" customFormat="1" ht="18" customHeight="1">
      <c r="A6" s="568"/>
      <c r="B6" s="568"/>
      <c r="C6" s="568"/>
      <c r="D6" s="568"/>
    </row>
    <row r="7" spans="1:5" s="567" customFormat="1" ht="18" customHeight="1">
      <c r="A7" s="567" t="s">
        <v>244</v>
      </c>
      <c r="B7" s="568"/>
      <c r="C7" s="568"/>
      <c r="D7" s="568"/>
    </row>
    <row r="9" spans="1:5">
      <c r="A9" s="284" t="s">
        <v>154</v>
      </c>
      <c r="B9" s="289" t="s">
        <v>172</v>
      </c>
      <c r="C9" s="284" t="s">
        <v>173</v>
      </c>
      <c r="D9" s="284" t="s">
        <v>174</v>
      </c>
    </row>
    <row r="10" spans="1:5" ht="20.399999999999999">
      <c r="A10" s="287">
        <v>44427</v>
      </c>
      <c r="B10" s="563" t="s">
        <v>242</v>
      </c>
      <c r="C10" s="286" t="s">
        <v>245</v>
      </c>
      <c r="D10" s="564" t="s">
        <v>175</v>
      </c>
    </row>
    <row r="11" spans="1:5">
      <c r="A11" s="287">
        <v>44600</v>
      </c>
      <c r="B11" s="563" t="s">
        <v>248</v>
      </c>
      <c r="C11" s="286" t="s">
        <v>247</v>
      </c>
      <c r="D11" s="564" t="s">
        <v>175</v>
      </c>
    </row>
    <row r="12" spans="1:5" ht="20.399999999999999">
      <c r="A12" s="287">
        <v>45300</v>
      </c>
      <c r="B12" s="563" t="s">
        <v>248</v>
      </c>
      <c r="C12" s="286" t="s">
        <v>300</v>
      </c>
      <c r="D12" s="564" t="s">
        <v>175</v>
      </c>
    </row>
    <row r="13" spans="1:5">
      <c r="A13" s="287">
        <v>45300</v>
      </c>
      <c r="B13" s="563" t="s">
        <v>305</v>
      </c>
      <c r="C13" s="286"/>
      <c r="D13" s="564" t="s">
        <v>175</v>
      </c>
    </row>
    <row r="14" spans="1:5" ht="20.399999999999999">
      <c r="A14" s="287">
        <v>45316</v>
      </c>
      <c r="B14" s="563"/>
      <c r="C14" s="286" t="s">
        <v>312</v>
      </c>
      <c r="D14" s="564" t="s">
        <v>175</v>
      </c>
    </row>
    <row r="15" spans="1:5">
      <c r="A15" s="287">
        <v>45316</v>
      </c>
      <c r="B15" s="563"/>
      <c r="C15" s="286" t="s">
        <v>352</v>
      </c>
      <c r="D15" s="564" t="s">
        <v>175</v>
      </c>
    </row>
    <row r="16" spans="1:5" ht="20.399999999999999">
      <c r="A16" s="287">
        <v>45316</v>
      </c>
      <c r="B16" s="563"/>
      <c r="C16" s="694" t="s">
        <v>353</v>
      </c>
      <c r="D16" s="564" t="s">
        <v>175</v>
      </c>
    </row>
    <row r="17" spans="1:4">
      <c r="A17" s="287">
        <v>45316</v>
      </c>
      <c r="B17" s="563"/>
      <c r="C17" s="695" t="s">
        <v>354</v>
      </c>
      <c r="D17" s="564" t="s">
        <v>175</v>
      </c>
    </row>
    <row r="18" spans="1:4">
      <c r="A18" s="287">
        <v>45322</v>
      </c>
      <c r="B18" s="563"/>
      <c r="C18" s="286" t="s">
        <v>366</v>
      </c>
      <c r="D18" s="564" t="s">
        <v>175</v>
      </c>
    </row>
    <row r="19" spans="1:4">
      <c r="A19" s="287">
        <v>45327</v>
      </c>
      <c r="B19" s="563"/>
      <c r="C19" s="286" t="s">
        <v>371</v>
      </c>
      <c r="D19" s="564" t="s">
        <v>175</v>
      </c>
    </row>
    <row r="20" spans="1:4" ht="40.799999999999997">
      <c r="A20" s="287">
        <v>45362</v>
      </c>
      <c r="B20" s="563"/>
      <c r="C20" s="286" t="s">
        <v>373</v>
      </c>
      <c r="D20" s="564" t="s">
        <v>374</v>
      </c>
    </row>
    <row r="21" spans="1:4">
      <c r="A21" s="287">
        <v>45433</v>
      </c>
      <c r="B21" s="563"/>
      <c r="C21" s="286" t="s">
        <v>394</v>
      </c>
      <c r="D21" s="564" t="s">
        <v>175</v>
      </c>
    </row>
    <row r="22" spans="1:4" ht="20.399999999999999">
      <c r="A22" s="287">
        <v>45559</v>
      </c>
      <c r="B22" s="563"/>
      <c r="C22" s="286" t="s">
        <v>398</v>
      </c>
      <c r="D22" s="564" t="s">
        <v>175</v>
      </c>
    </row>
    <row r="23" spans="1:4">
      <c r="A23" s="287">
        <v>45567</v>
      </c>
      <c r="B23" s="563"/>
      <c r="C23" s="286" t="s">
        <v>399</v>
      </c>
      <c r="D23" s="564" t="s">
        <v>400</v>
      </c>
    </row>
    <row r="24" spans="1:4" ht="20.399999999999999">
      <c r="A24" s="287">
        <v>45670</v>
      </c>
      <c r="B24" s="563" t="s">
        <v>450</v>
      </c>
      <c r="C24" s="286" t="s">
        <v>402</v>
      </c>
      <c r="D24" s="564" t="s">
        <v>175</v>
      </c>
    </row>
    <row r="25" spans="1:4">
      <c r="A25" s="287">
        <v>45671</v>
      </c>
      <c r="B25" s="563"/>
      <c r="C25" s="286" t="s">
        <v>409</v>
      </c>
      <c r="D25" s="564" t="s">
        <v>175</v>
      </c>
    </row>
    <row r="26" spans="1:4">
      <c r="A26" s="287">
        <v>45700</v>
      </c>
      <c r="B26" s="563"/>
      <c r="C26" s="286" t="s">
        <v>416</v>
      </c>
      <c r="D26" s="564" t="s">
        <v>175</v>
      </c>
    </row>
    <row r="27" spans="1:4">
      <c r="A27" s="287">
        <v>45810</v>
      </c>
      <c r="B27" s="563"/>
      <c r="C27" s="286" t="s">
        <v>418</v>
      </c>
      <c r="D27" s="564" t="s">
        <v>175</v>
      </c>
    </row>
    <row r="28" spans="1:4">
      <c r="A28" s="287">
        <v>45925</v>
      </c>
      <c r="B28" s="563"/>
      <c r="C28" s="286" t="s">
        <v>422</v>
      </c>
      <c r="D28" s="564" t="s">
        <v>175</v>
      </c>
    </row>
    <row r="29" spans="1:4">
      <c r="A29" s="287">
        <v>45992</v>
      </c>
      <c r="B29" s="563"/>
      <c r="C29" s="286" t="s">
        <v>423</v>
      </c>
      <c r="D29" s="564" t="s">
        <v>175</v>
      </c>
    </row>
    <row r="30" spans="1:4">
      <c r="A30" s="287">
        <v>46055</v>
      </c>
      <c r="B30" s="563"/>
      <c r="C30" s="286" t="s">
        <v>439</v>
      </c>
      <c r="D30" s="564" t="s">
        <v>175</v>
      </c>
    </row>
    <row r="31" spans="1:4" ht="20.399999999999999">
      <c r="A31" s="287">
        <v>46133</v>
      </c>
      <c r="B31" s="563" t="s">
        <v>450</v>
      </c>
      <c r="C31" s="286" t="s">
        <v>449</v>
      </c>
      <c r="D31" s="564" t="s">
        <v>175</v>
      </c>
    </row>
    <row r="32" spans="1:4">
      <c r="A32" s="287"/>
      <c r="B32" s="563"/>
      <c r="C32" s="286"/>
      <c r="D32" s="564"/>
    </row>
    <row r="33" spans="1:4">
      <c r="A33" s="287"/>
      <c r="B33" s="563"/>
      <c r="C33" s="286"/>
      <c r="D33" s="564"/>
    </row>
    <row r="34" spans="1:4">
      <c r="A34" s="287"/>
      <c r="B34" s="563"/>
      <c r="C34" s="286"/>
      <c r="D34" s="564"/>
    </row>
    <row r="35" spans="1:4">
      <c r="A35" s="287"/>
      <c r="B35" s="563"/>
      <c r="C35" s="286"/>
      <c r="D35" s="564"/>
    </row>
    <row r="36" spans="1:4">
      <c r="A36" s="287"/>
      <c r="B36" s="563"/>
      <c r="C36" s="286"/>
      <c r="D36" s="564"/>
    </row>
    <row r="37" spans="1:4">
      <c r="A37" s="287"/>
      <c r="B37" s="563"/>
      <c r="C37" s="286"/>
      <c r="D37" s="564"/>
    </row>
    <row r="38" spans="1:4">
      <c r="A38" s="287"/>
      <c r="B38" s="563"/>
      <c r="C38" s="286"/>
      <c r="D38" s="564"/>
    </row>
    <row r="39" spans="1:4">
      <c r="A39" s="287"/>
      <c r="B39" s="563"/>
      <c r="C39" s="286"/>
      <c r="D39" s="564"/>
    </row>
    <row r="40" spans="1:4">
      <c r="A40" s="287"/>
      <c r="B40" s="563"/>
      <c r="C40" s="286"/>
      <c r="D40" s="564"/>
    </row>
    <row r="41" spans="1:4">
      <c r="A41" s="287"/>
      <c r="B41" s="563"/>
      <c r="C41" s="286"/>
      <c r="D41" s="564"/>
    </row>
    <row r="42" spans="1:4">
      <c r="A42" s="287"/>
      <c r="B42" s="563"/>
      <c r="C42" s="286"/>
      <c r="D42" s="564"/>
    </row>
    <row r="43" spans="1:4">
      <c r="A43" s="287"/>
      <c r="B43" s="563"/>
      <c r="C43" s="286"/>
      <c r="D43" s="564"/>
    </row>
    <row r="44" spans="1:4">
      <c r="A44" s="287"/>
      <c r="B44" s="563"/>
      <c r="C44" s="286"/>
      <c r="D44" s="564"/>
    </row>
    <row r="45" spans="1:4">
      <c r="A45" s="287"/>
      <c r="B45" s="563"/>
      <c r="C45" s="286"/>
      <c r="D45" s="564"/>
    </row>
    <row r="46" spans="1:4">
      <c r="A46" s="287"/>
      <c r="B46" s="563"/>
      <c r="C46" s="286"/>
      <c r="D46" s="564"/>
    </row>
    <row r="47" spans="1:4">
      <c r="A47" s="287"/>
      <c r="B47" s="563"/>
      <c r="C47" s="286"/>
      <c r="D47" s="564"/>
    </row>
    <row r="48" spans="1:4">
      <c r="A48" s="287"/>
      <c r="B48" s="563"/>
      <c r="C48" s="286"/>
      <c r="D48" s="564"/>
    </row>
    <row r="49" spans="1:4">
      <c r="A49" s="287"/>
      <c r="B49" s="563"/>
      <c r="C49" s="286"/>
      <c r="D49" s="564"/>
    </row>
    <row r="50" spans="1:4">
      <c r="A50" s="287"/>
      <c r="B50" s="563"/>
      <c r="C50" s="286"/>
      <c r="D50" s="564"/>
    </row>
    <row r="51" spans="1:4">
      <c r="A51" s="287"/>
      <c r="B51" s="563"/>
      <c r="C51" s="286"/>
      <c r="D51" s="564"/>
    </row>
    <row r="52" spans="1:4">
      <c r="A52" s="287"/>
      <c r="B52" s="563"/>
      <c r="C52" s="286"/>
      <c r="D52" s="564"/>
    </row>
    <row r="53" spans="1:4">
      <c r="A53" s="287"/>
      <c r="B53" s="563"/>
      <c r="C53" s="286"/>
      <c r="D53" s="564"/>
    </row>
    <row r="54" spans="1:4">
      <c r="A54" s="287"/>
      <c r="B54" s="563"/>
      <c r="C54" s="286"/>
      <c r="D54" s="564"/>
    </row>
    <row r="55" spans="1:4">
      <c r="A55" s="287"/>
      <c r="B55" s="563"/>
      <c r="C55" s="286"/>
      <c r="D55" s="564"/>
    </row>
    <row r="56" spans="1:4">
      <c r="A56" s="287"/>
      <c r="B56" s="563"/>
      <c r="C56" s="286"/>
      <c r="D56" s="564"/>
    </row>
    <row r="57" spans="1:4">
      <c r="A57" s="287"/>
      <c r="B57" s="563"/>
      <c r="C57" s="286"/>
      <c r="D57" s="564"/>
    </row>
    <row r="58" spans="1:4">
      <c r="A58" s="287"/>
      <c r="B58" s="563"/>
      <c r="C58" s="286"/>
      <c r="D58" s="564"/>
    </row>
    <row r="59" spans="1:4">
      <c r="A59" s="287"/>
      <c r="B59" s="563"/>
      <c r="C59" s="286"/>
      <c r="D59" s="564"/>
    </row>
    <row r="60" spans="1:4">
      <c r="A60" s="287"/>
      <c r="B60" s="563"/>
      <c r="C60" s="286"/>
      <c r="D60" s="564"/>
    </row>
    <row r="61" spans="1:4">
      <c r="A61" s="287"/>
      <c r="B61" s="563"/>
      <c r="C61" s="286"/>
      <c r="D61" s="564"/>
    </row>
    <row r="62" spans="1:4">
      <c r="A62" s="287"/>
      <c r="B62" s="563"/>
      <c r="C62" s="286"/>
      <c r="D62" s="564"/>
    </row>
    <row r="63" spans="1:4">
      <c r="A63" s="287"/>
      <c r="B63" s="563"/>
      <c r="C63" s="286"/>
      <c r="D63" s="564"/>
    </row>
    <row r="64" spans="1:4">
      <c r="A64" s="287"/>
      <c r="B64" s="563"/>
      <c r="C64" s="286"/>
      <c r="D64" s="564"/>
    </row>
    <row r="65" spans="1:4">
      <c r="A65" s="287"/>
      <c r="B65" s="563"/>
      <c r="C65" s="286"/>
      <c r="D65" s="564"/>
    </row>
    <row r="66" spans="1:4">
      <c r="A66" s="287"/>
      <c r="B66" s="563"/>
      <c r="C66" s="286"/>
      <c r="D66" s="564"/>
    </row>
    <row r="67" spans="1:4">
      <c r="A67" s="287"/>
      <c r="B67" s="563"/>
      <c r="C67" s="286"/>
      <c r="D67" s="564"/>
    </row>
    <row r="68" spans="1:4">
      <c r="A68" s="287"/>
      <c r="B68" s="563"/>
      <c r="C68" s="286"/>
      <c r="D68" s="564"/>
    </row>
    <row r="69" spans="1:4">
      <c r="A69" s="287"/>
      <c r="B69" s="563"/>
      <c r="C69" s="286"/>
      <c r="D69" s="564"/>
    </row>
    <row r="70" spans="1:4">
      <c r="A70" s="287"/>
      <c r="B70" s="563"/>
      <c r="C70" s="286"/>
      <c r="D70" s="564"/>
    </row>
    <row r="71" spans="1:4">
      <c r="A71" s="287"/>
      <c r="B71" s="563"/>
      <c r="C71" s="286"/>
      <c r="D71" s="564"/>
    </row>
    <row r="72" spans="1:4">
      <c r="A72" s="287"/>
      <c r="B72" s="563"/>
      <c r="C72" s="286"/>
      <c r="D72" s="564"/>
    </row>
    <row r="73" spans="1:4">
      <c r="A73" s="287"/>
      <c r="B73" s="563"/>
      <c r="C73" s="286"/>
      <c r="D73" s="564"/>
    </row>
    <row r="74" spans="1:4">
      <c r="A74" s="287"/>
      <c r="B74" s="563"/>
      <c r="C74" s="286"/>
      <c r="D74" s="564"/>
    </row>
    <row r="75" spans="1:4">
      <c r="A75" s="287"/>
      <c r="B75" s="563"/>
      <c r="C75" s="286"/>
      <c r="D75" s="564"/>
    </row>
    <row r="76" spans="1:4">
      <c r="A76" s="287"/>
      <c r="B76" s="563"/>
      <c r="C76" s="286"/>
      <c r="D76" s="564"/>
    </row>
    <row r="77" spans="1:4">
      <c r="A77" s="287"/>
      <c r="B77" s="563"/>
      <c r="C77" s="286"/>
      <c r="D77" s="564"/>
    </row>
    <row r="78" spans="1:4">
      <c r="A78" s="287"/>
      <c r="B78" s="563"/>
      <c r="C78" s="286"/>
      <c r="D78" s="564"/>
    </row>
    <row r="79" spans="1:4">
      <c r="A79" s="287"/>
      <c r="B79" s="563"/>
      <c r="C79" s="286"/>
      <c r="D79" s="564"/>
    </row>
    <row r="80" spans="1:4">
      <c r="A80" s="287"/>
      <c r="B80" s="563"/>
      <c r="C80" s="286"/>
      <c r="D80" s="564"/>
    </row>
    <row r="81" spans="1:4">
      <c r="A81" s="287"/>
      <c r="B81" s="563"/>
      <c r="C81" s="286"/>
      <c r="D81" s="564"/>
    </row>
    <row r="82" spans="1:4">
      <c r="A82" s="287"/>
      <c r="B82" s="563"/>
      <c r="C82" s="286"/>
      <c r="D82" s="564"/>
    </row>
    <row r="83" spans="1:4">
      <c r="A83" s="287"/>
      <c r="B83" s="563"/>
      <c r="C83" s="286"/>
      <c r="D83" s="564"/>
    </row>
    <row r="84" spans="1:4">
      <c r="A84" s="287"/>
      <c r="B84" s="563"/>
      <c r="C84" s="286"/>
      <c r="D84" s="564"/>
    </row>
    <row r="85" spans="1:4">
      <c r="A85" s="287"/>
      <c r="B85" s="563"/>
      <c r="C85" s="286"/>
      <c r="D85" s="564"/>
    </row>
    <row r="86" spans="1:4">
      <c r="A86" s="287"/>
      <c r="B86" s="563"/>
      <c r="C86" s="286"/>
      <c r="D86" s="564"/>
    </row>
    <row r="87" spans="1:4">
      <c r="A87" s="287"/>
      <c r="B87" s="563"/>
      <c r="C87" s="286"/>
      <c r="D87" s="564"/>
    </row>
    <row r="88" spans="1:4">
      <c r="A88" s="287"/>
      <c r="B88" s="563"/>
      <c r="C88" s="286"/>
      <c r="D88" s="564"/>
    </row>
    <row r="89" spans="1:4">
      <c r="A89" s="287"/>
      <c r="B89" s="563"/>
      <c r="C89" s="286"/>
      <c r="D89" s="564"/>
    </row>
    <row r="90" spans="1:4">
      <c r="A90" s="287"/>
      <c r="B90" s="563"/>
      <c r="C90" s="286"/>
      <c r="D90" s="564"/>
    </row>
    <row r="91" spans="1:4">
      <c r="A91" s="287"/>
      <c r="B91" s="563"/>
      <c r="C91" s="286"/>
      <c r="D91" s="564"/>
    </row>
    <row r="92" spans="1:4">
      <c r="A92" s="287"/>
      <c r="B92" s="563"/>
      <c r="C92" s="286"/>
      <c r="D92" s="564"/>
    </row>
    <row r="93" spans="1:4">
      <c r="A93" s="287"/>
      <c r="B93" s="563"/>
      <c r="C93" s="286"/>
      <c r="D93" s="564"/>
    </row>
    <row r="94" spans="1:4">
      <c r="A94" s="287"/>
      <c r="B94" s="563"/>
      <c r="C94" s="286"/>
      <c r="D94" s="564"/>
    </row>
    <row r="95" spans="1:4">
      <c r="A95" s="287"/>
      <c r="B95" s="563"/>
      <c r="C95" s="286"/>
      <c r="D95" s="564"/>
    </row>
    <row r="96" spans="1:4">
      <c r="A96" s="287"/>
      <c r="B96" s="563"/>
      <c r="C96" s="286"/>
      <c r="D96" s="564"/>
    </row>
    <row r="97" spans="1:11">
      <c r="A97" s="287"/>
      <c r="B97" s="563"/>
      <c r="C97" s="286"/>
      <c r="D97" s="564"/>
    </row>
    <row r="98" spans="1:11">
      <c r="A98" s="287"/>
      <c r="B98" s="563"/>
      <c r="C98" s="286"/>
      <c r="D98" s="564"/>
    </row>
    <row r="99" spans="1:11">
      <c r="A99" s="287"/>
      <c r="B99" s="563"/>
      <c r="C99" s="286"/>
      <c r="D99" s="564"/>
    </row>
    <row r="112" spans="1:11">
      <c r="K112" s="571"/>
    </row>
    <row r="113" spans="11:11">
      <c r="K113" s="571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252</v>
      </c>
      <c r="C1">
        <v>12</v>
      </c>
      <c r="G1">
        <v>1</v>
      </c>
      <c r="J1" s="57"/>
    </row>
    <row r="2" spans="1:10">
      <c r="A2">
        <v>5</v>
      </c>
      <c r="B2" s="102" t="s">
        <v>253</v>
      </c>
      <c r="C2">
        <v>6</v>
      </c>
      <c r="J2" s="57"/>
    </row>
    <row r="3" spans="1:10">
      <c r="A3">
        <v>7</v>
      </c>
      <c r="B3" s="102" t="s">
        <v>254</v>
      </c>
      <c r="C3">
        <v>12</v>
      </c>
      <c r="J3" s="57"/>
    </row>
    <row r="4" spans="1:10">
      <c r="A4">
        <v>9</v>
      </c>
      <c r="B4" s="102" t="s">
        <v>255</v>
      </c>
      <c r="C4">
        <v>6</v>
      </c>
      <c r="J4" s="57"/>
    </row>
    <row r="5" spans="1:10">
      <c r="A5">
        <v>11</v>
      </c>
      <c r="B5" s="102" t="s">
        <v>256</v>
      </c>
      <c r="C5">
        <v>12</v>
      </c>
      <c r="J5" s="57"/>
    </row>
    <row r="6" spans="1:10">
      <c r="A6">
        <v>13</v>
      </c>
      <c r="B6" s="122" t="s">
        <v>257</v>
      </c>
      <c r="C6">
        <v>6</v>
      </c>
      <c r="J6" s="57"/>
    </row>
    <row r="7" spans="1:10">
      <c r="A7">
        <v>15</v>
      </c>
      <c r="B7" s="102" t="s">
        <v>258</v>
      </c>
      <c r="C7">
        <v>6</v>
      </c>
      <c r="J7" s="57"/>
    </row>
    <row r="8" spans="1:10">
      <c r="A8">
        <v>17</v>
      </c>
      <c r="B8" s="102" t="s">
        <v>259</v>
      </c>
      <c r="C8">
        <v>6</v>
      </c>
      <c r="J8" s="57"/>
    </row>
    <row r="9" spans="1:10">
      <c r="A9">
        <v>18</v>
      </c>
      <c r="B9" s="102" t="s">
        <v>266</v>
      </c>
      <c r="C9">
        <v>6</v>
      </c>
      <c r="J9" s="57"/>
    </row>
    <row r="10" spans="1:10">
      <c r="A10">
        <v>19</v>
      </c>
      <c r="B10" s="102" t="s">
        <v>260</v>
      </c>
      <c r="C10">
        <v>12</v>
      </c>
      <c r="J10" s="57"/>
    </row>
    <row r="11" spans="1:10">
      <c r="A11">
        <v>20</v>
      </c>
      <c r="B11" s="102" t="s">
        <v>267</v>
      </c>
      <c r="C11">
        <v>12</v>
      </c>
      <c r="J11" s="57"/>
    </row>
    <row r="12" spans="1:10">
      <c r="A12">
        <v>21</v>
      </c>
      <c r="B12" s="102" t="s">
        <v>261</v>
      </c>
      <c r="C12">
        <v>12</v>
      </c>
      <c r="J12" s="57"/>
    </row>
    <row r="13" spans="1:10">
      <c r="A13">
        <v>22</v>
      </c>
      <c r="B13" s="102" t="s">
        <v>268</v>
      </c>
      <c r="C13">
        <v>6</v>
      </c>
      <c r="J13" s="57"/>
    </row>
    <row r="14" spans="1:10">
      <c r="A14">
        <v>23</v>
      </c>
      <c r="B14" s="122" t="s">
        <v>297</v>
      </c>
      <c r="C14">
        <v>6</v>
      </c>
      <c r="J14" s="57"/>
    </row>
    <row r="15" spans="1:10">
      <c r="A15">
        <v>24</v>
      </c>
      <c r="B15" s="122" t="s">
        <v>269</v>
      </c>
      <c r="C15">
        <v>6</v>
      </c>
      <c r="J15" s="57"/>
    </row>
    <row r="16" spans="1:10">
      <c r="A16">
        <v>25</v>
      </c>
      <c r="B16" s="102" t="s">
        <v>263</v>
      </c>
      <c r="C16">
        <v>12</v>
      </c>
      <c r="J16" s="57"/>
    </row>
    <row r="17" spans="1:10">
      <c r="A17">
        <v>27</v>
      </c>
      <c r="B17" s="102" t="s">
        <v>264</v>
      </c>
      <c r="C17">
        <v>6</v>
      </c>
      <c r="J17" s="57"/>
    </row>
    <row r="18" spans="1:10">
      <c r="A18">
        <v>29</v>
      </c>
      <c r="B18" s="102" t="s">
        <v>295</v>
      </c>
      <c r="C18">
        <v>12</v>
      </c>
      <c r="J18" s="57"/>
    </row>
    <row r="19" spans="1:10">
      <c r="A19">
        <v>30</v>
      </c>
      <c r="B19" s="102" t="s">
        <v>296</v>
      </c>
      <c r="C19">
        <v>12</v>
      </c>
      <c r="J19" s="57"/>
    </row>
    <row r="20" spans="1:10">
      <c r="A20">
        <v>6</v>
      </c>
      <c r="B20" s="102" t="s">
        <v>265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A16" sqref="A16:V16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119</v>
      </c>
    </row>
    <row r="2" spans="1:43" ht="22.8">
      <c r="A2" s="137" t="s">
        <v>231</v>
      </c>
    </row>
    <row r="3" spans="1:43" ht="17.399999999999999">
      <c r="A3" s="138" t="s">
        <v>120</v>
      </c>
    </row>
    <row r="4" spans="1:43" s="552" customFormat="1" ht="13.8">
      <c r="A4" s="538" t="s">
        <v>2</v>
      </c>
      <c r="B4" s="539" t="s">
        <v>3</v>
      </c>
      <c r="C4" s="540" t="s">
        <v>4</v>
      </c>
      <c r="D4" s="541" t="s">
        <v>101</v>
      </c>
      <c r="E4" s="542" t="s">
        <v>5</v>
      </c>
      <c r="F4" s="542" t="s">
        <v>7</v>
      </c>
      <c r="G4" s="543" t="s">
        <v>8</v>
      </c>
      <c r="H4" s="543"/>
      <c r="I4" s="542" t="s">
        <v>6</v>
      </c>
      <c r="J4" s="544" t="s">
        <v>9</v>
      </c>
      <c r="K4" s="545" t="s">
        <v>232</v>
      </c>
      <c r="L4" s="544" t="s">
        <v>233</v>
      </c>
      <c r="M4" s="546" t="s">
        <v>102</v>
      </c>
      <c r="N4" s="547" t="s">
        <v>10</v>
      </c>
      <c r="O4" s="548" t="s">
        <v>219</v>
      </c>
      <c r="P4" s="547" t="s">
        <v>113</v>
      </c>
      <c r="Q4" s="549" t="s">
        <v>103</v>
      </c>
      <c r="R4" s="547" t="s">
        <v>11</v>
      </c>
      <c r="S4" s="547" t="s">
        <v>117</v>
      </c>
      <c r="T4" s="541" t="s">
        <v>13</v>
      </c>
      <c r="U4" s="550" t="s">
        <v>12</v>
      </c>
      <c r="V4" s="139"/>
      <c r="W4" s="551"/>
      <c r="X4" s="551"/>
    </row>
    <row r="5" spans="1:43" s="140" customFormat="1" ht="12" customHeight="1">
      <c r="B5" s="141"/>
      <c r="C5" s="142"/>
      <c r="D5" s="143"/>
      <c r="E5" s="143"/>
      <c r="F5" s="144"/>
      <c r="G5" s="553">
        <f>ROUND((F5/((9.266*EXP(-0.04555*E5)+5.374))*100),0)</f>
        <v>0</v>
      </c>
      <c r="H5" s="553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8"/>
      <c r="B13" s="698"/>
      <c r="C13" s="698"/>
      <c r="D13" s="698"/>
      <c r="E13" s="698"/>
      <c r="F13" s="698"/>
      <c r="G13" s="698"/>
      <c r="H13" s="698"/>
      <c r="I13" s="698"/>
      <c r="J13" s="698"/>
      <c r="K13" s="697"/>
      <c r="L13" s="697"/>
      <c r="M13" s="697"/>
      <c r="N13" s="697"/>
      <c r="O13" s="697"/>
      <c r="P13" s="697"/>
      <c r="Q13" s="697"/>
      <c r="R13" s="697"/>
      <c r="S13" s="697"/>
      <c r="T13" s="697"/>
      <c r="U13" s="697"/>
      <c r="V13" s="697"/>
    </row>
    <row r="14" spans="1:43" s="150" customFormat="1">
      <c r="K14" s="697"/>
      <c r="L14" s="697"/>
      <c r="M14" s="697"/>
      <c r="N14" s="697"/>
      <c r="O14" s="697"/>
      <c r="P14" s="697"/>
      <c r="Q14" s="697"/>
      <c r="R14" s="697"/>
      <c r="S14" s="697"/>
      <c r="T14" s="697"/>
      <c r="U14" s="697"/>
      <c r="V14" s="697"/>
    </row>
    <row r="15" spans="1:43" s="150" customFormat="1">
      <c r="A15" s="150" t="s">
        <v>234</v>
      </c>
    </row>
    <row r="16" spans="1:43" s="698" customFormat="1">
      <c r="A16" s="696">
        <v>22</v>
      </c>
      <c r="B16" s="696">
        <v>3</v>
      </c>
      <c r="C16" s="696">
        <v>1</v>
      </c>
      <c r="D16" s="696">
        <v>2</v>
      </c>
      <c r="E16" s="696">
        <v>8</v>
      </c>
      <c r="F16" s="696">
        <v>6</v>
      </c>
      <c r="G16" s="696">
        <v>9</v>
      </c>
      <c r="H16" s="696">
        <v>7</v>
      </c>
      <c r="I16" s="696">
        <v>5</v>
      </c>
      <c r="J16" s="699">
        <v>14</v>
      </c>
      <c r="K16" s="699">
        <v>18</v>
      </c>
      <c r="L16" s="699">
        <v>11</v>
      </c>
      <c r="M16" s="699">
        <v>12</v>
      </c>
      <c r="N16" s="699">
        <v>13</v>
      </c>
      <c r="O16" s="699">
        <v>15</v>
      </c>
      <c r="P16" s="699">
        <v>16</v>
      </c>
      <c r="Q16" s="699">
        <v>19</v>
      </c>
      <c r="R16" s="699">
        <v>20</v>
      </c>
      <c r="S16" s="699">
        <v>17</v>
      </c>
      <c r="T16" s="699">
        <v>10</v>
      </c>
      <c r="U16" s="699">
        <v>4</v>
      </c>
      <c r="V16" s="699">
        <v>21</v>
      </c>
    </row>
    <row r="17" spans="1:22" s="698" customFormat="1">
      <c r="A17" s="276" t="s">
        <v>389</v>
      </c>
      <c r="B17" s="276" t="s">
        <v>355</v>
      </c>
      <c r="C17" s="276" t="s">
        <v>356</v>
      </c>
      <c r="D17" s="276" t="s">
        <v>357</v>
      </c>
      <c r="E17" s="276" t="s">
        <v>121</v>
      </c>
      <c r="F17" s="276" t="s">
        <v>122</v>
      </c>
      <c r="G17" s="276" t="s">
        <v>123</v>
      </c>
      <c r="H17" s="276" t="s">
        <v>124</v>
      </c>
      <c r="I17" s="276" t="s">
        <v>125</v>
      </c>
      <c r="J17" s="276" t="s">
        <v>390</v>
      </c>
      <c r="K17" s="276" t="s">
        <v>391</v>
      </c>
      <c r="L17" s="276" t="s">
        <v>358</v>
      </c>
      <c r="M17" s="276" t="s">
        <v>359</v>
      </c>
      <c r="N17" s="276" t="s">
        <v>360</v>
      </c>
      <c r="O17" s="276" t="s">
        <v>361</v>
      </c>
      <c r="P17" s="276" t="s">
        <v>362</v>
      </c>
      <c r="Q17" s="276" t="s">
        <v>363</v>
      </c>
      <c r="R17" s="276" t="s">
        <v>364</v>
      </c>
      <c r="S17" s="276" t="s">
        <v>365</v>
      </c>
      <c r="T17" s="276" t="s">
        <v>392</v>
      </c>
      <c r="U17" s="276" t="s">
        <v>393</v>
      </c>
      <c r="V17" s="276" t="s">
        <v>332</v>
      </c>
    </row>
    <row r="18" spans="1:22" s="698" customFormat="1">
      <c r="A18" s="575" t="s">
        <v>6</v>
      </c>
      <c r="B18" s="575" t="s">
        <v>9</v>
      </c>
      <c r="C18" s="575" t="s">
        <v>116</v>
      </c>
      <c r="D18" s="575" t="s">
        <v>128</v>
      </c>
      <c r="E18" s="576" t="s">
        <v>102</v>
      </c>
      <c r="F18" s="577" t="s">
        <v>10</v>
      </c>
      <c r="G18" s="577" t="s">
        <v>129</v>
      </c>
      <c r="H18" s="578" t="s">
        <v>103</v>
      </c>
      <c r="I18" s="577" t="s">
        <v>11</v>
      </c>
      <c r="J18" s="575" t="s">
        <v>372</v>
      </c>
      <c r="K18" s="183" t="s">
        <v>335</v>
      </c>
      <c r="L18" s="183" t="s">
        <v>336</v>
      </c>
      <c r="M18" s="184" t="s">
        <v>337</v>
      </c>
      <c r="N18" s="183" t="s">
        <v>330</v>
      </c>
      <c r="O18" s="183" t="s">
        <v>338</v>
      </c>
      <c r="P18" s="183" t="s">
        <v>339</v>
      </c>
      <c r="Q18" s="183" t="s">
        <v>340</v>
      </c>
      <c r="R18" s="183" t="s">
        <v>331</v>
      </c>
      <c r="S18" s="183" t="s">
        <v>341</v>
      </c>
      <c r="T18" s="183" t="s">
        <v>342</v>
      </c>
      <c r="U18" s="183" t="s">
        <v>332</v>
      </c>
      <c r="V18" s="183" t="s">
        <v>334</v>
      </c>
    </row>
    <row r="19" spans="1:22" s="734" customFormat="1">
      <c r="A19" s="577">
        <v>1</v>
      </c>
      <c r="B19" s="577">
        <v>2</v>
      </c>
      <c r="C19" s="577">
        <v>3</v>
      </c>
      <c r="D19" s="577">
        <v>4</v>
      </c>
      <c r="E19" s="577">
        <v>5</v>
      </c>
      <c r="F19" s="577">
        <v>6</v>
      </c>
      <c r="G19" s="577">
        <v>7</v>
      </c>
      <c r="H19" s="577">
        <v>8</v>
      </c>
      <c r="I19" s="577">
        <v>9</v>
      </c>
      <c r="J19" s="577">
        <v>10</v>
      </c>
      <c r="K19" s="577">
        <v>11</v>
      </c>
      <c r="L19" s="577">
        <v>12</v>
      </c>
      <c r="M19" s="577">
        <v>13</v>
      </c>
      <c r="N19" s="577">
        <v>14</v>
      </c>
      <c r="O19" s="577">
        <v>15</v>
      </c>
      <c r="P19" s="577">
        <v>16</v>
      </c>
      <c r="Q19" s="577">
        <v>17</v>
      </c>
      <c r="R19" s="577">
        <v>18</v>
      </c>
      <c r="S19" s="577">
        <v>19</v>
      </c>
      <c r="T19" s="577">
        <v>20</v>
      </c>
      <c r="U19" s="577">
        <v>21</v>
      </c>
      <c r="V19" s="577">
        <v>22</v>
      </c>
    </row>
    <row r="20" spans="1:22" s="150" customFormat="1">
      <c r="A20" s="150" t="s">
        <v>235</v>
      </c>
    </row>
    <row r="21" spans="1:22" s="150" customFormat="1">
      <c r="A21" s="150" t="s">
        <v>236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32" priority="18" stopIfTrue="1" operator="between">
      <formula>3</formula>
      <formula>5</formula>
    </cfRule>
    <cfRule type="cellIs" dxfId="31" priority="19" stopIfTrue="1" operator="between">
      <formula>2.99</formula>
      <formula>1</formula>
    </cfRule>
    <cfRule type="cellIs" dxfId="30" priority="20" stopIfTrue="1" operator="between">
      <formula>1</formula>
      <formula>0.01</formula>
    </cfRule>
  </conditionalFormatting>
  <conditionalFormatting sqref="L5">
    <cfRule type="cellIs" dxfId="29" priority="21" stopIfTrue="1" operator="between">
      <formula>1</formula>
      <formula>2.5</formula>
    </cfRule>
    <cfRule type="cellIs" dxfId="28" priority="22" stopIfTrue="1" operator="between">
      <formula>2.56</formula>
      <formula>7</formula>
    </cfRule>
    <cfRule type="cellIs" dxfId="27" priority="23" stopIfTrue="1" operator="between">
      <formula>7.1</formula>
      <formula>300</formula>
    </cfRule>
  </conditionalFormatting>
  <conditionalFormatting sqref="K5">
    <cfRule type="cellIs" dxfId="26" priority="24" stopIfTrue="1" operator="between">
      <formula>25</formula>
      <formula>60</formula>
    </cfRule>
    <cfRule type="cellIs" dxfId="25" priority="25" stopIfTrue="1" operator="between">
      <formula>61</formula>
      <formula>100</formula>
    </cfRule>
    <cfRule type="cellIs" dxfId="24" priority="26" stopIfTrue="1" operator="between">
      <formula>101</formula>
      <formula>3000</formula>
    </cfRule>
  </conditionalFormatting>
  <conditionalFormatting sqref="O5">
    <cfRule type="cellIs" dxfId="23" priority="27" stopIfTrue="1" operator="between">
      <formula>25</formula>
      <formula>50</formula>
    </cfRule>
    <cfRule type="cellIs" dxfId="22" priority="28" stopIfTrue="1" operator="between">
      <formula>51</formula>
      <formula>100</formula>
    </cfRule>
    <cfRule type="cellIs" dxfId="21" priority="29" stopIfTrue="1" operator="between">
      <formula>101</formula>
      <formula>2000</formula>
    </cfRule>
  </conditionalFormatting>
  <conditionalFormatting sqref="S5">
    <cfRule type="cellIs" dxfId="20" priority="30" stopIfTrue="1" operator="between">
      <formula>625</formula>
      <formula>1250</formula>
    </cfRule>
    <cfRule type="cellIs" dxfId="19" priority="31" stopIfTrue="1" operator="between">
      <formula>1251</formula>
      <formula>5000</formula>
    </cfRule>
    <cfRule type="cellIs" dxfId="18" priority="32" stopIfTrue="1" operator="between">
      <formula>5001</formula>
      <formula>100000</formula>
    </cfRule>
  </conditionalFormatting>
  <conditionalFormatting sqref="V5">
    <cfRule type="cellIs" dxfId="17" priority="33" stopIfTrue="1" operator="between">
      <formula>0.01</formula>
      <formula>0.99</formula>
    </cfRule>
    <cfRule type="cellIs" dxfId="16" priority="34" stopIfTrue="1" operator="between">
      <formula>1</formula>
      <formula>2.459</formula>
    </cfRule>
    <cfRule type="cellIs" dxfId="15" priority="35" stopIfTrue="1" operator="between">
      <formula>2.5</formula>
      <formula>5</formula>
    </cfRule>
  </conditionalFormatting>
  <conditionalFormatting sqref="U5">
    <cfRule type="cellIs" dxfId="14" priority="36" stopIfTrue="1" operator="between">
      <formula>5</formula>
      <formula>12</formula>
    </cfRule>
    <cfRule type="cellIs" dxfId="13" priority="37" stopIfTrue="1" operator="between">
      <formula>12.01</formula>
      <formula>25</formula>
    </cfRule>
    <cfRule type="cellIs" dxfId="12" priority="38" stopIfTrue="1" operator="between">
      <formula>25.01</formula>
      <formula>200</formula>
    </cfRule>
  </conditionalFormatting>
  <conditionalFormatting sqref="M5">
    <cfRule type="cellIs" dxfId="11" priority="39" stopIfTrue="1" operator="between">
      <formula>32</formula>
      <formula>47</formula>
    </cfRule>
    <cfRule type="cellIs" dxfId="10" priority="40" stopIfTrue="1" operator="between">
      <formula>47.01</formula>
      <formula>63</formula>
    </cfRule>
    <cfRule type="cellIs" dxfId="9" priority="41" stopIfTrue="1" operator="between">
      <formula>63.01</formula>
      <formula>2000</formula>
    </cfRule>
  </conditionalFormatting>
  <conditionalFormatting sqref="T5">
    <cfRule type="cellIs" dxfId="8" priority="42" stopIfTrue="1" operator="between">
      <formula>0.05</formula>
      <formula>0.12</formula>
    </cfRule>
  </conditionalFormatting>
  <conditionalFormatting sqref="T5">
    <cfRule type="cellIs" dxfId="7" priority="43" stopIfTrue="1" operator="between">
      <formula>0.121</formula>
      <formula>0.2</formula>
    </cfRule>
  </conditionalFormatting>
  <conditionalFormatting sqref="T5">
    <cfRule type="cellIs" dxfId="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5" priority="11" stopIfTrue="1" operator="between">
      <formula>6.2</formula>
      <formula>6.5</formula>
    </cfRule>
    <cfRule type="cellIs" dxfId="4" priority="12" stopIfTrue="1" operator="between">
      <formula>5.6</formula>
      <formula>6.19</formula>
    </cfRule>
    <cfRule type="cellIs" dxfId="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2" priority="8" stopIfTrue="1" operator="between">
      <formula>25</formula>
      <formula>60</formula>
    </cfRule>
    <cfRule type="cellIs" dxfId="1" priority="9" stopIfTrue="1" operator="between">
      <formula>61</formula>
      <formula>100</formula>
    </cfRule>
    <cfRule type="cellIs" dxfId="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13</vt:i4>
      </vt:variant>
      <vt:variant>
        <vt:lpstr>Namngivna områden</vt:lpstr>
      </vt:variant>
      <vt:variant>
        <vt:i4>6</vt:i4>
      </vt:variant>
    </vt:vector>
  </HeadingPairs>
  <TitlesOfParts>
    <vt:vector size="19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Syreprofiler!Utskriftsområde</vt:lpstr>
      <vt:lpstr>Indata!Utskriftsrubriker</vt:lpstr>
      <vt:lpstr>Rapport!Utskriftsrubriker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2026-08-06T13:08:41Z</cp:lastPrinted>
  <dcterms:created xsi:type="dcterms:W3CDTF">2008-02-04T19:51:26Z</dcterms:created>
  <dcterms:modified xsi:type="dcterms:W3CDTF">2026-08-06T13:35:08Z</dcterms:modified>
</cp:coreProperties>
</file>